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93C2D65F-ADA8-4DC5-A5E9-142801961945}" xr6:coauthVersionLast="36" xr6:coauthVersionMax="45" xr10:uidLastSave="{00000000-0000-0000-0000-000000000000}"/>
  <bookViews>
    <workbookView xWindow="0" yWindow="0" windowWidth="25605" windowHeight="16005" activeTab="3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  <sheet name="bulk_vacancy" sheetId="5" r:id="rId5"/>
    <sheet name="goxide_per_o_atom" sheetId="7" r:id="rId6"/>
    <sheet name="surface_formation_energy" sheetId="6" r:id="rId7"/>
  </sheets>
  <definedNames>
    <definedName name="_xlnm._FilterDatabase" localSheetId="2" hidden="1">oxide_pairs!$A$1:$X$298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7" l="1"/>
  <c r="N155" i="7" s="1"/>
  <c r="O155" i="7" s="1"/>
  <c r="G155" i="7"/>
  <c r="F155" i="7"/>
  <c r="J154" i="7"/>
  <c r="F154" i="7"/>
  <c r="G154" i="7" s="1"/>
  <c r="N154" i="7" s="1"/>
  <c r="O154" i="7" s="1"/>
  <c r="J153" i="7"/>
  <c r="F153" i="7"/>
  <c r="G153" i="7" s="1"/>
  <c r="N153" i="7" s="1"/>
  <c r="O153" i="7" s="1"/>
  <c r="J152" i="7"/>
  <c r="F152" i="7"/>
  <c r="G152" i="7" s="1"/>
  <c r="N152" i="7" s="1"/>
  <c r="O152" i="7" s="1"/>
  <c r="J151" i="7"/>
  <c r="G151" i="7"/>
  <c r="N151" i="7" s="1"/>
  <c r="O151" i="7" s="1"/>
  <c r="F151" i="7"/>
  <c r="J150" i="7"/>
  <c r="F150" i="7"/>
  <c r="G150" i="7" s="1"/>
  <c r="N150" i="7" s="1"/>
  <c r="O150" i="7" s="1"/>
  <c r="J149" i="7"/>
  <c r="G149" i="7"/>
  <c r="N149" i="7" s="1"/>
  <c r="O149" i="7" s="1"/>
  <c r="F149" i="7"/>
  <c r="J148" i="7"/>
  <c r="F148" i="7"/>
  <c r="G148" i="7" s="1"/>
  <c r="N148" i="7" s="1"/>
  <c r="O148" i="7" s="1"/>
  <c r="J147" i="7"/>
  <c r="F147" i="7"/>
  <c r="G147" i="7" s="1"/>
  <c r="N147" i="7" s="1"/>
  <c r="O147" i="7" s="1"/>
  <c r="J146" i="7"/>
  <c r="F146" i="7"/>
  <c r="G146" i="7" s="1"/>
  <c r="N146" i="7" s="1"/>
  <c r="O146" i="7" s="1"/>
  <c r="J145" i="7"/>
  <c r="G145" i="7"/>
  <c r="N145" i="7" s="1"/>
  <c r="O145" i="7" s="1"/>
  <c r="F145" i="7"/>
  <c r="J144" i="7"/>
  <c r="F144" i="7"/>
  <c r="G144" i="7" s="1"/>
  <c r="N144" i="7" s="1"/>
  <c r="O144" i="7" s="1"/>
  <c r="J143" i="7"/>
  <c r="N143" i="7" s="1"/>
  <c r="O143" i="7" s="1"/>
  <c r="G143" i="7"/>
  <c r="F143" i="7"/>
  <c r="J142" i="7"/>
  <c r="F142" i="7"/>
  <c r="G142" i="7" s="1"/>
  <c r="N142" i="7" s="1"/>
  <c r="O142" i="7" s="1"/>
  <c r="J141" i="7"/>
  <c r="F141" i="7"/>
  <c r="G141" i="7" s="1"/>
  <c r="N141" i="7" s="1"/>
  <c r="O141" i="7" s="1"/>
  <c r="J140" i="7"/>
  <c r="F140" i="7"/>
  <c r="G140" i="7" s="1"/>
  <c r="N140" i="7" s="1"/>
  <c r="O140" i="7" s="1"/>
  <c r="J139" i="7"/>
  <c r="G139" i="7"/>
  <c r="N139" i="7" s="1"/>
  <c r="O139" i="7" s="1"/>
  <c r="F139" i="7"/>
  <c r="J138" i="7"/>
  <c r="F138" i="7"/>
  <c r="G138" i="7" s="1"/>
  <c r="N138" i="7" s="1"/>
  <c r="O138" i="7" s="1"/>
  <c r="J137" i="7"/>
  <c r="N137" i="7" s="1"/>
  <c r="O137" i="7" s="1"/>
  <c r="G137" i="7"/>
  <c r="F137" i="7"/>
  <c r="J136" i="7"/>
  <c r="F136" i="7"/>
  <c r="G136" i="7" s="1"/>
  <c r="N136" i="7" s="1"/>
  <c r="O136" i="7" s="1"/>
  <c r="J135" i="7"/>
  <c r="F135" i="7"/>
  <c r="G135" i="7" s="1"/>
  <c r="N135" i="7" s="1"/>
  <c r="O135" i="7" s="1"/>
  <c r="J134" i="7"/>
  <c r="F134" i="7"/>
  <c r="G134" i="7" s="1"/>
  <c r="N134" i="7" s="1"/>
  <c r="O134" i="7" s="1"/>
  <c r="J133" i="7"/>
  <c r="G133" i="7"/>
  <c r="N133" i="7" s="1"/>
  <c r="O133" i="7" s="1"/>
  <c r="F133" i="7"/>
  <c r="J132" i="7"/>
  <c r="F132" i="7"/>
  <c r="G132" i="7" s="1"/>
  <c r="N132" i="7" s="1"/>
  <c r="O132" i="7" s="1"/>
  <c r="J131" i="7"/>
  <c r="G131" i="7"/>
  <c r="N131" i="7" s="1"/>
  <c r="O131" i="7" s="1"/>
  <c r="F131" i="7"/>
  <c r="J130" i="7"/>
  <c r="F130" i="7"/>
  <c r="G130" i="7" s="1"/>
  <c r="N130" i="7" s="1"/>
  <c r="O130" i="7" s="1"/>
  <c r="J129" i="7"/>
  <c r="F129" i="7"/>
  <c r="G129" i="7" s="1"/>
  <c r="N129" i="7" s="1"/>
  <c r="O129" i="7" s="1"/>
  <c r="J128" i="7"/>
  <c r="F128" i="7"/>
  <c r="G128" i="7" s="1"/>
  <c r="N128" i="7" s="1"/>
  <c r="O128" i="7" s="1"/>
  <c r="J127" i="7"/>
  <c r="G127" i="7"/>
  <c r="N127" i="7" s="1"/>
  <c r="O127" i="7" s="1"/>
  <c r="F127" i="7"/>
  <c r="J126" i="7"/>
  <c r="F126" i="7"/>
  <c r="G126" i="7" s="1"/>
  <c r="N126" i="7" s="1"/>
  <c r="O126" i="7" s="1"/>
  <c r="J125" i="7"/>
  <c r="G125" i="7"/>
  <c r="N125" i="7" s="1"/>
  <c r="O125" i="7" s="1"/>
  <c r="F125" i="7"/>
  <c r="J124" i="7"/>
  <c r="F124" i="7"/>
  <c r="G124" i="7" s="1"/>
  <c r="N124" i="7" s="1"/>
  <c r="O124" i="7" s="1"/>
  <c r="J123" i="7"/>
  <c r="F123" i="7"/>
  <c r="G123" i="7" s="1"/>
  <c r="N123" i="7" s="1"/>
  <c r="O123" i="7" s="1"/>
  <c r="J122" i="7"/>
  <c r="F122" i="7"/>
  <c r="G122" i="7" s="1"/>
  <c r="N122" i="7" s="1"/>
  <c r="O122" i="7" s="1"/>
  <c r="J121" i="7"/>
  <c r="G121" i="7"/>
  <c r="N121" i="7" s="1"/>
  <c r="O121" i="7" s="1"/>
  <c r="F121" i="7"/>
  <c r="J120" i="7"/>
  <c r="F120" i="7"/>
  <c r="G120" i="7" s="1"/>
  <c r="N120" i="7" s="1"/>
  <c r="O120" i="7" s="1"/>
  <c r="J119" i="7"/>
  <c r="G119" i="7"/>
  <c r="N119" i="7" s="1"/>
  <c r="O119" i="7" s="1"/>
  <c r="F119" i="7"/>
  <c r="J118" i="7"/>
  <c r="F118" i="7"/>
  <c r="G118" i="7" s="1"/>
  <c r="N118" i="7" s="1"/>
  <c r="O118" i="7" s="1"/>
  <c r="J117" i="7"/>
  <c r="F117" i="7"/>
  <c r="G117" i="7" s="1"/>
  <c r="N117" i="7" s="1"/>
  <c r="O117" i="7" s="1"/>
  <c r="J116" i="7"/>
  <c r="F116" i="7"/>
  <c r="G116" i="7" s="1"/>
  <c r="N116" i="7" s="1"/>
  <c r="O116" i="7" s="1"/>
  <c r="J115" i="7"/>
  <c r="G115" i="7"/>
  <c r="N115" i="7" s="1"/>
  <c r="O115" i="7" s="1"/>
  <c r="F115" i="7"/>
  <c r="J114" i="7"/>
  <c r="F114" i="7"/>
  <c r="G114" i="7" s="1"/>
  <c r="N114" i="7" s="1"/>
  <c r="O114" i="7" s="1"/>
  <c r="J113" i="7"/>
  <c r="G113" i="7"/>
  <c r="N113" i="7" s="1"/>
  <c r="O113" i="7" s="1"/>
  <c r="F113" i="7"/>
  <c r="J112" i="7"/>
  <c r="F112" i="7"/>
  <c r="G112" i="7" s="1"/>
  <c r="N112" i="7" s="1"/>
  <c r="O112" i="7" s="1"/>
  <c r="J111" i="7"/>
  <c r="F111" i="7"/>
  <c r="G111" i="7" s="1"/>
  <c r="N111" i="7" s="1"/>
  <c r="O111" i="7" s="1"/>
  <c r="J110" i="7"/>
  <c r="F110" i="7"/>
  <c r="G110" i="7" s="1"/>
  <c r="N110" i="7" s="1"/>
  <c r="O110" i="7" s="1"/>
  <c r="J109" i="7"/>
  <c r="G109" i="7"/>
  <c r="N109" i="7" s="1"/>
  <c r="O109" i="7" s="1"/>
  <c r="F109" i="7"/>
  <c r="J108" i="7"/>
  <c r="F108" i="7"/>
  <c r="G108" i="7" s="1"/>
  <c r="N108" i="7" s="1"/>
  <c r="O108" i="7" s="1"/>
  <c r="J107" i="7"/>
  <c r="G107" i="7"/>
  <c r="N107" i="7" s="1"/>
  <c r="O107" i="7" s="1"/>
  <c r="F107" i="7"/>
  <c r="J106" i="7"/>
  <c r="F106" i="7"/>
  <c r="G106" i="7" s="1"/>
  <c r="N106" i="7" s="1"/>
  <c r="O106" i="7" s="1"/>
  <c r="J105" i="7"/>
  <c r="F105" i="7"/>
  <c r="G105" i="7" s="1"/>
  <c r="N105" i="7" s="1"/>
  <c r="O105" i="7" s="1"/>
  <c r="J104" i="7"/>
  <c r="F104" i="7"/>
  <c r="G104" i="7" s="1"/>
  <c r="N104" i="7" s="1"/>
  <c r="O104" i="7" s="1"/>
  <c r="J103" i="7"/>
  <c r="G103" i="7"/>
  <c r="N103" i="7" s="1"/>
  <c r="O103" i="7" s="1"/>
  <c r="F103" i="7"/>
  <c r="J102" i="7"/>
  <c r="F102" i="7"/>
  <c r="G102" i="7" s="1"/>
  <c r="N102" i="7" s="1"/>
  <c r="O102" i="7" s="1"/>
  <c r="J101" i="7"/>
  <c r="G101" i="7"/>
  <c r="N101" i="7" s="1"/>
  <c r="O101" i="7" s="1"/>
  <c r="F101" i="7"/>
  <c r="J100" i="7"/>
  <c r="F100" i="7"/>
  <c r="G100" i="7" s="1"/>
  <c r="N100" i="7" s="1"/>
  <c r="O100" i="7" s="1"/>
  <c r="J99" i="7"/>
  <c r="F99" i="7"/>
  <c r="G99" i="7" s="1"/>
  <c r="N99" i="7" s="1"/>
  <c r="O99" i="7" s="1"/>
  <c r="J98" i="7"/>
  <c r="F98" i="7"/>
  <c r="G98" i="7" s="1"/>
  <c r="N98" i="7" s="1"/>
  <c r="O98" i="7" s="1"/>
  <c r="J97" i="7"/>
  <c r="G97" i="7"/>
  <c r="N97" i="7" s="1"/>
  <c r="O97" i="7" s="1"/>
  <c r="F97" i="7"/>
  <c r="J96" i="7"/>
  <c r="F96" i="7"/>
  <c r="G96" i="7" s="1"/>
  <c r="N96" i="7" s="1"/>
  <c r="O96" i="7" s="1"/>
  <c r="J95" i="7"/>
  <c r="G95" i="7"/>
  <c r="N95" i="7" s="1"/>
  <c r="O95" i="7" s="1"/>
  <c r="F95" i="7"/>
  <c r="J94" i="7"/>
  <c r="F94" i="7"/>
  <c r="G94" i="7" s="1"/>
  <c r="N94" i="7" s="1"/>
  <c r="O94" i="7" s="1"/>
  <c r="J93" i="7"/>
  <c r="F93" i="7"/>
  <c r="G93" i="7" s="1"/>
  <c r="N93" i="7" s="1"/>
  <c r="O93" i="7" s="1"/>
  <c r="J92" i="7"/>
  <c r="F92" i="7"/>
  <c r="G92" i="7" s="1"/>
  <c r="N92" i="7" s="1"/>
  <c r="O92" i="7" s="1"/>
  <c r="J91" i="7"/>
  <c r="G91" i="7"/>
  <c r="N91" i="7" s="1"/>
  <c r="O91" i="7" s="1"/>
  <c r="F91" i="7"/>
  <c r="J90" i="7"/>
  <c r="F90" i="7"/>
  <c r="G90" i="7" s="1"/>
  <c r="N90" i="7" s="1"/>
  <c r="O90" i="7" s="1"/>
  <c r="J89" i="7"/>
  <c r="G89" i="7"/>
  <c r="N89" i="7" s="1"/>
  <c r="O89" i="7" s="1"/>
  <c r="F89" i="7"/>
  <c r="J88" i="7"/>
  <c r="F88" i="7"/>
  <c r="G88" i="7" s="1"/>
  <c r="N88" i="7" s="1"/>
  <c r="O88" i="7" s="1"/>
  <c r="J87" i="7"/>
  <c r="F87" i="7"/>
  <c r="G87" i="7" s="1"/>
  <c r="N87" i="7" s="1"/>
  <c r="O87" i="7" s="1"/>
  <c r="J86" i="7"/>
  <c r="F86" i="7"/>
  <c r="G86" i="7" s="1"/>
  <c r="J85" i="7"/>
  <c r="G85" i="7"/>
  <c r="N85" i="7" s="1"/>
  <c r="O85" i="7" s="1"/>
  <c r="F85" i="7"/>
  <c r="J84" i="7"/>
  <c r="F84" i="7"/>
  <c r="G84" i="7" s="1"/>
  <c r="N84" i="7" s="1"/>
  <c r="O84" i="7" s="1"/>
  <c r="J83" i="7"/>
  <c r="G83" i="7"/>
  <c r="N83" i="7" s="1"/>
  <c r="O83" i="7" s="1"/>
  <c r="F83" i="7"/>
  <c r="J82" i="7"/>
  <c r="F82" i="7"/>
  <c r="G82" i="7" s="1"/>
  <c r="N82" i="7" s="1"/>
  <c r="O82" i="7" s="1"/>
  <c r="J81" i="7"/>
  <c r="F81" i="7"/>
  <c r="G81" i="7" s="1"/>
  <c r="N81" i="7" s="1"/>
  <c r="O81" i="7" s="1"/>
  <c r="J80" i="7"/>
  <c r="F80" i="7"/>
  <c r="G80" i="7" s="1"/>
  <c r="N80" i="7" s="1"/>
  <c r="O80" i="7" s="1"/>
  <c r="J79" i="7"/>
  <c r="G79" i="7"/>
  <c r="N79" i="7" s="1"/>
  <c r="O79" i="7" s="1"/>
  <c r="F79" i="7"/>
  <c r="J78" i="7"/>
  <c r="F78" i="7"/>
  <c r="G78" i="7" s="1"/>
  <c r="N78" i="7" s="1"/>
  <c r="O78" i="7" s="1"/>
  <c r="J77" i="7"/>
  <c r="G77" i="7"/>
  <c r="N77" i="7" s="1"/>
  <c r="O77" i="7" s="1"/>
  <c r="F77" i="7"/>
  <c r="O76" i="7"/>
  <c r="J76" i="7"/>
  <c r="F76" i="7"/>
  <c r="G76" i="7" s="1"/>
  <c r="N76" i="7" s="1"/>
  <c r="N75" i="7"/>
  <c r="O75" i="7" s="1"/>
  <c r="J75" i="7"/>
  <c r="F75" i="7"/>
  <c r="G75" i="7" s="1"/>
  <c r="J74" i="7"/>
  <c r="F74" i="7"/>
  <c r="G74" i="7" s="1"/>
  <c r="N74" i="7" s="1"/>
  <c r="O74" i="7" s="1"/>
  <c r="J73" i="7"/>
  <c r="G73" i="7"/>
  <c r="N73" i="7" s="1"/>
  <c r="O73" i="7" s="1"/>
  <c r="F73" i="7"/>
  <c r="J72" i="7"/>
  <c r="F72" i="7"/>
  <c r="G72" i="7" s="1"/>
  <c r="N72" i="7" s="1"/>
  <c r="O72" i="7" s="1"/>
  <c r="J71" i="7"/>
  <c r="G71" i="7"/>
  <c r="N71" i="7" s="1"/>
  <c r="O71" i="7" s="1"/>
  <c r="F71" i="7"/>
  <c r="O70" i="7"/>
  <c r="J70" i="7"/>
  <c r="F70" i="7"/>
  <c r="G70" i="7" s="1"/>
  <c r="N70" i="7" s="1"/>
  <c r="N69" i="7"/>
  <c r="O69" i="7" s="1"/>
  <c r="J69" i="7"/>
  <c r="F69" i="7"/>
  <c r="G69" i="7" s="1"/>
  <c r="J68" i="7"/>
  <c r="F68" i="7"/>
  <c r="G68" i="7" s="1"/>
  <c r="J67" i="7"/>
  <c r="G67" i="7"/>
  <c r="N67" i="7" s="1"/>
  <c r="O67" i="7" s="1"/>
  <c r="F67" i="7"/>
  <c r="J66" i="7"/>
  <c r="F66" i="7"/>
  <c r="G66" i="7" s="1"/>
  <c r="N66" i="7" s="1"/>
  <c r="O66" i="7" s="1"/>
  <c r="J65" i="7"/>
  <c r="G65" i="7"/>
  <c r="N65" i="7" s="1"/>
  <c r="O65" i="7" s="1"/>
  <c r="F65" i="7"/>
  <c r="J64" i="7"/>
  <c r="F64" i="7"/>
  <c r="G64" i="7" s="1"/>
  <c r="N64" i="7" s="1"/>
  <c r="O64" i="7" s="1"/>
  <c r="J63" i="7"/>
  <c r="F63" i="7"/>
  <c r="G63" i="7" s="1"/>
  <c r="N63" i="7" s="1"/>
  <c r="O63" i="7" s="1"/>
  <c r="J62" i="7"/>
  <c r="F62" i="7"/>
  <c r="G62" i="7" s="1"/>
  <c r="N62" i="7" s="1"/>
  <c r="O62" i="7" s="1"/>
  <c r="J61" i="7"/>
  <c r="G61" i="7"/>
  <c r="N61" i="7" s="1"/>
  <c r="O61" i="7" s="1"/>
  <c r="F61" i="7"/>
  <c r="J60" i="7"/>
  <c r="F60" i="7"/>
  <c r="G60" i="7" s="1"/>
  <c r="N60" i="7" s="1"/>
  <c r="O60" i="7" s="1"/>
  <c r="J59" i="7"/>
  <c r="G59" i="7"/>
  <c r="N59" i="7" s="1"/>
  <c r="O59" i="7" s="1"/>
  <c r="F59" i="7"/>
  <c r="O58" i="7"/>
  <c r="J58" i="7"/>
  <c r="F58" i="7"/>
  <c r="G58" i="7" s="1"/>
  <c r="N58" i="7" s="1"/>
  <c r="N57" i="7"/>
  <c r="O57" i="7" s="1"/>
  <c r="J57" i="7"/>
  <c r="F57" i="7"/>
  <c r="G57" i="7" s="1"/>
  <c r="J56" i="7"/>
  <c r="F56" i="7"/>
  <c r="G56" i="7" s="1"/>
  <c r="J55" i="7"/>
  <c r="G55" i="7"/>
  <c r="N55" i="7" s="1"/>
  <c r="O55" i="7" s="1"/>
  <c r="F55" i="7"/>
  <c r="J54" i="7"/>
  <c r="F54" i="7"/>
  <c r="G54" i="7" s="1"/>
  <c r="N54" i="7" s="1"/>
  <c r="O54" i="7" s="1"/>
  <c r="J53" i="7"/>
  <c r="G53" i="7"/>
  <c r="N53" i="7" s="1"/>
  <c r="O53" i="7" s="1"/>
  <c r="F53" i="7"/>
  <c r="O52" i="7"/>
  <c r="J52" i="7"/>
  <c r="F52" i="7"/>
  <c r="G52" i="7" s="1"/>
  <c r="N52" i="7" s="1"/>
  <c r="N51" i="7"/>
  <c r="O51" i="7" s="1"/>
  <c r="J51" i="7"/>
  <c r="F51" i="7"/>
  <c r="G51" i="7" s="1"/>
  <c r="J50" i="7"/>
  <c r="F50" i="7"/>
  <c r="G50" i="7" s="1"/>
  <c r="J49" i="7"/>
  <c r="G49" i="7"/>
  <c r="N49" i="7" s="1"/>
  <c r="O49" i="7" s="1"/>
  <c r="F49" i="7"/>
  <c r="J48" i="7"/>
  <c r="F48" i="7"/>
  <c r="G48" i="7" s="1"/>
  <c r="N48" i="7" s="1"/>
  <c r="O48" i="7" s="1"/>
  <c r="J47" i="7"/>
  <c r="G47" i="7"/>
  <c r="N47" i="7" s="1"/>
  <c r="O47" i="7" s="1"/>
  <c r="F47" i="7"/>
  <c r="J46" i="7"/>
  <c r="F46" i="7"/>
  <c r="G46" i="7" s="1"/>
  <c r="N46" i="7" s="1"/>
  <c r="O46" i="7" s="1"/>
  <c r="J45" i="7"/>
  <c r="F45" i="7"/>
  <c r="G45" i="7" s="1"/>
  <c r="N45" i="7" s="1"/>
  <c r="O45" i="7" s="1"/>
  <c r="J44" i="7"/>
  <c r="F44" i="7"/>
  <c r="G44" i="7" s="1"/>
  <c r="N44" i="7" s="1"/>
  <c r="O44" i="7" s="1"/>
  <c r="J43" i="7"/>
  <c r="G43" i="7"/>
  <c r="N43" i="7" s="1"/>
  <c r="O43" i="7" s="1"/>
  <c r="F43" i="7"/>
  <c r="J42" i="7"/>
  <c r="F42" i="7"/>
  <c r="G42" i="7" s="1"/>
  <c r="N42" i="7" s="1"/>
  <c r="O42" i="7" s="1"/>
  <c r="J41" i="7"/>
  <c r="G41" i="7"/>
  <c r="N41" i="7" s="1"/>
  <c r="O41" i="7" s="1"/>
  <c r="F41" i="7"/>
  <c r="O40" i="7"/>
  <c r="J40" i="7"/>
  <c r="F40" i="7"/>
  <c r="G40" i="7" s="1"/>
  <c r="N40" i="7" s="1"/>
  <c r="N39" i="7"/>
  <c r="O39" i="7" s="1"/>
  <c r="J39" i="7"/>
  <c r="F39" i="7"/>
  <c r="G39" i="7" s="1"/>
  <c r="J38" i="7"/>
  <c r="F38" i="7"/>
  <c r="G38" i="7" s="1"/>
  <c r="J37" i="7"/>
  <c r="G37" i="7"/>
  <c r="N37" i="7" s="1"/>
  <c r="O37" i="7" s="1"/>
  <c r="F37" i="7"/>
  <c r="J36" i="7"/>
  <c r="F36" i="7"/>
  <c r="G36" i="7" s="1"/>
  <c r="N36" i="7" s="1"/>
  <c r="O36" i="7" s="1"/>
  <c r="J35" i="7"/>
  <c r="G35" i="7"/>
  <c r="N35" i="7" s="1"/>
  <c r="O35" i="7" s="1"/>
  <c r="F35" i="7"/>
  <c r="O34" i="7"/>
  <c r="J34" i="7"/>
  <c r="F34" i="7"/>
  <c r="G34" i="7" s="1"/>
  <c r="N34" i="7" s="1"/>
  <c r="N33" i="7"/>
  <c r="O33" i="7" s="1"/>
  <c r="J33" i="7"/>
  <c r="F33" i="7"/>
  <c r="G33" i="7" s="1"/>
  <c r="J32" i="7"/>
  <c r="F32" i="7"/>
  <c r="G32" i="7" s="1"/>
  <c r="J31" i="7"/>
  <c r="G31" i="7"/>
  <c r="N31" i="7" s="1"/>
  <c r="O31" i="7" s="1"/>
  <c r="F31" i="7"/>
  <c r="J30" i="7"/>
  <c r="F30" i="7"/>
  <c r="G30" i="7" s="1"/>
  <c r="N30" i="7" s="1"/>
  <c r="O30" i="7" s="1"/>
  <c r="J29" i="7"/>
  <c r="G29" i="7"/>
  <c r="N29" i="7" s="1"/>
  <c r="O29" i="7" s="1"/>
  <c r="F29" i="7"/>
  <c r="J28" i="7"/>
  <c r="F28" i="7"/>
  <c r="G28" i="7" s="1"/>
  <c r="N28" i="7" s="1"/>
  <c r="O28" i="7" s="1"/>
  <c r="J27" i="7"/>
  <c r="F27" i="7"/>
  <c r="G27" i="7" s="1"/>
  <c r="N27" i="7" s="1"/>
  <c r="O27" i="7" s="1"/>
  <c r="J26" i="7"/>
  <c r="F26" i="7"/>
  <c r="G26" i="7" s="1"/>
  <c r="N26" i="7" s="1"/>
  <c r="O26" i="7" s="1"/>
  <c r="J25" i="7"/>
  <c r="G25" i="7"/>
  <c r="N25" i="7" s="1"/>
  <c r="O25" i="7" s="1"/>
  <c r="F25" i="7"/>
  <c r="J24" i="7"/>
  <c r="F24" i="7"/>
  <c r="G24" i="7" s="1"/>
  <c r="N24" i="7" s="1"/>
  <c r="O24" i="7" s="1"/>
  <c r="J23" i="7"/>
  <c r="G23" i="7"/>
  <c r="N23" i="7" s="1"/>
  <c r="O23" i="7" s="1"/>
  <c r="F23" i="7"/>
  <c r="O22" i="7"/>
  <c r="J22" i="7"/>
  <c r="F22" i="7"/>
  <c r="G22" i="7" s="1"/>
  <c r="N22" i="7" s="1"/>
  <c r="N21" i="7"/>
  <c r="O21" i="7" s="1"/>
  <c r="J21" i="7"/>
  <c r="F21" i="7"/>
  <c r="G21" i="7" s="1"/>
  <c r="J20" i="7"/>
  <c r="F20" i="7"/>
  <c r="G20" i="7" s="1"/>
  <c r="J19" i="7"/>
  <c r="G19" i="7"/>
  <c r="N19" i="7" s="1"/>
  <c r="O19" i="7" s="1"/>
  <c r="F19" i="7"/>
  <c r="J18" i="7"/>
  <c r="F18" i="7"/>
  <c r="G18" i="7" s="1"/>
  <c r="N18" i="7" s="1"/>
  <c r="O18" i="7" s="1"/>
  <c r="J17" i="7"/>
  <c r="G17" i="7"/>
  <c r="N17" i="7" s="1"/>
  <c r="O17" i="7" s="1"/>
  <c r="F17" i="7"/>
  <c r="O16" i="7"/>
  <c r="J16" i="7"/>
  <c r="F16" i="7"/>
  <c r="G16" i="7" s="1"/>
  <c r="N16" i="7" s="1"/>
  <c r="N15" i="7"/>
  <c r="O15" i="7" s="1"/>
  <c r="J15" i="7"/>
  <c r="F15" i="7"/>
  <c r="G15" i="7" s="1"/>
  <c r="J14" i="7"/>
  <c r="F14" i="7"/>
  <c r="G14" i="7" s="1"/>
  <c r="J13" i="7"/>
  <c r="G13" i="7"/>
  <c r="N13" i="7" s="1"/>
  <c r="O13" i="7" s="1"/>
  <c r="F13" i="7"/>
  <c r="J12" i="7"/>
  <c r="F12" i="7"/>
  <c r="G12" i="7" s="1"/>
  <c r="N12" i="7" s="1"/>
  <c r="O12" i="7" s="1"/>
  <c r="J11" i="7"/>
  <c r="G11" i="7"/>
  <c r="N11" i="7" s="1"/>
  <c r="O11" i="7" s="1"/>
  <c r="F11" i="7"/>
  <c r="J10" i="7"/>
  <c r="G10" i="7"/>
  <c r="N10" i="7" s="1"/>
  <c r="O10" i="7" s="1"/>
  <c r="F10" i="7"/>
  <c r="N9" i="7"/>
  <c r="O9" i="7" s="1"/>
  <c r="J9" i="7"/>
  <c r="F9" i="7"/>
  <c r="G9" i="7" s="1"/>
  <c r="J8" i="7"/>
  <c r="F8" i="7"/>
  <c r="G8" i="7" s="1"/>
  <c r="N8" i="7" s="1"/>
  <c r="O8" i="7" s="1"/>
  <c r="J7" i="7"/>
  <c r="G7" i="7"/>
  <c r="N7" i="7" s="1"/>
  <c r="O7" i="7" s="1"/>
  <c r="F7" i="7"/>
  <c r="J6" i="7"/>
  <c r="F6" i="7"/>
  <c r="G6" i="7" s="1"/>
  <c r="N6" i="7" s="1"/>
  <c r="O6" i="7" s="1"/>
  <c r="J5" i="7"/>
  <c r="G5" i="7"/>
  <c r="N5" i="7" s="1"/>
  <c r="O5" i="7" s="1"/>
  <c r="F5" i="7"/>
  <c r="J4" i="7"/>
  <c r="G4" i="7"/>
  <c r="N4" i="7" s="1"/>
  <c r="O4" i="7" s="1"/>
  <c r="F4" i="7"/>
  <c r="J3" i="7"/>
  <c r="F3" i="7"/>
  <c r="G3" i="7" s="1"/>
  <c r="N3" i="7" s="1"/>
  <c r="O3" i="7" s="1"/>
  <c r="J2" i="7"/>
  <c r="F2" i="7"/>
  <c r="G2" i="7" s="1"/>
  <c r="N2" i="7" s="1"/>
  <c r="O2" i="7" s="1"/>
  <c r="N20" i="7" l="1"/>
  <c r="O20" i="7" s="1"/>
  <c r="N38" i="7"/>
  <c r="O38" i="7" s="1"/>
  <c r="N56" i="7"/>
  <c r="O56" i="7" s="1"/>
  <c r="N14" i="7"/>
  <c r="O14" i="7" s="1"/>
  <c r="N32" i="7"/>
  <c r="O32" i="7" s="1"/>
  <c r="N50" i="7"/>
  <c r="O50" i="7" s="1"/>
  <c r="N68" i="7"/>
  <c r="O68" i="7" s="1"/>
  <c r="N86" i="7"/>
  <c r="O86" i="7" s="1"/>
  <c r="L10" i="2" l="1"/>
  <c r="L2" i="2" l="1"/>
  <c r="L109" i="2" l="1"/>
  <c r="L107" i="2"/>
  <c r="L12" i="2"/>
  <c r="L6" i="2"/>
  <c r="L139" i="2"/>
  <c r="L102" i="2"/>
  <c r="L144" i="2"/>
  <c r="L143" i="2"/>
  <c r="L131" i="2"/>
  <c r="L120" i="2"/>
  <c r="L108" i="2"/>
  <c r="L106" i="2"/>
  <c r="L87" i="2"/>
  <c r="L83" i="2"/>
  <c r="L150" i="2"/>
  <c r="L149" i="2"/>
  <c r="L142" i="2"/>
  <c r="L141" i="2"/>
  <c r="L138" i="2"/>
  <c r="L129" i="2"/>
  <c r="L121" i="2"/>
  <c r="L114" i="2"/>
  <c r="L110" i="2"/>
  <c r="L93" i="2"/>
  <c r="L154" i="2"/>
  <c r="L148" i="2"/>
  <c r="L140" i="2"/>
  <c r="L134" i="2"/>
  <c r="L125" i="2"/>
  <c r="L113" i="2"/>
  <c r="L112" i="2"/>
  <c r="L99" i="2"/>
  <c r="L101" i="2"/>
  <c r="L152" i="2"/>
  <c r="L89" i="2"/>
  <c r="L135" i="2"/>
  <c r="L133" i="2"/>
  <c r="L118" i="2"/>
  <c r="L116" i="2"/>
  <c r="L98" i="2"/>
  <c r="L90" i="2"/>
  <c r="L88" i="2"/>
  <c r="L78" i="2"/>
  <c r="L77" i="2"/>
  <c r="L76" i="2"/>
  <c r="L75" i="2"/>
  <c r="L74" i="2"/>
  <c r="L73" i="2"/>
  <c r="L72" i="2"/>
  <c r="L71" i="2"/>
  <c r="L70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2" i="2"/>
  <c r="L51" i="2"/>
  <c r="L50" i="2"/>
  <c r="L49" i="2"/>
  <c r="L48" i="2"/>
  <c r="L47" i="2"/>
  <c r="L46" i="2"/>
  <c r="L45" i="2"/>
  <c r="L44" i="2"/>
  <c r="L42" i="2"/>
  <c r="L41" i="2"/>
  <c r="L31" i="2"/>
  <c r="L40" i="2"/>
  <c r="L39" i="2"/>
  <c r="L37" i="2"/>
  <c r="L33" i="2"/>
  <c r="L36" i="2"/>
  <c r="L29" i="2"/>
  <c r="L26" i="2"/>
  <c r="L21" i="2"/>
  <c r="L18" i="2"/>
  <c r="L17" i="2"/>
  <c r="L14" i="2"/>
  <c r="L13" i="2"/>
  <c r="L11" i="2" l="1"/>
  <c r="L9" i="2"/>
  <c r="L7" i="2" l="1"/>
  <c r="L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2" i="4"/>
  <c r="F2" i="5" l="1"/>
  <c r="E3" i="5" s="1"/>
  <c r="E26" i="5" l="1"/>
  <c r="E23" i="5"/>
  <c r="E25" i="5"/>
  <c r="E31" i="5"/>
  <c r="E24" i="5"/>
  <c r="E30" i="5"/>
  <c r="E27" i="5"/>
  <c r="E29" i="5"/>
  <c r="E28" i="5"/>
  <c r="E21" i="5"/>
  <c r="E16" i="5"/>
  <c r="E11" i="5"/>
  <c r="E18" i="5"/>
  <c r="E19" i="5"/>
  <c r="E20" i="5"/>
  <c r="E12" i="5"/>
  <c r="E10" i="5"/>
  <c r="E15" i="5"/>
  <c r="E17" i="5"/>
  <c r="E14" i="5"/>
  <c r="E22" i="5"/>
  <c r="E7" i="5"/>
  <c r="E9" i="5"/>
  <c r="E6" i="5"/>
  <c r="E2" i="5"/>
  <c r="E5" i="5"/>
  <c r="E4" i="5"/>
  <c r="B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<sst xmlns="http://schemas.openxmlformats.org/spreadsheetml/2006/main" count="3353" uniqueCount="617">
  <si>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</si>
  <si>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</si>
  <si>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</si>
  <si>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</si>
  <si>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</si>
  <si>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</si>
  <si>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</si>
  <si>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</si>
  <si>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</si>
  <si>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</si>
  <si>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</si>
  <si>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</si>
  <si>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</si>
  <si>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</si>
  <si>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</si>
  <si>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</si>
  <si>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</si>
  <si>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</si>
  <si>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</si>
  <si>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</si>
  <si>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</si>
  <si>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</si>
  <si>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</si>
  <si>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</si>
  <si>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</si>
  <si>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</si>
  <si>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</si>
  <si>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</si>
  <si>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</si>
  <si>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</si>
  <si>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</si>
  <si>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</si>
  <si>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</si>
  <si>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</si>
  <si>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</si>
  <si>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</si>
  <si>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</si>
  <si>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</si>
  <si>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</si>
  <si>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</si>
  <si>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</si>
  <si>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</si>
  <si>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</si>
  <si>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</si>
  <si>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</si>
  <si>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</si>
  <si>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</si>
  <si>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</si>
  <si>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</si>
  <si>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</si>
  <si>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</si>
  <si>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</si>
  <si>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</si>
  <si>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</si>
  <si>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</si>
  <si>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</si>
  <si>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</si>
  <si>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</si>
  <si>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</si>
  <si>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</si>
  <si>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</si>
  <si>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</si>
  <si>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</si>
  <si>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</si>
  <si>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</si>
  <si>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</si>
  <si>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</si>
  <si>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</si>
  <si>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</si>
  <si>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</si>
  <si>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</si>
  <si>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</si>
  <si>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</si>
  <si>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</si>
  <si>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</si>
  <si>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</si>
  <si>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</si>
  <si>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</si>
  <si>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</si>
  <si>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</si>
  <si>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</si>
  <si>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</si>
  <si>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</si>
  <si>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</si>
  <si>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</si>
  <si>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</si>
  <si>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</si>
  <si>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</si>
  <si>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</si>
  <si>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</si>
  <si>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</si>
  <si>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</si>
  <si>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</si>
  <si>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</si>
  <si>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</si>
  <si>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</si>
  <si>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</si>
  <si>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</si>
  <si>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</si>
  <si>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</si>
  <si>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</si>
  <si>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</si>
  <si>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</si>
  <si>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</si>
  <si>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</si>
  <si>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</si>
  <si>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</si>
  <si>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</si>
  <si>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</si>
  <si>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</si>
  <si>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</si>
  <si>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</si>
  <si>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</si>
  <si>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</si>
  <si>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</si>
  <si>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</si>
  <si>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</si>
  <si>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</si>
  <si>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</si>
  <si>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</si>
  <si>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</si>
  <si>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</si>
  <si>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</si>
  <si>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</si>
  <si>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</si>
  <si>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</si>
  <si>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</si>
  <si>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</si>
  <si>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</si>
  <si>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</si>
  <si>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</si>
  <si>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</si>
  <si>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</si>
  <si>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</si>
  <si>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</si>
  <si>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</si>
  <si>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</si>
  <si>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</si>
  <si>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</si>
  <si>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</si>
  <si>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</si>
  <si>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</si>
  <si>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</si>
  <si>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</si>
  <si>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</si>
  <si>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</si>
  <si>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</si>
  <si>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</si>
  <si>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</si>
  <si>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</si>
  <si>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</si>
  <si>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</si>
  <si>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</si>
  <si>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</si>
  <si>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</si>
  <si>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</si>
  <si>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</si>
  <si>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</si>
  <si>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</si>
  <si>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</si>
  <si>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</si>
  <si>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</si>
  <si>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</si>
  <si>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</si>
  <si>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</si>
  <si>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</si>
  <si>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</si>
  <si>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</si>
  <si>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</si>
  <si>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</si>
  <si>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</si>
  <si>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</si>
  <si>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</si>
  <si>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</si>
  <si>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</si>
  <si>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</si>
  <si>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</si>
  <si>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</si>
  <si>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</si>
  <si>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</si>
  <si>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</si>
  <si>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</si>
  <si>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</si>
  <si>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</si>
  <si>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</si>
  <si>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</si>
  <si>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</si>
  <si>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</si>
  <si>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</si>
  <si>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</si>
  <si>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</si>
  <si>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</si>
  <si>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</si>
  <si>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</si>
  <si>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</si>
  <si>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</si>
  <si>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</si>
  <si>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</si>
  <si>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</si>
  <si>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</si>
  <si>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</si>
  <si>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</si>
  <si>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</si>
  <si>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</si>
  <si>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</si>
  <si>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</si>
  <si>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</si>
  <si>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</si>
  <si>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</si>
  <si>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</si>
  <si>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</si>
  <si>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</si>
  <si>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</si>
  <si>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</si>
  <si>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</si>
  <si>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</si>
  <si>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</si>
  <si>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</si>
  <si>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</si>
  <si>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</si>
  <si>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</si>
  <si>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</si>
  <si>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</si>
  <si>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</si>
  <si>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</si>
  <si>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</si>
  <si>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</si>
  <si>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</si>
  <si>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</si>
  <si>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</si>
  <si>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</si>
  <si>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</si>
  <si>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</si>
  <si>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</si>
  <si>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</si>
  <si>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</si>
  <si>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</si>
  <si>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</si>
  <si>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</si>
  <si>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</si>
  <si>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</si>
  <si>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</si>
  <si>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</si>
  <si>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</si>
  <si>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</si>
  <si>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</si>
  <si>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</si>
  <si>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</si>
  <si>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</si>
  <si>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</si>
  <si>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</si>
  <si>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</si>
  <si>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</si>
  <si>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</si>
  <si>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</si>
  <si>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</si>
  <si>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</si>
  <si>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</si>
  <si>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</si>
  <si>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</si>
  <si>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</si>
  <si>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</si>
  <si>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</si>
  <si>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</si>
  <si>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</si>
  <si>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</si>
  <si>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</si>
  <si>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</si>
  <si>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</si>
  <si>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</si>
  <si>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</si>
  <si>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</si>
  <si>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</si>
  <si>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</si>
  <si>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</si>
  <si>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</si>
  <si>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</si>
  <si>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</si>
  <si>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</si>
  <si>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</si>
  <si>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</si>
  <si>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</si>
  <si>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</si>
  <si>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</si>
  <si>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</si>
  <si>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</si>
  <si>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</si>
  <si>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</si>
  <si>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</si>
  <si>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</si>
  <si>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</si>
  <si>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</si>
  <si>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</si>
  <si>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</si>
  <si>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</si>
  <si>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</si>
  <si>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</si>
  <si>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</si>
  <si>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</si>
  <si>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</si>
  <si>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</si>
  <si>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</si>
  <si>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</si>
  <si>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</si>
  <si>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</si>
  <si>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</si>
  <si>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</si>
  <si>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</si>
  <si>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</si>
  <si>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</si>
  <si>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</si>
  <si>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</si>
  <si>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</si>
  <si>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</si>
  <si>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</si>
  <si>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</si>
  <si>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</si>
  <si>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</si>
  <si>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</si>
  <si>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</si>
  <si>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</si>
  <si>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</si>
  <si>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</si>
  <si>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</si>
  <si>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</si>
  <si>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</si>
  <si>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</si>
  <si>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</si>
  <si>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</si>
  <si>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</si>
  <si>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</si>
  <si>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</si>
  <si>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</si>
  <si>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</si>
  <si>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</si>
  <si>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</si>
  <si>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</si>
  <si>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</si>
  <si>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</si>
  <si>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</si>
  <si>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</si>
  <si>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</si>
  <si>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</si>
  <si>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</si>
  <si>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</si>
  <si>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</si>
  <si>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</si>
  <si>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</si>
  <si>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</si>
  <si>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</si>
  <si>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</si>
  <si>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</si>
  <si>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</si>
  <si>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</si>
  <si>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</si>
  <si>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</si>
  <si>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</si>
  <si>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</si>
  <si>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</si>
  <si>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</si>
  <si>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</si>
  <si>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</si>
  <si>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</si>
  <si>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</si>
  <si>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</si>
  <si>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</si>
  <si>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</si>
  <si>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</si>
  <si>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</si>
  <si>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</si>
  <si>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</si>
  <si>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</si>
  <si>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</si>
  <si>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</si>
  <si>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</si>
  <si>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</si>
  <si>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</si>
  <si>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</si>
  <si>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</si>
  <si>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</si>
  <si>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</si>
  <si>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</si>
  <si>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</si>
  <si>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</si>
  <si>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</si>
  <si>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</si>
  <si>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</si>
  <si>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</si>
  <si>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</si>
  <si>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</si>
  <si>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</si>
  <si>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</si>
  <si>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</si>
  <si>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</si>
  <si>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</si>
  <si>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</si>
  <si>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</si>
  <si>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</si>
  <si>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</si>
  <si>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</si>
  <si>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</si>
  <si>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</si>
  <si>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</si>
  <si>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</si>
  <si>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</si>
  <si>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</si>
  <si>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</si>
  <si>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</si>
  <si>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</si>
  <si>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</si>
  <si>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</si>
  <si>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</si>
  <si>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</si>
  <si>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</si>
  <si>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</si>
  <si>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</si>
  <si>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</si>
  <si>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</si>
  <si>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</si>
  <si>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</si>
  <si>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</si>
  <si>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</si>
  <si>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</si>
  <si>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</si>
  <si>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</si>
  <si>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</si>
  <si>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</si>
  <si>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</si>
  <si>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</si>
  <si>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</si>
  <si>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</si>
  <si>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</si>
  <si>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</si>
  <si>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</si>
  <si>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</si>
  <si>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</si>
  <si>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</si>
  <si>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</si>
  <si>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</si>
  <si>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</si>
  <si>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</si>
  <si>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</si>
  <si>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</si>
  <si>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</si>
  <si>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</si>
  <si>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</si>
  <si>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</si>
  <si>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</si>
  <si>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</si>
  <si>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</si>
  <si>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</si>
  <si>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</si>
  <si>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</si>
  <si>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</si>
  <si>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</si>
  <si>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</si>
  <si>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</si>
  <si>
    <t>dominant_phase</t>
  </si>
  <si>
    <t>alpha</t>
  </si>
  <si>
    <t>select_oxides</t>
  </si>
  <si>
    <t>bi2o3</t>
  </si>
  <si>
    <t>phase</t>
  </si>
  <si>
    <t>bulk</t>
  </si>
  <si>
    <t>vacancy_bulk</t>
  </si>
  <si>
    <t>vacancy_form_energy(eV)</t>
  </si>
  <si>
    <t>1/2 oxygen</t>
  </si>
  <si>
    <t>beta</t>
  </si>
  <si>
    <t>gamma</t>
  </si>
  <si>
    <t>cdo</t>
  </si>
  <si>
    <t>co3o4</t>
  </si>
  <si>
    <t>coo</t>
  </si>
  <si>
    <t>eu2o3</t>
  </si>
  <si>
    <t>fe2o3</t>
  </si>
  <si>
    <t>fe3o4</t>
  </si>
  <si>
    <t>feo</t>
  </si>
  <si>
    <t>geo2</t>
  </si>
  <si>
    <t>in2o3</t>
  </si>
  <si>
    <t>mn2o3</t>
  </si>
  <si>
    <t>mn3o4</t>
  </si>
  <si>
    <t>mno</t>
  </si>
  <si>
    <t>moo2</t>
  </si>
  <si>
    <t>moo3</t>
  </si>
  <si>
    <t>pb3o4</t>
  </si>
  <si>
    <t>pbo</t>
  </si>
  <si>
    <t>sb2o3</t>
  </si>
  <si>
    <t>sbo2</t>
  </si>
  <si>
    <t>sn5o6</t>
  </si>
  <si>
    <t>sno</t>
  </si>
  <si>
    <t>sno2</t>
  </si>
  <si>
    <t>teo2</t>
  </si>
  <si>
    <t>v2o5</t>
  </si>
  <si>
    <t>v3o5</t>
  </si>
  <si>
    <t>v3o7</t>
  </si>
  <si>
    <t>wo2</t>
  </si>
  <si>
    <t>wo3</t>
  </si>
  <si>
    <t>e_bulk_vacancy</t>
  </si>
  <si>
    <t>KJ/mole to eV</t>
  </si>
  <si>
    <t>oxide_form</t>
  </si>
  <si>
    <t>homo</t>
  </si>
  <si>
    <t>lumo</t>
  </si>
  <si>
    <t>band_center</t>
  </si>
  <si>
    <t>cohesive_energy</t>
  </si>
  <si>
    <t>ox_state</t>
  </si>
  <si>
    <t>shear_mod</t>
  </si>
  <si>
    <t>bulk_mod</t>
  </si>
  <si>
    <t>band_gap</t>
  </si>
  <si>
    <t>heat_sublimation</t>
  </si>
  <si>
    <t>heat_formation</t>
  </si>
  <si>
    <t>coord_no_metal</t>
  </si>
  <si>
    <t>coord_no_oxy</t>
  </si>
  <si>
    <t>next_nearest_rel</t>
  </si>
  <si>
    <t>next_nearest_abs</t>
  </si>
  <si>
    <t>bond_valence</t>
  </si>
  <si>
    <t>density</t>
  </si>
  <si>
    <t>vol_per_atom</t>
  </si>
  <si>
    <t>packing_factor</t>
  </si>
  <si>
    <t>sg_number</t>
  </si>
  <si>
    <t>crystal_system</t>
  </si>
  <si>
    <t>sg_type</t>
  </si>
  <si>
    <t>Band center</t>
  </si>
  <si>
    <t>Oxidation state</t>
  </si>
  <si>
    <t>Cohesive energy(eV)</t>
  </si>
  <si>
    <t>Shear modulus (GPa)</t>
  </si>
  <si>
    <t>Bulk modulus (GPa)</t>
  </si>
  <si>
    <t>Band gap (eV)</t>
  </si>
  <si>
    <t>Volume, Vol (Å³ ) Per atom</t>
  </si>
  <si>
    <t>Crsytal System</t>
  </si>
  <si>
    <t>Melting Temperature, ∘C</t>
  </si>
  <si>
    <t>trigonal</t>
  </si>
  <si>
    <t>cubic</t>
  </si>
  <si>
    <t>monoclinic</t>
  </si>
  <si>
    <t>tetragonal</t>
  </si>
  <si>
    <t>orthorhombic</t>
  </si>
  <si>
    <t>hexagonal</t>
  </si>
  <si>
    <t>triclinic</t>
  </si>
  <si>
    <t>hf - https://doi.org/10.1016/0022-5088(86)90046-9</t>
  </si>
  <si>
    <t>hf - https://doi.org/10.1063/1.4825256</t>
  </si>
  <si>
    <t>missing_ref</t>
  </si>
  <si>
    <t>stable_facets</t>
  </si>
  <si>
    <t>ref</t>
  </si>
  <si>
    <t>https://doi.org/10.1063/1.4788667</t>
  </si>
  <si>
    <t>https://doi.org/10.1016/j.cplett.2010.12.015</t>
  </si>
  <si>
    <t>10.1039/C4CY00582A</t>
  </si>
  <si>
    <t>https://doi.org/10.1088/1361-648X/aac743, DOI: 10.1039/c6cp05313k, https://doi.org/10.1021/acs.jpcc.5b12144</t>
  </si>
  <si>
    <t>DOI: 10.1039/c4cp00529e, https://doi.org/10.1016/S1872-5813(10)60024-2</t>
  </si>
  <si>
    <t>https://doi.org/10.1016/j.powtec.2016.09.017</t>
  </si>
  <si>
    <t>https://doi.org/10.1080/00268976.2017.1307468</t>
  </si>
  <si>
    <t>https://doi.org/10.1021/jp3004773, https://doi.org/10.1016/j.apsusc.2017.11.258</t>
  </si>
  <si>
    <t>https://doi.org/10.1021/acs.jpcc.8b06201</t>
  </si>
  <si>
    <t>https://doi.org/10.1021/acs.jpcc.8b07846</t>
  </si>
  <si>
    <t>DOI:10.1039/C7CP06456J, doi:10.1016/j.apcata.2010.07.041</t>
  </si>
  <si>
    <t>DOI:10.1039/B511044K, https://doi.org/10.1021/jp304122n</t>
  </si>
  <si>
    <t>DOI:10.1039/C4CP00540F</t>
  </si>
  <si>
    <t>DOI 10.1007/s11244-009-9250-0</t>
  </si>
  <si>
    <t>https://doi.org/10.1021/acsami.7b06139</t>
  </si>
  <si>
    <t>Comp</t>
  </si>
  <si>
    <t>100, 111</t>
  </si>
  <si>
    <t>https://doi.org/10.1021/acsami.9b08524</t>
  </si>
  <si>
    <t>220, 002</t>
  </si>
  <si>
    <t>DOI: 10.12693/APhysPolA.133.1178</t>
  </si>
  <si>
    <t>100, 111(mterm, oterm)</t>
  </si>
  <si>
    <t>100 (oct, tetra)</t>
  </si>
  <si>
    <t>100, 111 (meterm, oterm)</t>
  </si>
  <si>
    <t>0001(mterm, oterm)</t>
  </si>
  <si>
    <t>001(fe tetra), 110(fe octa)</t>
  </si>
  <si>
    <t>110, 111 (mterm, oterm)</t>
  </si>
  <si>
    <t>110 (oterm)</t>
  </si>
  <si>
    <t>001(mno term)</t>
  </si>
  <si>
    <t>001(mn2+tetra, mn3+octa)</t>
  </si>
  <si>
    <t>011 (O2 term)</t>
  </si>
  <si>
    <t>https://doi.org/10.1063/1.4958969</t>
  </si>
  <si>
    <t>Oxide</t>
  </si>
  <si>
    <t>Facet and termination</t>
  </si>
  <si>
    <t>Surface formation energy, eV/Å2</t>
  </si>
  <si>
    <t>011</t>
  </si>
  <si>
    <t xml:space="preserve">010      </t>
  </si>
  <si>
    <t xml:space="preserve">001     </t>
  </si>
  <si>
    <t xml:space="preserve">001      </t>
  </si>
  <si>
    <t>111 (metal termination)</t>
  </si>
  <si>
    <t>111 (oxygen termination)</t>
  </si>
  <si>
    <t>100 (octahedral termination)</t>
  </si>
  <si>
    <t>100 (tetrahedral termination)</t>
  </si>
  <si>
    <t>0001 (metal termination)</t>
  </si>
  <si>
    <t xml:space="preserve"> 0001 (oxygen termination)</t>
  </si>
  <si>
    <t>001 (metal termination)</t>
  </si>
  <si>
    <t>110 (octahedral metal termination)</t>
  </si>
  <si>
    <t>110 (oxygen termination)</t>
  </si>
  <si>
    <t>011 (oxygen termination)</t>
  </si>
  <si>
    <t>010  (oxygen termination)</t>
  </si>
  <si>
    <t>001  (oxygen termination)</t>
  </si>
  <si>
    <t>001  (double bonded oxygen termination)</t>
  </si>
  <si>
    <t>001  (single bonded oxygen termination)</t>
  </si>
  <si>
    <t>Vacancy formation energy, eV</t>
  </si>
  <si>
    <t>001 (tetrahedral termination)</t>
  </si>
  <si>
    <t>001 (octahedral termination)</t>
  </si>
  <si>
    <t>Run DFT</t>
  </si>
  <si>
    <t>Toxic</t>
  </si>
  <si>
    <t>Computational prediction is difficult to reduce</t>
  </si>
  <si>
    <t>Experimental reasons</t>
  </si>
  <si>
    <t>Hard to converge computationally</t>
  </si>
  <si>
    <t>Difficult to reduce computationally</t>
  </si>
  <si>
    <t>Hard to converge computatinally/ Experimental reasons</t>
  </si>
  <si>
    <t>Comments</t>
  </si>
  <si>
    <t>Yes (oxygen lean conditions in pulse mode of reducing oxides prefers Co in tetrahedral terminations)</t>
  </si>
  <si>
    <t>Oxidized Form</t>
  </si>
  <si>
    <t>G oxidized form (298 K)</t>
  </si>
  <si>
    <t>eVtokcal</t>
  </si>
  <si>
    <t>G_ox_bulk_kcal</t>
  </si>
  <si>
    <t>G_ox_bulk_ev</t>
  </si>
  <si>
    <t>reduced_metal</t>
  </si>
  <si>
    <t>G_reduced_bulk_kcal</t>
  </si>
  <si>
    <t>G_red_bulk_ev</t>
  </si>
  <si>
    <t>Oxygen_ev</t>
  </si>
  <si>
    <t>no_of_metal</t>
  </si>
  <si>
    <t>no_of_oxygen</t>
  </si>
  <si>
    <t>Bulk_formation_ev</t>
  </si>
  <si>
    <t>formation_per_O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</si>
</sst>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2" fontId="0" fillId="6" borderId="12" xfId="0" quotePrefix="1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quotePrefix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quotePrefix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9" borderId="7" xfId="0" quotePrefix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2" fontId="0" fillId="7" borderId="12" xfId="0" quotePrefix="1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4" xfId="0" quotePrefix="1" applyNumberFormat="1" applyFill="1" applyBorder="1" applyAlignment="1">
      <alignment horizontal="center" vertical="center"/>
    </xf>
    <xf numFmtId="2" fontId="0" fillId="0" borderId="12" xfId="0" quotePrefix="1" applyNumberFormat="1" applyFill="1" applyBorder="1" applyAlignment="1">
      <alignment horizontal="center" vertical="center"/>
    </xf>
    <xf numFmtId="2" fontId="0" fillId="0" borderId="7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0022-5088(86)90046-9" TargetMode="External"/><Relationship Id="rId1" Type="http://schemas.openxmlformats.org/officeDocument/2006/relationships/hyperlink" Target="https://doi.org/10.1063/1.48252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jpcc.8b06201" TargetMode="External"/><Relationship Id="rId3" Type="http://schemas.openxmlformats.org/officeDocument/2006/relationships/hyperlink" Target="https://doi.org/10.1088/1361-648X/aac743," TargetMode="External"/><Relationship Id="rId7" Type="http://schemas.openxmlformats.org/officeDocument/2006/relationships/hyperlink" Target="https://doi.org/10.1021/acsami.7b06139" TargetMode="External"/><Relationship Id="rId2" Type="http://schemas.openxmlformats.org/officeDocument/2006/relationships/hyperlink" Target="https://doi.org/10.1016/j.cplett.2010.12.015" TargetMode="External"/><Relationship Id="rId1" Type="http://schemas.openxmlformats.org/officeDocument/2006/relationships/hyperlink" Target="https://doi.org/10.1063/1.4788667" TargetMode="External"/><Relationship Id="rId6" Type="http://schemas.openxmlformats.org/officeDocument/2006/relationships/hyperlink" Target="https://doi.org/10.1021/jp300477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80/00268976.2017.1307468" TargetMode="External"/><Relationship Id="rId10" Type="http://schemas.openxmlformats.org/officeDocument/2006/relationships/hyperlink" Target="https://doi.org/10.1021/acsami.9b08524" TargetMode="External"/><Relationship Id="rId4" Type="http://schemas.openxmlformats.org/officeDocument/2006/relationships/hyperlink" Target="https://doi.org/10.1016/j.powtec.2016.09.017" TargetMode="External"/><Relationship Id="rId9" Type="http://schemas.openxmlformats.org/officeDocument/2006/relationships/hyperlink" Target="https://doi.org/10.1021/acs.jpcc.8b0784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topLeftCell="A10" workbookViewId="0">
      <pane xSplit="3" topLeftCell="K1" activePane="topRight" state="frozen"/>
      <selection pane="topRight" activeCell="C2" sqref="C2:C77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230</v>
      </c>
      <c r="B1" s="6" t="s">
        <v>233</v>
      </c>
      <c r="C1" s="3" t="s">
        <v>283</v>
      </c>
      <c r="D1" s="5" t="s">
        <v>257</v>
      </c>
      <c r="E1" s="5" t="s">
        <v>258</v>
      </c>
      <c r="F1" s="5" t="s">
        <v>259</v>
      </c>
      <c r="G1" s="5" t="s">
        <v>260</v>
      </c>
      <c r="H1" s="5" t="s">
        <v>261</v>
      </c>
      <c r="I1" s="5" t="s">
        <v>262</v>
      </c>
      <c r="J1" s="5" t="s">
        <v>263</v>
      </c>
      <c r="K1" s="5" t="s">
        <v>264</v>
      </c>
      <c r="L1" s="5" t="s">
        <v>265</v>
      </c>
      <c r="M1" s="5" t="s">
        <v>266</v>
      </c>
      <c r="N1" s="5" t="s">
        <v>267</v>
      </c>
      <c r="O1" s="5" t="s">
        <v>268</v>
      </c>
      <c r="P1" s="5" t="s">
        <v>269</v>
      </c>
      <c r="Q1" s="5" t="s">
        <v>270</v>
      </c>
      <c r="R1" s="5" t="s">
        <v>271</v>
      </c>
      <c r="S1" s="5" t="s">
        <v>272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279</v>
      </c>
      <c r="AA1" s="5" t="s">
        <v>280</v>
      </c>
      <c r="AB1" s="5" t="s">
        <v>281</v>
      </c>
      <c r="AC1" s="5" t="s">
        <v>282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pans="1:33" ht="15.75" customHeight="1" x14ac:dyDescent="0.25">
      <c r="A2" s="2">
        <v>1</v>
      </c>
      <c r="B2" s="4" t="s">
        <v>231</v>
      </c>
      <c r="C2" s="2" t="s">
        <v>1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304</v>
      </c>
      <c r="Z2" s="2" t="s">
        <v>304</v>
      </c>
      <c r="AA2" s="2" t="s">
        <v>304</v>
      </c>
      <c r="AB2" s="2" t="s">
        <v>304</v>
      </c>
      <c r="AC2" s="2" t="s">
        <v>304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256</v>
      </c>
      <c r="C3" s="2" t="s">
        <v>3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232</v>
      </c>
      <c r="C4" s="2" t="s">
        <v>7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304</v>
      </c>
      <c r="AC4" s="2" t="s">
        <v>304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234</v>
      </c>
      <c r="C5" s="2" t="s">
        <v>9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235</v>
      </c>
      <c r="C6" s="2" t="s">
        <v>12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236</v>
      </c>
      <c r="C7" s="2" t="s">
        <v>15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237</v>
      </c>
      <c r="C8" s="2" t="s">
        <v>17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238</v>
      </c>
      <c r="C9" s="2" t="s">
        <v>20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239</v>
      </c>
      <c r="C10" s="2" t="s">
        <v>22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240</v>
      </c>
      <c r="C11" s="2" t="s">
        <v>26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242</v>
      </c>
      <c r="C12" s="2" t="s">
        <v>28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243</v>
      </c>
      <c r="C13" s="2" t="s">
        <v>34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304</v>
      </c>
      <c r="Z13" s="2" t="s">
        <v>304</v>
      </c>
      <c r="AA13" s="2" t="s">
        <v>304</v>
      </c>
      <c r="AB13" s="2" t="s">
        <v>304</v>
      </c>
      <c r="AC13" s="2" t="s">
        <v>304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244</v>
      </c>
      <c r="C14" s="2" t="s">
        <v>39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245</v>
      </c>
      <c r="C15" s="2" t="s">
        <v>42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246</v>
      </c>
      <c r="C16" s="2" t="s">
        <v>46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241</v>
      </c>
      <c r="C17" s="2" t="s">
        <v>52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247</v>
      </c>
      <c r="C18" s="2" t="s">
        <v>56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304</v>
      </c>
      <c r="Z18" s="2" t="s">
        <v>304</v>
      </c>
      <c r="AA18" s="2" t="s">
        <v>304</v>
      </c>
      <c r="AB18" s="2" t="s">
        <v>304</v>
      </c>
      <c r="AC18" s="2" t="s">
        <v>304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248</v>
      </c>
      <c r="C19" s="2" t="s">
        <v>58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304</v>
      </c>
      <c r="Z19" s="2" t="s">
        <v>304</v>
      </c>
      <c r="AA19" s="2" t="s">
        <v>304</v>
      </c>
      <c r="AB19" s="2" t="s">
        <v>304</v>
      </c>
      <c r="AC19" s="2" t="s">
        <v>304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249</v>
      </c>
      <c r="C20" s="2" t="s">
        <v>61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304</v>
      </c>
      <c r="Z20" s="2" t="s">
        <v>304</v>
      </c>
      <c r="AA20" s="2" t="s">
        <v>304</v>
      </c>
      <c r="AB20" s="2" t="s">
        <v>304</v>
      </c>
      <c r="AC20" s="2" t="s">
        <v>304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250</v>
      </c>
      <c r="C21" s="2" t="s">
        <v>65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251</v>
      </c>
      <c r="C22" s="2" t="s">
        <v>67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252</v>
      </c>
      <c r="C23" s="2" t="s">
        <v>69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304</v>
      </c>
      <c r="Z23" s="2" t="s">
        <v>304</v>
      </c>
      <c r="AA23" s="2" t="s">
        <v>304</v>
      </c>
      <c r="AB23" s="2" t="s">
        <v>304</v>
      </c>
      <c r="AC23" s="2" t="s">
        <v>304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253</v>
      </c>
      <c r="C24" s="2" t="s">
        <v>71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293</v>
      </c>
      <c r="C25" s="2" t="s">
        <v>73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294</v>
      </c>
      <c r="C26" s="2" t="s">
        <v>75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254</v>
      </c>
      <c r="C27" s="2" t="s">
        <v>77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304</v>
      </c>
      <c r="Z27" s="2" t="s">
        <v>304</v>
      </c>
      <c r="AA27" s="2" t="s">
        <v>304</v>
      </c>
      <c r="AB27" s="2" t="s">
        <v>304</v>
      </c>
      <c r="AC27" s="2" t="s">
        <v>304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255</v>
      </c>
      <c r="C28" s="2" t="s">
        <v>79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304</v>
      </c>
      <c r="AC28" s="2" t="s">
        <v>304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297</v>
      </c>
      <c r="C29" s="2" t="s">
        <v>81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296</v>
      </c>
      <c r="C30" s="2" t="s">
        <v>83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295</v>
      </c>
      <c r="C31" s="2" t="s">
        <v>86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305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298</v>
      </c>
      <c r="C32" s="2" t="s">
        <v>90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92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284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304</v>
      </c>
      <c r="Z33" s="2" t="s">
        <v>304</v>
      </c>
      <c r="AA33" s="2" t="s">
        <v>304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95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304</v>
      </c>
      <c r="Z34" s="2" t="s">
        <v>304</v>
      </c>
      <c r="AA34" s="2" t="s">
        <v>304</v>
      </c>
      <c r="AB34" s="2" t="s">
        <v>304</v>
      </c>
      <c r="AC34" s="2" t="s">
        <v>304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97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101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105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108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114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116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304</v>
      </c>
      <c r="Z40" s="2" t="s">
        <v>304</v>
      </c>
      <c r="AA40" s="2" t="s">
        <v>304</v>
      </c>
      <c r="AB40" s="2" t="s">
        <v>304</v>
      </c>
      <c r="AC40" s="2" t="s">
        <v>304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119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121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304</v>
      </c>
      <c r="Z42" s="2" t="s">
        <v>304</v>
      </c>
      <c r="AA42" s="2" t="s">
        <v>304</v>
      </c>
      <c r="AB42" s="2" t="s">
        <v>304</v>
      </c>
      <c r="AC42" s="2" t="s">
        <v>304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123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126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304</v>
      </c>
      <c r="AC44" s="2" t="s">
        <v>304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128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304</v>
      </c>
      <c r="Z45" s="2" t="s">
        <v>304</v>
      </c>
      <c r="AA45" s="2" t="s">
        <v>304</v>
      </c>
      <c r="AB45" s="2" t="s">
        <v>304</v>
      </c>
      <c r="AC45" s="2" t="s">
        <v>304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132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135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138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284</v>
      </c>
      <c r="T48" s="2">
        <v>3</v>
      </c>
      <c r="U48" s="2">
        <v>6</v>
      </c>
      <c r="V48" s="2">
        <v>1.99</v>
      </c>
      <c r="Y48" s="2" t="s">
        <v>304</v>
      </c>
      <c r="Z48" s="2" t="s">
        <v>304</v>
      </c>
      <c r="AA48" s="2" t="s">
        <v>304</v>
      </c>
      <c r="AB48" s="2" t="s">
        <v>304</v>
      </c>
      <c r="AC48" s="2" t="s">
        <v>304</v>
      </c>
      <c r="AD48" s="2">
        <v>3000</v>
      </c>
      <c r="AE48" s="2">
        <v>1441</v>
      </c>
      <c r="AF48" s="2">
        <v>200</v>
      </c>
      <c r="AG48" s="2" t="s">
        <v>303</v>
      </c>
    </row>
    <row r="49" spans="3:33" ht="15.75" customHeight="1" x14ac:dyDescent="0.25">
      <c r="C49" s="2" t="s">
        <v>140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304</v>
      </c>
      <c r="Z49" s="2" t="s">
        <v>304</v>
      </c>
      <c r="AA49" s="2" t="s">
        <v>304</v>
      </c>
      <c r="AB49" s="2" t="s">
        <v>304</v>
      </c>
      <c r="AC49" s="2" t="s">
        <v>304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142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145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304</v>
      </c>
      <c r="Z51" s="2" t="s">
        <v>304</v>
      </c>
      <c r="AA51" s="2" t="s">
        <v>304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149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154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306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156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158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304</v>
      </c>
      <c r="Z55" s="2" t="s">
        <v>304</v>
      </c>
      <c r="AA55" s="2" t="s">
        <v>304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161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165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168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304</v>
      </c>
      <c r="AC58" s="2" t="s">
        <v>304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170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172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304</v>
      </c>
      <c r="Z60" s="2" t="s">
        <v>304</v>
      </c>
      <c r="AA60" s="2" t="s">
        <v>304</v>
      </c>
      <c r="AB60" s="2" t="s">
        <v>304</v>
      </c>
      <c r="AC60" s="2" t="s">
        <v>304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175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178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304</v>
      </c>
      <c r="Z62" s="2" t="s">
        <v>304</v>
      </c>
      <c r="AA62" s="2" t="s">
        <v>304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181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183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304</v>
      </c>
      <c r="Z64" s="2" t="s">
        <v>304</v>
      </c>
      <c r="AA64" s="2" t="s">
        <v>304</v>
      </c>
      <c r="AB64" s="2" t="s">
        <v>304</v>
      </c>
      <c r="AC64" s="2" t="s">
        <v>304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186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189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304</v>
      </c>
      <c r="AC66" s="2" t="s">
        <v>304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192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304</v>
      </c>
      <c r="Z67" s="2" t="s">
        <v>304</v>
      </c>
      <c r="AA67" s="2" t="s">
        <v>304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196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202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304</v>
      </c>
      <c r="AC69" s="2" t="s">
        <v>304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206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304</v>
      </c>
      <c r="Z70" s="2" t="s">
        <v>304</v>
      </c>
      <c r="AA70" s="2" t="s">
        <v>304</v>
      </c>
      <c r="AB70" s="2" t="s">
        <v>304</v>
      </c>
      <c r="AC70" s="2" t="s">
        <v>304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209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304</v>
      </c>
      <c r="Z71" s="2" t="s">
        <v>304</v>
      </c>
      <c r="AA71" s="2" t="s">
        <v>304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212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219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222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224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304</v>
      </c>
      <c r="Z75" s="2" t="s">
        <v>304</v>
      </c>
      <c r="AA75" s="2" t="s">
        <v>304</v>
      </c>
      <c r="AB75" s="2" t="s">
        <v>304</v>
      </c>
      <c r="AC75" s="2" t="s">
        <v>304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226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228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AM298"/>
  <sheetViews>
    <sheetView zoomScaleNormal="100" workbookViewId="0">
      <pane xSplit="3" topLeftCell="D1" activePane="topRight" state="frozen"/>
      <selection pane="topRight" activeCell="H107" sqref="H107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7.28515625" style="1" customWidth="1"/>
    <col min="4" max="5" width="17.28515625" style="24" customWidth="1"/>
    <col min="6" max="6" width="12.140625" style="24" customWidth="1"/>
    <col min="7" max="7" width="15.140625" style="24" customWidth="1"/>
    <col min="8" max="8" width="12.7109375" style="24" customWidth="1"/>
    <col min="9" max="9" width="14.5703125" style="29" customWidth="1"/>
    <col min="10" max="10" width="14.140625" style="29" customWidth="1"/>
    <col min="11" max="11" width="12.42578125" style="1" customWidth="1"/>
    <col min="12" max="12" width="14.28515625" style="24" customWidth="1"/>
    <col min="13" max="13" width="42.28515625" style="31" customWidth="1"/>
    <col min="14" max="14" width="15.42578125" style="1" customWidth="1"/>
    <col min="15" max="15" width="19.140625" style="1" customWidth="1"/>
    <col min="16" max="16" width="19.28515625" style="1" customWidth="1"/>
    <col min="17" max="17" width="21.28515625" style="1" customWidth="1"/>
    <col min="18" max="18" width="20.28515625" style="1" customWidth="1"/>
    <col min="19" max="19" width="16.28515625" style="1" customWidth="1"/>
    <col min="20" max="20" width="11.85546875" style="1" customWidth="1"/>
    <col min="21" max="21" width="17.28515625" style="1" customWidth="1"/>
    <col min="22" max="22" width="14.7109375" style="1" customWidth="1"/>
    <col min="23" max="23" width="19.140625" style="16" customWidth="1"/>
    <col min="24" max="24" width="14" style="1" customWidth="1"/>
    <col min="25" max="25" width="19.140625" style="16" customWidth="1"/>
    <col min="26" max="27" width="17.28515625" style="1" customWidth="1"/>
    <col min="28" max="28" width="19.140625" style="29" customWidth="1"/>
    <col min="29" max="29" width="19.140625" style="16" customWidth="1"/>
    <col min="30" max="30" width="32.7109375" style="16" customWidth="1"/>
    <col min="31" max="31" width="9.140625" style="1"/>
    <col min="32" max="32" width="17.28515625" style="1" customWidth="1"/>
    <col min="33" max="16384" width="9.140625" style="1"/>
  </cols>
  <sheetData>
    <row r="1" spans="1:39" s="8" customFormat="1" x14ac:dyDescent="0.2">
      <c r="A1" s="5" t="s">
        <v>230</v>
      </c>
      <c r="B1" s="5" t="s">
        <v>233</v>
      </c>
      <c r="C1" s="3" t="s">
        <v>497</v>
      </c>
      <c r="D1" s="25" t="s">
        <v>498</v>
      </c>
      <c r="E1" s="25" t="s">
        <v>499</v>
      </c>
      <c r="F1" s="32" t="s">
        <v>500</v>
      </c>
      <c r="G1" s="32" t="s">
        <v>501</v>
      </c>
      <c r="H1" s="32" t="s">
        <v>502</v>
      </c>
      <c r="I1" s="28" t="s">
        <v>503</v>
      </c>
      <c r="J1" s="28" t="s">
        <v>504</v>
      </c>
      <c r="K1" s="32" t="s">
        <v>505</v>
      </c>
      <c r="L1" s="32" t="s">
        <v>507</v>
      </c>
      <c r="M1" s="33" t="s">
        <v>537</v>
      </c>
      <c r="N1" s="5" t="s">
        <v>506</v>
      </c>
      <c r="O1" s="5" t="s">
        <v>508</v>
      </c>
      <c r="P1" s="5" t="s">
        <v>509</v>
      </c>
      <c r="Q1" s="5" t="s">
        <v>510</v>
      </c>
      <c r="R1" s="5" t="s">
        <v>511</v>
      </c>
      <c r="S1" s="5" t="s">
        <v>512</v>
      </c>
      <c r="T1" s="27" t="s">
        <v>513</v>
      </c>
      <c r="U1" s="27" t="s">
        <v>514</v>
      </c>
      <c r="V1" s="5" t="s">
        <v>515</v>
      </c>
      <c r="W1" s="17" t="s">
        <v>516</v>
      </c>
      <c r="X1" s="5" t="s">
        <v>518</v>
      </c>
      <c r="Y1" s="17" t="s">
        <v>517</v>
      </c>
      <c r="Z1" s="3" t="s">
        <v>350</v>
      </c>
      <c r="AA1" s="3"/>
      <c r="AB1" s="28"/>
      <c r="AC1" s="17"/>
      <c r="AD1" s="17"/>
      <c r="AE1" s="2"/>
      <c r="AF1" s="26"/>
      <c r="AG1" s="2"/>
      <c r="AH1" s="7"/>
      <c r="AI1" s="7"/>
      <c r="AJ1" s="7"/>
      <c r="AK1" s="2"/>
      <c r="AL1" s="2"/>
      <c r="AM1" s="2"/>
    </row>
    <row r="2" spans="1:39" ht="15" x14ac:dyDescent="0.2">
      <c r="A2" s="2">
        <v>1</v>
      </c>
      <c r="B2" s="2" t="s">
        <v>309</v>
      </c>
      <c r="C2" s="2" t="s">
        <v>0</v>
      </c>
      <c r="D2" s="7">
        <v>-0.33800000000000002</v>
      </c>
      <c r="E2" s="7">
        <v>-0.13800000000000001</v>
      </c>
      <c r="F2" s="7">
        <v>-2.1800000000000002</v>
      </c>
      <c r="G2" s="7">
        <v>7.016</v>
      </c>
      <c r="H2" s="7">
        <v>3</v>
      </c>
      <c r="I2" s="29">
        <v>35</v>
      </c>
      <c r="J2" s="29">
        <v>103</v>
      </c>
      <c r="K2" s="7">
        <v>3.52</v>
      </c>
      <c r="L2" s="7">
        <f>-1107/$B$25</f>
        <v>-11.473286003005649</v>
      </c>
      <c r="M2" s="30" t="s">
        <v>536</v>
      </c>
      <c r="N2" s="2"/>
      <c r="O2" s="2"/>
      <c r="P2" s="2"/>
      <c r="Q2" s="2"/>
      <c r="R2" s="2"/>
      <c r="S2" s="2"/>
      <c r="T2" s="18">
        <v>8.9700000000000006</v>
      </c>
      <c r="U2" s="18">
        <v>18.576000000000001</v>
      </c>
      <c r="V2" s="2"/>
      <c r="W2" s="16">
        <v>164</v>
      </c>
      <c r="X2" s="2"/>
      <c r="Y2" s="16" t="s">
        <v>528</v>
      </c>
      <c r="Z2" s="2">
        <v>1977</v>
      </c>
      <c r="AA2" s="2"/>
      <c r="AD2" s="18"/>
      <c r="AE2" s="2"/>
      <c r="AF2" s="26"/>
      <c r="AG2" s="2"/>
      <c r="AH2" s="7"/>
      <c r="AI2" s="7"/>
      <c r="AJ2" s="7"/>
      <c r="AK2" s="2"/>
      <c r="AL2" s="2"/>
      <c r="AM2" s="7"/>
    </row>
    <row r="3" spans="1:39" x14ac:dyDescent="0.2">
      <c r="A3" s="2">
        <v>2</v>
      </c>
      <c r="B3" s="2" t="s">
        <v>310</v>
      </c>
      <c r="C3" s="2" t="s">
        <v>2</v>
      </c>
      <c r="D3" s="7">
        <v>-0.29899999999999999</v>
      </c>
      <c r="E3" s="7">
        <v>-0.157</v>
      </c>
      <c r="F3" s="7">
        <v>-2.34</v>
      </c>
      <c r="G3" s="7">
        <v>3.1669999999999998</v>
      </c>
      <c r="H3" s="7">
        <v>1</v>
      </c>
      <c r="I3" s="29">
        <v>0</v>
      </c>
      <c r="J3" s="29">
        <v>68</v>
      </c>
      <c r="K3" s="7">
        <v>0</v>
      </c>
      <c r="L3" s="7">
        <f>-31.1/$B$25</f>
        <v>-0.32232989583873145</v>
      </c>
      <c r="M3" s="34"/>
      <c r="N3" s="2"/>
      <c r="O3" s="2"/>
      <c r="P3" s="2"/>
      <c r="Q3" s="2"/>
      <c r="R3" s="2"/>
      <c r="S3" s="2"/>
      <c r="T3" s="18">
        <v>6.78</v>
      </c>
      <c r="U3" s="18">
        <v>18.906666666666666</v>
      </c>
      <c r="V3" s="2"/>
      <c r="W3" s="16">
        <v>224</v>
      </c>
      <c r="X3" s="2"/>
      <c r="Y3" s="16" t="s">
        <v>529</v>
      </c>
      <c r="Z3" s="2">
        <v>200</v>
      </c>
      <c r="AA3" s="2"/>
      <c r="AD3" s="18"/>
      <c r="AE3" s="2"/>
      <c r="AF3" s="26"/>
      <c r="AG3" s="2"/>
      <c r="AH3" s="7"/>
      <c r="AI3" s="7"/>
      <c r="AJ3" s="7"/>
      <c r="AK3" s="2"/>
      <c r="AL3" s="2"/>
      <c r="AM3" s="7"/>
    </row>
    <row r="4" spans="1:39" x14ac:dyDescent="0.2">
      <c r="A4" s="2">
        <v>3</v>
      </c>
      <c r="B4" s="2" t="s">
        <v>519</v>
      </c>
      <c r="C4" s="2" t="s">
        <v>4</v>
      </c>
      <c r="D4" s="7">
        <v>-0.29899999999999999</v>
      </c>
      <c r="E4" s="7">
        <v>-0.29899999999999999</v>
      </c>
      <c r="F4" s="7">
        <v>-2.6850000000000001</v>
      </c>
      <c r="G4" s="7">
        <v>3.1739999999999999</v>
      </c>
      <c r="H4" s="7">
        <v>2.67</v>
      </c>
      <c r="I4" s="29">
        <v>22</v>
      </c>
      <c r="J4" s="29">
        <v>87</v>
      </c>
      <c r="K4" s="7">
        <v>0</v>
      </c>
      <c r="L4" s="7" t="s">
        <v>304</v>
      </c>
      <c r="M4" s="34"/>
      <c r="N4" s="2"/>
      <c r="O4" s="2"/>
      <c r="P4" s="2"/>
      <c r="Q4" s="2"/>
      <c r="R4" s="2"/>
      <c r="S4" s="2"/>
      <c r="T4" s="18">
        <v>6.55</v>
      </c>
      <c r="U4" s="18">
        <v>14.027142857142858</v>
      </c>
      <c r="V4" s="2"/>
      <c r="W4" s="16">
        <v>14</v>
      </c>
      <c r="X4" s="2"/>
      <c r="Y4" s="16" t="s">
        <v>530</v>
      </c>
      <c r="Z4" s="2" t="s">
        <v>304</v>
      </c>
      <c r="AA4" s="2"/>
      <c r="AD4" s="18"/>
      <c r="AE4" s="2"/>
      <c r="AF4" s="26"/>
      <c r="AG4" s="2"/>
      <c r="AH4" s="7"/>
      <c r="AI4" s="7"/>
      <c r="AJ4" s="7"/>
      <c r="AK4" s="2"/>
      <c r="AL4" s="2"/>
      <c r="AM4" s="7"/>
    </row>
    <row r="5" spans="1:39" x14ac:dyDescent="0.2">
      <c r="A5" s="2">
        <v>4</v>
      </c>
      <c r="B5" s="2" t="s">
        <v>521</v>
      </c>
      <c r="C5" s="2" t="s">
        <v>5</v>
      </c>
      <c r="D5" s="7">
        <v>-0.29899999999999999</v>
      </c>
      <c r="E5" s="7">
        <v>-0.29899999999999999</v>
      </c>
      <c r="F5" s="7">
        <v>-2.577</v>
      </c>
      <c r="G5" s="7">
        <v>3.2349999999999999</v>
      </c>
      <c r="H5" s="7">
        <v>2</v>
      </c>
      <c r="I5" s="29">
        <v>21</v>
      </c>
      <c r="J5" s="29">
        <v>84</v>
      </c>
      <c r="K5" s="7">
        <v>0</v>
      </c>
      <c r="L5" s="7">
        <v>-0.252</v>
      </c>
      <c r="M5" s="34"/>
      <c r="N5" s="2">
        <v>2.9529999999999998</v>
      </c>
      <c r="O5" s="2">
        <v>4</v>
      </c>
      <c r="P5" s="2">
        <v>4</v>
      </c>
      <c r="Q5" s="2">
        <v>0.80200000000000005</v>
      </c>
      <c r="R5" s="2">
        <v>2.165</v>
      </c>
      <c r="S5" s="2">
        <v>1.67</v>
      </c>
      <c r="T5" s="18">
        <v>6.82</v>
      </c>
      <c r="U5" s="18">
        <v>15.0875</v>
      </c>
      <c r="V5" s="2">
        <v>0.59499999999999997</v>
      </c>
      <c r="W5" s="16">
        <v>15</v>
      </c>
      <c r="X5" s="2">
        <v>5</v>
      </c>
      <c r="Y5" s="16" t="s">
        <v>530</v>
      </c>
      <c r="Z5" s="2" t="s">
        <v>304</v>
      </c>
      <c r="AA5" s="2"/>
      <c r="AD5" s="18"/>
      <c r="AE5" s="2"/>
      <c r="AF5" s="26"/>
      <c r="AG5" s="2"/>
      <c r="AH5" s="7"/>
      <c r="AI5" s="7"/>
      <c r="AJ5" s="7"/>
      <c r="AK5" s="2"/>
      <c r="AL5" s="2"/>
      <c r="AM5" s="7"/>
    </row>
    <row r="6" spans="1:39" x14ac:dyDescent="0.2">
      <c r="A6" s="2">
        <v>5</v>
      </c>
      <c r="B6" s="2" t="s">
        <v>520</v>
      </c>
      <c r="C6" s="2" t="s">
        <v>8</v>
      </c>
      <c r="D6" s="7">
        <v>-0.33800000000000002</v>
      </c>
      <c r="E6" s="7">
        <v>-0.19700000000000001</v>
      </c>
      <c r="F6" s="7">
        <v>-2.8660000000000001</v>
      </c>
      <c r="G6" s="7">
        <v>4.3929999999999998</v>
      </c>
      <c r="H6" s="7">
        <v>3</v>
      </c>
      <c r="I6" s="29">
        <v>8</v>
      </c>
      <c r="J6" s="29">
        <v>10</v>
      </c>
      <c r="K6" s="7">
        <v>3.62</v>
      </c>
      <c r="L6" s="7">
        <f>-654.796/$B$25</f>
        <v>-6.7865056744571701</v>
      </c>
      <c r="M6" s="34"/>
      <c r="N6" s="2"/>
      <c r="O6" s="2"/>
      <c r="P6" s="2"/>
      <c r="Q6" s="2"/>
      <c r="R6" s="2"/>
      <c r="S6" s="2"/>
      <c r="T6" s="18">
        <v>3.47</v>
      </c>
      <c r="U6" s="18">
        <v>18.948500000000003</v>
      </c>
      <c r="V6" s="2"/>
      <c r="W6" s="16">
        <v>14</v>
      </c>
      <c r="X6" s="2"/>
      <c r="Y6" s="16" t="s">
        <v>530</v>
      </c>
      <c r="Z6" s="2">
        <v>312</v>
      </c>
      <c r="AA6" s="2"/>
      <c r="AD6" s="18"/>
      <c r="AE6" s="2"/>
      <c r="AF6" s="26"/>
      <c r="AG6" s="2"/>
      <c r="AH6" s="7"/>
      <c r="AI6" s="7"/>
      <c r="AJ6" s="7"/>
      <c r="AK6" s="2"/>
      <c r="AL6" s="2"/>
      <c r="AM6" s="7"/>
    </row>
    <row r="7" spans="1:39" x14ac:dyDescent="0.2">
      <c r="A7" s="2">
        <v>6</v>
      </c>
      <c r="B7" s="2" t="s">
        <v>522</v>
      </c>
      <c r="C7" s="2" t="s">
        <v>10</v>
      </c>
      <c r="D7" s="7">
        <v>-0.33800000000000002</v>
      </c>
      <c r="E7" s="7">
        <v>-0.33800000000000002</v>
      </c>
      <c r="F7" s="7">
        <v>-3.02</v>
      </c>
      <c r="G7" s="7">
        <v>4.2869999999999999</v>
      </c>
      <c r="H7" s="7">
        <v>5</v>
      </c>
      <c r="I7" s="29">
        <v>47</v>
      </c>
      <c r="J7" s="29">
        <v>93</v>
      </c>
      <c r="K7" s="7">
        <v>1.34</v>
      </c>
      <c r="L7" s="7">
        <f>-924.9/$B$25</f>
        <v>-9.5859460019692175</v>
      </c>
      <c r="M7" s="34"/>
      <c r="N7" s="2"/>
      <c r="O7" s="2"/>
      <c r="P7" s="2"/>
      <c r="Q7" s="2"/>
      <c r="R7" s="2"/>
      <c r="S7" s="2"/>
      <c r="T7" s="18">
        <v>4.22</v>
      </c>
      <c r="U7" s="18">
        <v>12.927857142857144</v>
      </c>
      <c r="V7" s="2"/>
      <c r="W7" s="16">
        <v>92</v>
      </c>
      <c r="X7" s="2"/>
      <c r="Y7" s="16" t="s">
        <v>531</v>
      </c>
      <c r="Z7" s="2">
        <v>315</v>
      </c>
      <c r="AA7" s="2"/>
      <c r="AD7" s="18"/>
      <c r="AE7" s="2"/>
      <c r="AF7" s="26"/>
      <c r="AG7" s="2"/>
      <c r="AH7" s="7"/>
      <c r="AI7" s="7"/>
      <c r="AJ7" s="7"/>
      <c r="AK7" s="2"/>
      <c r="AL7" s="2"/>
      <c r="AM7" s="7"/>
    </row>
    <row r="8" spans="1:39" x14ac:dyDescent="0.2">
      <c r="A8" s="2">
        <v>7</v>
      </c>
      <c r="B8" s="2" t="s">
        <v>523</v>
      </c>
      <c r="C8" s="2" t="s">
        <v>11</v>
      </c>
      <c r="D8" s="7">
        <v>-0.30499999999999999</v>
      </c>
      <c r="E8" s="7">
        <v>-0.30499999999999999</v>
      </c>
      <c r="F8" s="7">
        <v>-3.0470000000000002</v>
      </c>
      <c r="G8" s="7">
        <v>3.5550000000000002</v>
      </c>
      <c r="H8" s="7">
        <v>3</v>
      </c>
      <c r="I8" s="29">
        <v>38</v>
      </c>
      <c r="J8" s="29">
        <v>81</v>
      </c>
      <c r="K8" s="7">
        <v>0.82</v>
      </c>
      <c r="L8" s="7">
        <v>-1.7999999999999999E-2</v>
      </c>
      <c r="M8" s="34"/>
      <c r="N8" s="2">
        <v>3.8159999999999998</v>
      </c>
      <c r="O8" s="2">
        <v>4</v>
      </c>
      <c r="P8" s="2">
        <v>3</v>
      </c>
      <c r="Q8" s="2">
        <v>0.877</v>
      </c>
      <c r="R8" s="2">
        <v>1.9910000000000001</v>
      </c>
      <c r="S8" s="2">
        <v>2.5779999999999998</v>
      </c>
      <c r="T8" s="18">
        <v>10.41</v>
      </c>
      <c r="U8" s="18">
        <v>14.103</v>
      </c>
      <c r="V8" s="2">
        <v>0.33100000000000002</v>
      </c>
      <c r="W8" s="16">
        <v>43</v>
      </c>
      <c r="X8" s="2">
        <v>5</v>
      </c>
      <c r="Y8" s="16" t="s">
        <v>532</v>
      </c>
      <c r="Z8" s="2">
        <v>150</v>
      </c>
      <c r="AA8" s="2"/>
      <c r="AD8" s="18"/>
      <c r="AE8" s="2"/>
      <c r="AF8" s="26"/>
      <c r="AG8" s="2"/>
      <c r="AH8" s="7"/>
      <c r="AI8" s="7"/>
      <c r="AJ8" s="7"/>
      <c r="AK8" s="2"/>
      <c r="AL8" s="2"/>
      <c r="AM8" s="7"/>
    </row>
    <row r="9" spans="1:39" x14ac:dyDescent="0.2">
      <c r="A9" s="2">
        <v>8</v>
      </c>
      <c r="B9" s="2" t="s">
        <v>524</v>
      </c>
      <c r="C9" s="2" t="s">
        <v>13</v>
      </c>
      <c r="D9" s="7">
        <v>-0.33800000000000002</v>
      </c>
      <c r="E9" s="7">
        <v>-0.33800000000000002</v>
      </c>
      <c r="F9" s="7">
        <v>-2.7909999999999999</v>
      </c>
      <c r="G9" s="7">
        <v>6.7</v>
      </c>
      <c r="H9" s="7">
        <v>3</v>
      </c>
      <c r="I9" s="29">
        <v>36</v>
      </c>
      <c r="J9" s="29">
        <v>33</v>
      </c>
      <c r="K9" s="7">
        <v>6.31</v>
      </c>
      <c r="L9" s="7">
        <f>-1273.5/$B$25</f>
        <v>-13.198942840856091</v>
      </c>
      <c r="M9" s="34"/>
      <c r="N9" s="2"/>
      <c r="O9" s="2"/>
      <c r="P9" s="2"/>
      <c r="Q9" s="2"/>
      <c r="R9" s="2"/>
      <c r="S9" s="2"/>
      <c r="T9" s="18">
        <v>2.4</v>
      </c>
      <c r="U9" s="18">
        <v>9.640666666666668</v>
      </c>
      <c r="V9" s="2"/>
      <c r="W9" s="16">
        <v>152</v>
      </c>
      <c r="X9" s="2"/>
      <c r="Y9" s="16" t="s">
        <v>528</v>
      </c>
      <c r="Z9" s="2">
        <v>450</v>
      </c>
      <c r="AA9" s="2"/>
      <c r="AD9" s="18"/>
      <c r="AE9" s="2"/>
      <c r="AF9" s="26"/>
      <c r="AG9" s="2"/>
      <c r="AH9" s="7"/>
      <c r="AI9" s="7"/>
      <c r="AJ9" s="7"/>
      <c r="AK9" s="2"/>
      <c r="AL9" s="2"/>
      <c r="AM9" s="7"/>
    </row>
    <row r="10" spans="1:39" ht="14.25" customHeight="1" x14ac:dyDescent="0.2">
      <c r="A10" s="2">
        <v>9</v>
      </c>
      <c r="B10" s="2" t="s">
        <v>285</v>
      </c>
      <c r="C10" s="2" t="s">
        <v>14</v>
      </c>
      <c r="D10" s="7">
        <v>-0.13700000000000001</v>
      </c>
      <c r="E10" s="7">
        <v>-0.13700000000000001</v>
      </c>
      <c r="F10" s="7">
        <v>-2.198</v>
      </c>
      <c r="G10" s="7">
        <v>6.1609999999999996</v>
      </c>
      <c r="H10" s="7" t="s">
        <v>304</v>
      </c>
      <c r="I10" s="29">
        <v>207</v>
      </c>
      <c r="J10" s="29">
        <v>227</v>
      </c>
      <c r="K10" s="7">
        <v>1.93</v>
      </c>
      <c r="L10" s="7">
        <f>527/$B$25</f>
        <v>5.4619889101932939</v>
      </c>
      <c r="M10" s="35" t="s">
        <v>535</v>
      </c>
      <c r="N10" s="2"/>
      <c r="O10" s="2"/>
      <c r="P10" s="2"/>
      <c r="Q10" s="2"/>
      <c r="R10" s="2"/>
      <c r="S10" s="2"/>
      <c r="T10" s="18">
        <v>2.6</v>
      </c>
      <c r="U10" s="18">
        <v>7.3892857142857142</v>
      </c>
      <c r="V10" s="2"/>
      <c r="W10" s="16">
        <v>166</v>
      </c>
      <c r="X10" s="2"/>
      <c r="Y10" s="16" t="s">
        <v>528</v>
      </c>
      <c r="Z10" s="2">
        <v>2000</v>
      </c>
      <c r="AA10" s="2"/>
      <c r="AD10" s="18"/>
      <c r="AE10" s="2"/>
      <c r="AF10" s="26"/>
      <c r="AG10" s="2"/>
      <c r="AH10" s="7"/>
      <c r="AI10" s="7"/>
      <c r="AJ10" s="7"/>
      <c r="AK10" s="2"/>
      <c r="AL10" s="2"/>
      <c r="AM10" s="7"/>
    </row>
    <row r="11" spans="1:39" x14ac:dyDescent="0.2">
      <c r="A11" s="2">
        <v>10</v>
      </c>
      <c r="B11" s="2" t="s">
        <v>286</v>
      </c>
      <c r="C11" s="2" t="s">
        <v>16</v>
      </c>
      <c r="D11" s="7">
        <v>-0.33800000000000002</v>
      </c>
      <c r="E11" s="7">
        <v>-0.11899999999999999</v>
      </c>
      <c r="F11" s="7">
        <v>-1.75</v>
      </c>
      <c r="G11" s="7">
        <v>5.0880000000000001</v>
      </c>
      <c r="H11" s="7">
        <v>2</v>
      </c>
      <c r="I11" s="29">
        <v>38</v>
      </c>
      <c r="J11" s="29">
        <v>68</v>
      </c>
      <c r="K11" s="7">
        <v>2.09</v>
      </c>
      <c r="L11" s="7">
        <f>-548/$B$25</f>
        <v>-5.679639322174431</v>
      </c>
      <c r="M11" s="34"/>
      <c r="N11" s="2"/>
      <c r="O11" s="2"/>
      <c r="P11" s="2"/>
      <c r="Q11" s="2"/>
      <c r="R11" s="2"/>
      <c r="S11" s="2"/>
      <c r="T11" s="18">
        <v>5.75</v>
      </c>
      <c r="U11" s="18">
        <v>22.125</v>
      </c>
      <c r="V11" s="2"/>
      <c r="W11" s="16">
        <v>225</v>
      </c>
      <c r="X11" s="2"/>
      <c r="Y11" s="16" t="s">
        <v>529</v>
      </c>
      <c r="Z11" s="2">
        <v>1972</v>
      </c>
      <c r="AA11" s="2"/>
      <c r="AD11" s="18"/>
      <c r="AE11" s="2"/>
      <c r="AF11" s="26"/>
      <c r="AG11" s="2"/>
      <c r="AH11" s="7"/>
      <c r="AI11" s="7"/>
      <c r="AJ11" s="7"/>
      <c r="AK11" s="2"/>
      <c r="AL11" s="2"/>
      <c r="AM11" s="7"/>
    </row>
    <row r="12" spans="1:39" x14ac:dyDescent="0.2">
      <c r="A12" s="2">
        <v>11</v>
      </c>
      <c r="B12" s="2" t="s">
        <v>311</v>
      </c>
      <c r="C12" s="2" t="s">
        <v>18</v>
      </c>
      <c r="D12" s="7">
        <v>-0.33800000000000002</v>
      </c>
      <c r="E12" s="7">
        <v>-0.33800000000000002</v>
      </c>
      <c r="F12" s="7">
        <v>-2.1920000000000002</v>
      </c>
      <c r="G12" s="7">
        <v>4.54</v>
      </c>
      <c r="H12" s="7">
        <v>4</v>
      </c>
      <c r="I12" s="29">
        <v>35</v>
      </c>
      <c r="J12" s="29">
        <v>67</v>
      </c>
      <c r="K12" s="7">
        <v>2.2400000000000002</v>
      </c>
      <c r="L12" s="7">
        <f>-634.294/$B$25</f>
        <v>-6.5740166865315848</v>
      </c>
      <c r="M12" s="34"/>
      <c r="N12" s="2"/>
      <c r="O12" s="2"/>
      <c r="P12" s="2"/>
      <c r="Q12" s="2"/>
      <c r="R12" s="2"/>
      <c r="S12" s="2"/>
      <c r="T12" s="18">
        <v>5.39</v>
      </c>
      <c r="U12" s="18">
        <v>17.383333333333333</v>
      </c>
      <c r="V12" s="2"/>
      <c r="W12" s="16">
        <v>139</v>
      </c>
      <c r="X12" s="2"/>
      <c r="Y12" s="16" t="s">
        <v>531</v>
      </c>
      <c r="Z12" s="2">
        <v>450</v>
      </c>
      <c r="AA12" s="2"/>
      <c r="AD12" s="18"/>
      <c r="AE12" s="2"/>
      <c r="AF12" s="26"/>
      <c r="AG12" s="2"/>
      <c r="AH12" s="7"/>
      <c r="AI12" s="7"/>
      <c r="AJ12" s="7"/>
      <c r="AK12" s="2"/>
      <c r="AL12" s="2"/>
      <c r="AM12" s="7"/>
    </row>
    <row r="13" spans="1:39" x14ac:dyDescent="0.2">
      <c r="A13" s="2">
        <v>12</v>
      </c>
      <c r="B13" s="2" t="s">
        <v>287</v>
      </c>
      <c r="C13" s="2" t="s">
        <v>19</v>
      </c>
      <c r="D13" s="7">
        <v>-0.33800000000000002</v>
      </c>
      <c r="E13" s="7">
        <v>-0.20599999999999999</v>
      </c>
      <c r="F13" s="7">
        <v>-2.3239999999999998</v>
      </c>
      <c r="G13" s="7">
        <v>6.085</v>
      </c>
      <c r="H13" s="7">
        <v>2</v>
      </c>
      <c r="I13" s="29">
        <v>156</v>
      </c>
      <c r="J13" s="29">
        <v>208</v>
      </c>
      <c r="K13" s="7">
        <v>7.46</v>
      </c>
      <c r="L13" s="7">
        <f>-609.4/$B$25</f>
        <v>-6.3160076695859457</v>
      </c>
      <c r="M13" s="34"/>
      <c r="N13" s="2"/>
      <c r="O13" s="2"/>
      <c r="P13" s="2"/>
      <c r="Q13" s="2"/>
      <c r="R13" s="2"/>
      <c r="S13" s="2"/>
      <c r="T13" s="18">
        <v>2.97</v>
      </c>
      <c r="U13" s="18">
        <v>7.0025000000000004</v>
      </c>
      <c r="V13" s="2"/>
      <c r="W13" s="16">
        <v>186</v>
      </c>
      <c r="X13" s="2"/>
      <c r="Y13" s="16" t="s">
        <v>533</v>
      </c>
      <c r="Z13" s="2">
        <v>2577</v>
      </c>
      <c r="AA13" s="2"/>
      <c r="AD13" s="18"/>
      <c r="AE13" s="2"/>
      <c r="AF13" s="26"/>
      <c r="AG13" s="2"/>
      <c r="AH13" s="7"/>
      <c r="AI13" s="7"/>
      <c r="AJ13" s="7"/>
      <c r="AK13" s="2"/>
      <c r="AL13" s="2"/>
      <c r="AM13" s="7"/>
    </row>
    <row r="14" spans="1:39" x14ac:dyDescent="0.2">
      <c r="A14" s="2">
        <v>13</v>
      </c>
      <c r="B14" s="2" t="s">
        <v>289</v>
      </c>
      <c r="C14" s="2" t="s">
        <v>21</v>
      </c>
      <c r="D14" s="7">
        <v>-0.33800000000000002</v>
      </c>
      <c r="E14" s="7">
        <v>-0.18</v>
      </c>
      <c r="F14" s="7">
        <v>-2.78</v>
      </c>
      <c r="G14" s="7">
        <v>4.09</v>
      </c>
      <c r="H14" s="7">
        <v>3</v>
      </c>
      <c r="I14" s="29">
        <v>30</v>
      </c>
      <c r="J14" s="29">
        <v>54</v>
      </c>
      <c r="K14" s="7">
        <v>2.1800000000000002</v>
      </c>
      <c r="L14" s="7">
        <f>-573.9/$B$25</f>
        <v>-5.9480748302844999</v>
      </c>
      <c r="M14" s="34"/>
      <c r="N14" s="2"/>
      <c r="O14" s="2"/>
      <c r="P14" s="2"/>
      <c r="Q14" s="2"/>
      <c r="R14" s="2"/>
      <c r="S14" s="2"/>
      <c r="T14" s="18">
        <v>9.0399999999999991</v>
      </c>
      <c r="U14" s="18">
        <v>17.11</v>
      </c>
      <c r="V14" s="2"/>
      <c r="W14" s="16">
        <v>14</v>
      </c>
      <c r="X14" s="2"/>
      <c r="Y14" s="16" t="s">
        <v>530</v>
      </c>
      <c r="Z14" s="2">
        <v>817</v>
      </c>
      <c r="AA14" s="2"/>
      <c r="AD14" s="18"/>
      <c r="AE14" s="2"/>
      <c r="AF14" s="26"/>
      <c r="AG14" s="2"/>
      <c r="AH14" s="7"/>
      <c r="AI14" s="7"/>
      <c r="AJ14" s="7"/>
      <c r="AK14" s="2"/>
      <c r="AL14" s="2"/>
      <c r="AM14" s="7"/>
    </row>
    <row r="15" spans="1:39" x14ac:dyDescent="0.2">
      <c r="A15" s="2">
        <v>14</v>
      </c>
      <c r="B15" s="2" t="s">
        <v>288</v>
      </c>
      <c r="C15" s="2" t="s">
        <v>23</v>
      </c>
      <c r="D15" s="7">
        <v>-0.33800000000000002</v>
      </c>
      <c r="E15" s="7">
        <v>-0.33800000000000002</v>
      </c>
      <c r="F15" s="7">
        <v>-2.835</v>
      </c>
      <c r="G15" s="7">
        <v>4.0339999999999998</v>
      </c>
      <c r="H15" s="7">
        <v>3.5</v>
      </c>
      <c r="I15" s="29">
        <v>0</v>
      </c>
      <c r="J15" s="29">
        <v>0</v>
      </c>
      <c r="K15" s="7">
        <v>0.89</v>
      </c>
      <c r="L15" s="7" t="s">
        <v>304</v>
      </c>
      <c r="M15" s="34"/>
      <c r="N15" s="2"/>
      <c r="O15" s="2"/>
      <c r="P15" s="2"/>
      <c r="Q15" s="2"/>
      <c r="R15" s="2"/>
      <c r="S15" s="2"/>
      <c r="T15" s="18">
        <v>8.91</v>
      </c>
      <c r="U15" s="18">
        <v>16.063181818181818</v>
      </c>
      <c r="V15" s="2"/>
      <c r="W15" s="16">
        <v>2</v>
      </c>
      <c r="X15" s="2"/>
      <c r="Y15" s="16" t="s">
        <v>534</v>
      </c>
      <c r="Z15" s="2" t="s">
        <v>304</v>
      </c>
      <c r="AA15" s="2"/>
      <c r="AD15" s="18"/>
      <c r="AE15" s="2"/>
      <c r="AF15" s="26"/>
      <c r="AG15" s="2"/>
      <c r="AH15" s="7"/>
      <c r="AI15" s="7"/>
      <c r="AJ15" s="7"/>
      <c r="AK15" s="2"/>
      <c r="AL15" s="2"/>
      <c r="AM15" s="7"/>
    </row>
    <row r="16" spans="1:39" x14ac:dyDescent="0.2">
      <c r="A16" s="2">
        <v>15</v>
      </c>
      <c r="B16" s="2" t="s">
        <v>290</v>
      </c>
      <c r="C16" s="2" t="s">
        <v>24</v>
      </c>
      <c r="D16" s="7">
        <v>-0.33800000000000002</v>
      </c>
      <c r="E16" s="7">
        <v>-0.33800000000000002</v>
      </c>
      <c r="F16" s="7">
        <v>-2.8809999999999998</v>
      </c>
      <c r="G16" s="7">
        <v>3.9380000000000002</v>
      </c>
      <c r="H16" s="7">
        <v>4</v>
      </c>
      <c r="I16" s="29">
        <v>24</v>
      </c>
      <c r="J16" s="29">
        <v>41</v>
      </c>
      <c r="K16" s="7">
        <v>1.02</v>
      </c>
      <c r="L16" s="7" t="s">
        <v>304</v>
      </c>
      <c r="M16" s="34"/>
      <c r="N16" s="2"/>
      <c r="O16" s="2"/>
      <c r="P16" s="2"/>
      <c r="Q16" s="2"/>
      <c r="R16" s="2"/>
      <c r="S16" s="2"/>
      <c r="T16" s="18">
        <v>8.9499999999999993</v>
      </c>
      <c r="U16" s="18">
        <v>14.909999999999998</v>
      </c>
      <c r="V16" s="2"/>
      <c r="W16" s="16">
        <v>15</v>
      </c>
      <c r="X16" s="2"/>
      <c r="Y16" s="16" t="s">
        <v>530</v>
      </c>
      <c r="Z16" s="2">
        <v>305</v>
      </c>
      <c r="AA16" s="2"/>
      <c r="AD16" s="18"/>
      <c r="AE16" s="2"/>
      <c r="AF16" s="26"/>
      <c r="AG16" s="2"/>
      <c r="AH16" s="7"/>
      <c r="AI16" s="7"/>
      <c r="AJ16" s="7"/>
      <c r="AK16" s="2"/>
      <c r="AL16" s="2"/>
      <c r="AM16" s="7"/>
    </row>
    <row r="17" spans="1:39" x14ac:dyDescent="0.2">
      <c r="A17" s="2">
        <v>16</v>
      </c>
      <c r="B17" s="2" t="s">
        <v>291</v>
      </c>
      <c r="C17" s="2" t="s">
        <v>25</v>
      </c>
      <c r="D17" s="7">
        <v>-0.33800000000000002</v>
      </c>
      <c r="E17" s="7">
        <v>-0.14099999999999999</v>
      </c>
      <c r="F17" s="7">
        <v>-1.855</v>
      </c>
      <c r="G17" s="7">
        <v>5.5449999999999999</v>
      </c>
      <c r="H17" s="7">
        <v>2</v>
      </c>
      <c r="I17" s="29">
        <v>74</v>
      </c>
      <c r="J17" s="29">
        <v>105</v>
      </c>
      <c r="K17" s="7">
        <v>3.64</v>
      </c>
      <c r="L17" s="7">
        <f>-634.9/$B$25</f>
        <v>-6.5802974555630405</v>
      </c>
      <c r="M17" s="34"/>
      <c r="N17" s="2"/>
      <c r="O17" s="2"/>
      <c r="P17" s="2"/>
      <c r="Q17" s="2"/>
      <c r="R17" s="2"/>
      <c r="S17" s="2"/>
      <c r="T17" s="18">
        <v>3.29</v>
      </c>
      <c r="U17" s="18">
        <v>14.164999999999999</v>
      </c>
      <c r="V17" s="2"/>
      <c r="W17" s="16">
        <v>225</v>
      </c>
      <c r="X17" s="2"/>
      <c r="Y17" s="16" t="s">
        <v>529</v>
      </c>
      <c r="Z17" s="2">
        <v>2898</v>
      </c>
      <c r="AA17" s="2"/>
      <c r="AD17" s="18"/>
      <c r="AE17" s="2"/>
      <c r="AF17" s="26"/>
      <c r="AG17" s="2"/>
      <c r="AH17" s="7"/>
      <c r="AI17" s="7"/>
      <c r="AJ17" s="7"/>
      <c r="AK17" s="2"/>
      <c r="AL17" s="2"/>
      <c r="AM17" s="7"/>
    </row>
    <row r="18" spans="1:39" x14ac:dyDescent="0.2">
      <c r="A18" s="2">
        <v>17</v>
      </c>
      <c r="B18" s="2" t="s">
        <v>525</v>
      </c>
      <c r="C18" s="2" t="s">
        <v>27</v>
      </c>
      <c r="D18" s="7">
        <v>-0.33800000000000002</v>
      </c>
      <c r="E18" s="7">
        <v>-0.20399999999999999</v>
      </c>
      <c r="F18" s="7">
        <v>-2.411</v>
      </c>
      <c r="G18" s="7">
        <v>3.266</v>
      </c>
      <c r="H18" s="7">
        <v>2</v>
      </c>
      <c r="I18" s="29">
        <v>45</v>
      </c>
      <c r="J18" s="29">
        <v>126</v>
      </c>
      <c r="K18" s="7">
        <v>0</v>
      </c>
      <c r="L18" s="7">
        <f>-258.4/$B$25</f>
        <v>-2.6781364979012281</v>
      </c>
      <c r="M18" s="34"/>
      <c r="N18" s="2"/>
      <c r="O18" s="2"/>
      <c r="P18" s="2"/>
      <c r="Q18" s="2"/>
      <c r="R18" s="2"/>
      <c r="S18" s="2"/>
      <c r="T18" s="18">
        <v>7.79</v>
      </c>
      <c r="U18" s="18">
        <v>13.685</v>
      </c>
      <c r="V18" s="2"/>
      <c r="W18" s="16">
        <v>225</v>
      </c>
      <c r="X18" s="2"/>
      <c r="Y18" s="16" t="s">
        <v>529</v>
      </c>
      <c r="Z18" s="2">
        <v>1430</v>
      </c>
      <c r="AA18" s="2"/>
      <c r="AD18" s="18"/>
      <c r="AE18" s="2"/>
      <c r="AF18" s="26"/>
      <c r="AG18" s="2"/>
      <c r="AH18" s="7"/>
      <c r="AI18" s="7"/>
      <c r="AJ18" s="7"/>
      <c r="AK18" s="2"/>
      <c r="AL18" s="2"/>
      <c r="AM18" s="7"/>
    </row>
    <row r="19" spans="1:39" x14ac:dyDescent="0.2">
      <c r="A19" s="2">
        <v>18</v>
      </c>
      <c r="B19" s="2" t="s">
        <v>292</v>
      </c>
      <c r="C19" s="2" t="s">
        <v>29</v>
      </c>
      <c r="D19" s="7">
        <v>-0.33700000000000002</v>
      </c>
      <c r="E19" s="7">
        <v>-0.33700000000000002</v>
      </c>
      <c r="F19" s="7">
        <v>-2.31</v>
      </c>
      <c r="G19" s="7">
        <v>7.1710000000000003</v>
      </c>
      <c r="H19" s="7">
        <v>3.6360000000000001</v>
      </c>
      <c r="I19" s="29">
        <v>79</v>
      </c>
      <c r="J19" s="29">
        <v>180</v>
      </c>
      <c r="K19" s="7">
        <v>0</v>
      </c>
      <c r="L19" s="7" t="s">
        <v>304</v>
      </c>
      <c r="M19" s="34"/>
      <c r="N19" s="2"/>
      <c r="O19" s="2"/>
      <c r="P19" s="2"/>
      <c r="Q19" s="2"/>
      <c r="R19" s="2"/>
      <c r="S19" s="2"/>
      <c r="T19" s="18">
        <v>6.69</v>
      </c>
      <c r="U19" s="18">
        <v>14.896774193548387</v>
      </c>
      <c r="V19" s="2"/>
      <c r="W19" s="16">
        <v>2</v>
      </c>
      <c r="X19" s="2"/>
      <c r="Y19" s="16" t="s">
        <v>534</v>
      </c>
      <c r="Z19" s="2" t="s">
        <v>304</v>
      </c>
      <c r="AA19" s="2"/>
      <c r="AD19" s="18"/>
      <c r="AE19" s="2"/>
      <c r="AF19" s="26"/>
      <c r="AG19" s="2"/>
      <c r="AH19" s="7"/>
      <c r="AI19" s="7"/>
      <c r="AJ19" s="7"/>
      <c r="AK19" s="2"/>
      <c r="AL19" s="2"/>
      <c r="AM19" s="7"/>
    </row>
    <row r="20" spans="1:39" x14ac:dyDescent="0.2">
      <c r="A20" s="2">
        <v>19</v>
      </c>
      <c r="B20" s="2" t="s">
        <v>307</v>
      </c>
      <c r="C20" s="2" t="s">
        <v>35</v>
      </c>
      <c r="D20" s="7">
        <v>-0.33700000000000002</v>
      </c>
      <c r="E20" s="7">
        <v>-0.33700000000000002</v>
      </c>
      <c r="F20" s="7">
        <v>-2.331</v>
      </c>
      <c r="G20" s="7">
        <v>7.1550000000000002</v>
      </c>
      <c r="H20" s="7">
        <v>3.7646999999999999</v>
      </c>
      <c r="I20" s="29">
        <v>82</v>
      </c>
      <c r="J20" s="29">
        <v>184</v>
      </c>
      <c r="K20" s="7">
        <v>0</v>
      </c>
      <c r="L20" s="7" t="s">
        <v>304</v>
      </c>
      <c r="M20" s="34"/>
      <c r="N20" s="2"/>
      <c r="O20" s="2"/>
      <c r="P20" s="2"/>
      <c r="Q20" s="2"/>
      <c r="R20" s="2"/>
      <c r="S20" s="2"/>
      <c r="T20" s="18">
        <v>6.78</v>
      </c>
      <c r="U20" s="18">
        <v>14.471632653061224</v>
      </c>
      <c r="V20" s="2"/>
      <c r="W20" s="16">
        <v>2</v>
      </c>
      <c r="X20" s="2"/>
      <c r="Y20" s="16" t="s">
        <v>534</v>
      </c>
      <c r="Z20" s="2" t="s">
        <v>304</v>
      </c>
      <c r="AA20" s="2"/>
      <c r="AD20" s="18"/>
      <c r="AE20" s="2"/>
      <c r="AF20" s="26"/>
      <c r="AG20" s="2"/>
      <c r="AH20" s="7"/>
      <c r="AI20" s="7"/>
      <c r="AJ20" s="7"/>
      <c r="AK20" s="2"/>
      <c r="AL20" s="2"/>
      <c r="AM20" s="7"/>
    </row>
    <row r="21" spans="1:39" x14ac:dyDescent="0.2">
      <c r="A21" s="2">
        <v>20</v>
      </c>
      <c r="B21" s="2" t="s">
        <v>308</v>
      </c>
      <c r="C21" s="2" t="s">
        <v>31</v>
      </c>
      <c r="D21" s="7">
        <v>-0.33700000000000002</v>
      </c>
      <c r="E21" s="7">
        <v>-0.33700000000000002</v>
      </c>
      <c r="F21" s="7">
        <v>-2.1960000000000002</v>
      </c>
      <c r="G21" s="7">
        <v>7.069</v>
      </c>
      <c r="H21" s="7">
        <v>3</v>
      </c>
      <c r="I21" s="29">
        <v>65</v>
      </c>
      <c r="J21" s="29">
        <v>157</v>
      </c>
      <c r="K21" s="7">
        <v>0</v>
      </c>
      <c r="L21" s="7">
        <f>-1796.2/$B$25</f>
        <v>-18.616365238119915</v>
      </c>
      <c r="M21" s="34"/>
      <c r="N21" s="2"/>
      <c r="O21" s="2"/>
      <c r="P21" s="2"/>
      <c r="Q21" s="2"/>
      <c r="R21" s="2"/>
      <c r="S21" s="2"/>
      <c r="T21" s="18">
        <v>6.37</v>
      </c>
      <c r="U21" s="18">
        <v>17.121500000000001</v>
      </c>
      <c r="V21" s="2"/>
      <c r="W21" s="16">
        <v>206</v>
      </c>
      <c r="X21" s="2"/>
      <c r="Y21" s="16" t="s">
        <v>529</v>
      </c>
      <c r="Z21" s="2">
        <v>2210</v>
      </c>
      <c r="AA21" s="2"/>
      <c r="AD21" s="18"/>
      <c r="AE21" s="2"/>
      <c r="AF21" s="26"/>
      <c r="AG21" s="2"/>
      <c r="AH21" s="7"/>
      <c r="AI21" s="7"/>
      <c r="AJ21" s="7"/>
      <c r="AK21" s="2"/>
      <c r="AL21" s="2"/>
      <c r="AM21" s="7"/>
    </row>
    <row r="22" spans="1:39" x14ac:dyDescent="0.2">
      <c r="A22" s="2">
        <v>21</v>
      </c>
      <c r="B22" s="2" t="s">
        <v>526</v>
      </c>
      <c r="C22" s="2" t="s">
        <v>30</v>
      </c>
      <c r="D22" s="7">
        <v>-0.33700000000000002</v>
      </c>
      <c r="E22" s="7">
        <v>-0.33700000000000002</v>
      </c>
      <c r="F22" s="7">
        <v>-2.3039999999999998</v>
      </c>
      <c r="G22" s="7">
        <v>7.1710000000000003</v>
      </c>
      <c r="H22" s="7">
        <v>3.6</v>
      </c>
      <c r="I22" s="29">
        <v>78</v>
      </c>
      <c r="J22" s="29">
        <v>179</v>
      </c>
      <c r="K22" s="7">
        <v>0</v>
      </c>
      <c r="L22" s="7" t="s">
        <v>304</v>
      </c>
      <c r="M22" s="34"/>
      <c r="N22" s="2"/>
      <c r="O22" s="2"/>
      <c r="P22" s="2"/>
      <c r="Q22" s="2"/>
      <c r="R22" s="2"/>
      <c r="S22" s="2"/>
      <c r="T22" s="18">
        <v>6.66</v>
      </c>
      <c r="U22" s="18">
        <v>15.032500000000001</v>
      </c>
      <c r="V22" s="2"/>
      <c r="W22" s="16">
        <v>2</v>
      </c>
      <c r="X22" s="2"/>
      <c r="Y22" s="16" t="s">
        <v>534</v>
      </c>
      <c r="Z22" s="2" t="s">
        <v>304</v>
      </c>
      <c r="AA22" s="2"/>
      <c r="AD22" s="18"/>
      <c r="AE22" s="2"/>
      <c r="AF22" s="26"/>
      <c r="AG22" s="2"/>
      <c r="AH22" s="7"/>
      <c r="AI22" s="7"/>
      <c r="AJ22" s="7"/>
      <c r="AK22" s="2"/>
      <c r="AL22" s="2"/>
      <c r="AM22" s="7"/>
    </row>
    <row r="23" spans="1:39" x14ac:dyDescent="0.2">
      <c r="A23" s="2">
        <v>22</v>
      </c>
      <c r="B23" s="2" t="s">
        <v>527</v>
      </c>
      <c r="C23" s="2" t="s">
        <v>33</v>
      </c>
      <c r="D23" s="7">
        <v>-0.33700000000000002</v>
      </c>
      <c r="E23" s="7">
        <v>-0.33700000000000002</v>
      </c>
      <c r="F23" s="7">
        <v>-2.2749999999999999</v>
      </c>
      <c r="G23" s="7">
        <v>7.1660000000000004</v>
      </c>
      <c r="H23" s="7">
        <v>3.4285700000000001</v>
      </c>
      <c r="I23" s="29">
        <v>74</v>
      </c>
      <c r="J23" s="29">
        <v>172</v>
      </c>
      <c r="K23" s="7">
        <v>0</v>
      </c>
      <c r="L23" s="7" t="s">
        <v>304</v>
      </c>
      <c r="M23" s="34"/>
      <c r="N23" s="2"/>
      <c r="O23" s="2"/>
      <c r="P23" s="2"/>
      <c r="Q23" s="2"/>
      <c r="R23" s="2"/>
      <c r="S23" s="2"/>
      <c r="T23" s="18">
        <v>6.53</v>
      </c>
      <c r="U23" s="18">
        <v>15.685263157894736</v>
      </c>
      <c r="V23" s="2"/>
      <c r="W23" s="16">
        <v>148</v>
      </c>
      <c r="X23" s="2"/>
      <c r="Y23" s="16" t="s">
        <v>528</v>
      </c>
      <c r="Z23" s="2" t="s">
        <v>304</v>
      </c>
      <c r="AA23" s="2"/>
      <c r="AD23" s="18"/>
      <c r="AE23" s="2"/>
      <c r="AF23" s="26"/>
      <c r="AG23" s="2"/>
      <c r="AH23" s="7"/>
      <c r="AI23" s="7"/>
      <c r="AJ23" s="7"/>
      <c r="AK23" s="2"/>
      <c r="AL23" s="2"/>
      <c r="AM23" s="7"/>
    </row>
    <row r="24" spans="1:39" x14ac:dyDescent="0.2">
      <c r="B24" s="2" t="s">
        <v>496</v>
      </c>
      <c r="C24" s="2" t="s">
        <v>32</v>
      </c>
      <c r="D24" s="7">
        <v>-0.33700000000000002</v>
      </c>
      <c r="E24" s="7">
        <v>-0.33700000000000002</v>
      </c>
      <c r="F24" s="7">
        <v>-1.9630000000000001</v>
      </c>
      <c r="G24" s="7">
        <v>6.7060000000000004</v>
      </c>
      <c r="H24" s="7">
        <v>2</v>
      </c>
      <c r="I24" s="29">
        <v>85</v>
      </c>
      <c r="J24" s="29">
        <v>126</v>
      </c>
      <c r="K24" s="7">
        <v>0</v>
      </c>
      <c r="L24" s="7" t="s">
        <v>304</v>
      </c>
      <c r="M24" s="34"/>
      <c r="N24" s="2"/>
      <c r="O24" s="2"/>
      <c r="P24" s="2"/>
      <c r="Q24" s="2"/>
      <c r="R24" s="2"/>
      <c r="S24" s="2"/>
      <c r="T24" s="18">
        <v>8.3699999999999992</v>
      </c>
      <c r="U24" s="18">
        <v>15.49</v>
      </c>
      <c r="V24" s="2"/>
      <c r="W24" s="16">
        <v>225</v>
      </c>
      <c r="X24" s="2"/>
      <c r="Y24" s="16" t="s">
        <v>529</v>
      </c>
      <c r="Z24" s="2" t="s">
        <v>304</v>
      </c>
      <c r="AA24" s="2"/>
      <c r="AD24" s="18"/>
      <c r="AE24" s="2"/>
      <c r="AF24" s="26"/>
      <c r="AG24" s="2"/>
      <c r="AH24" s="7"/>
      <c r="AI24" s="7"/>
      <c r="AJ24" s="7"/>
      <c r="AK24" s="2"/>
      <c r="AL24" s="2"/>
      <c r="AM24" s="7"/>
    </row>
    <row r="25" spans="1:39" x14ac:dyDescent="0.2">
      <c r="B25" s="2">
        <v>96.484999999999999</v>
      </c>
      <c r="C25" s="2" t="s">
        <v>36</v>
      </c>
      <c r="D25" s="7">
        <v>-0.33800000000000002</v>
      </c>
      <c r="E25" s="7">
        <v>-0.33700000000000002</v>
      </c>
      <c r="F25" s="7">
        <v>-2.367</v>
      </c>
      <c r="G25" s="7">
        <v>7.1230000000000002</v>
      </c>
      <c r="H25" s="7">
        <v>4</v>
      </c>
      <c r="I25" s="29">
        <v>72</v>
      </c>
      <c r="J25" s="29">
        <v>177</v>
      </c>
      <c r="K25" s="7">
        <v>1.87</v>
      </c>
      <c r="L25" s="7">
        <v>-11.284000000000001</v>
      </c>
      <c r="M25" s="34"/>
      <c r="N25" s="2">
        <v>4.3840000000000003</v>
      </c>
      <c r="O25" s="2">
        <v>8</v>
      </c>
      <c r="P25" s="2">
        <v>4</v>
      </c>
      <c r="Q25" s="2">
        <v>0.99299999999999999</v>
      </c>
      <c r="R25" s="2">
        <v>2.3730000000000002</v>
      </c>
      <c r="S25" s="2">
        <v>3.145</v>
      </c>
      <c r="T25" s="18">
        <v>6.99</v>
      </c>
      <c r="U25" s="18">
        <v>13.62</v>
      </c>
      <c r="V25" s="2">
        <v>0.68799999999999994</v>
      </c>
      <c r="W25" s="16">
        <v>225</v>
      </c>
      <c r="X25" s="2">
        <v>1</v>
      </c>
      <c r="Y25" s="16" t="s">
        <v>529</v>
      </c>
      <c r="Z25" s="2">
        <v>2400</v>
      </c>
      <c r="AA25" s="2"/>
      <c r="AD25" s="18"/>
      <c r="AE25" s="2"/>
      <c r="AF25" s="26"/>
      <c r="AG25" s="2"/>
      <c r="AH25" s="7"/>
      <c r="AI25" s="7"/>
      <c r="AJ25" s="7"/>
      <c r="AK25" s="2"/>
      <c r="AL25" s="2"/>
      <c r="AM25" s="7"/>
    </row>
    <row r="26" spans="1:39" x14ac:dyDescent="0.2">
      <c r="B26" s="2"/>
      <c r="C26" s="2" t="s">
        <v>37</v>
      </c>
      <c r="D26" s="7">
        <v>-0.32200000000000001</v>
      </c>
      <c r="E26" s="7">
        <v>-0.32200000000000001</v>
      </c>
      <c r="F26" s="7">
        <v>-2.6549999999999998</v>
      </c>
      <c r="G26" s="7">
        <v>4.7880000000000003</v>
      </c>
      <c r="H26" s="7">
        <v>2.67</v>
      </c>
      <c r="I26" s="29">
        <v>61</v>
      </c>
      <c r="J26" s="29">
        <v>166</v>
      </c>
      <c r="K26" s="7">
        <v>0</v>
      </c>
      <c r="L26" s="7">
        <f>-891/$B$25</f>
        <v>-9.2345960511996683</v>
      </c>
      <c r="M26" s="34"/>
      <c r="N26" s="2"/>
      <c r="O26" s="2"/>
      <c r="P26" s="2"/>
      <c r="Q26" s="2"/>
      <c r="R26" s="2"/>
      <c r="S26" s="2"/>
      <c r="T26" s="18">
        <v>5.93</v>
      </c>
      <c r="U26" s="18">
        <v>9.6257142857142846</v>
      </c>
      <c r="V26" s="2"/>
      <c r="W26" s="16">
        <v>227</v>
      </c>
      <c r="X26" s="2"/>
      <c r="Y26" s="16" t="s">
        <v>529</v>
      </c>
      <c r="Z26" s="2">
        <v>900</v>
      </c>
      <c r="AA26" s="2"/>
      <c r="AD26" s="18"/>
      <c r="AE26" s="2"/>
      <c r="AF26" s="26"/>
      <c r="AG26" s="2"/>
      <c r="AH26" s="7"/>
      <c r="AI26" s="7"/>
      <c r="AJ26" s="7"/>
      <c r="AK26" s="2"/>
      <c r="AL26" s="2"/>
      <c r="AM26" s="7"/>
    </row>
    <row r="27" spans="1:39" x14ac:dyDescent="0.2">
      <c r="B27" s="2"/>
      <c r="C27" s="2" t="s">
        <v>38</v>
      </c>
      <c r="D27" s="7">
        <v>-0.32200000000000001</v>
      </c>
      <c r="E27" s="7">
        <v>-0.32200000000000001</v>
      </c>
      <c r="F27" s="7">
        <v>-2.5430000000000001</v>
      </c>
      <c r="G27" s="7">
        <v>4.8280000000000003</v>
      </c>
      <c r="H27" s="7">
        <v>2</v>
      </c>
      <c r="I27" s="29">
        <v>33</v>
      </c>
      <c r="J27" s="29">
        <v>130</v>
      </c>
      <c r="K27" s="7">
        <v>0.59</v>
      </c>
      <c r="L27" s="7">
        <v>-2.4660000000000002</v>
      </c>
      <c r="M27" s="34"/>
      <c r="N27" s="2">
        <v>4.4020000000000001</v>
      </c>
      <c r="O27" s="2">
        <v>6</v>
      </c>
      <c r="P27" s="2">
        <v>6</v>
      </c>
      <c r="Q27" s="2">
        <v>0.91300000000000003</v>
      </c>
      <c r="R27" s="2">
        <v>2.125</v>
      </c>
      <c r="S27" s="2">
        <v>1.8280000000000001</v>
      </c>
      <c r="T27" s="18">
        <v>5.14</v>
      </c>
      <c r="U27" s="18">
        <v>12.112500000000001</v>
      </c>
      <c r="V27" s="2">
        <v>0.57899999999999996</v>
      </c>
      <c r="W27" s="16">
        <v>216</v>
      </c>
      <c r="X27" s="2">
        <v>1</v>
      </c>
      <c r="Y27" s="16" t="s">
        <v>529</v>
      </c>
      <c r="Z27" s="2">
        <v>1830</v>
      </c>
      <c r="AA27" s="2"/>
      <c r="AD27" s="18"/>
      <c r="AE27" s="2"/>
      <c r="AF27" s="26"/>
      <c r="AG27" s="2"/>
      <c r="AH27" s="7"/>
      <c r="AI27" s="7"/>
      <c r="AJ27" s="7"/>
      <c r="AK27" s="2"/>
      <c r="AL27" s="2"/>
      <c r="AM27" s="7"/>
    </row>
    <row r="28" spans="1:39" x14ac:dyDescent="0.2">
      <c r="B28" s="2"/>
      <c r="C28" s="2" t="s">
        <v>40</v>
      </c>
      <c r="D28" s="7">
        <v>-0.32200000000000001</v>
      </c>
      <c r="E28" s="7">
        <v>-0.32200000000000001</v>
      </c>
      <c r="F28" s="7">
        <v>-2.8119999999999998</v>
      </c>
      <c r="G28" s="7">
        <v>4.3390000000000004</v>
      </c>
      <c r="H28" s="7">
        <v>4</v>
      </c>
      <c r="I28" s="29">
        <v>35</v>
      </c>
      <c r="J28" s="29">
        <v>83</v>
      </c>
      <c r="K28" s="7">
        <v>0.51</v>
      </c>
      <c r="L28" s="7" t="s">
        <v>304</v>
      </c>
      <c r="M28" s="34"/>
      <c r="N28" s="2"/>
      <c r="O28" s="2"/>
      <c r="P28" s="2"/>
      <c r="Q28" s="2"/>
      <c r="R28" s="2"/>
      <c r="S28" s="2"/>
      <c r="T28" s="18">
        <v>4.66</v>
      </c>
      <c r="U28" s="18">
        <v>10.803333333333333</v>
      </c>
      <c r="V28" s="2"/>
      <c r="W28" s="16">
        <v>87</v>
      </c>
      <c r="X28" s="2"/>
      <c r="Y28" s="16" t="s">
        <v>531</v>
      </c>
      <c r="Z28" s="2" t="s">
        <v>304</v>
      </c>
      <c r="AA28" s="2"/>
      <c r="AD28" s="18"/>
      <c r="AE28" s="2"/>
      <c r="AF28" s="26"/>
      <c r="AG28" s="2"/>
      <c r="AH28" s="7"/>
      <c r="AI28" s="7"/>
      <c r="AJ28" s="7"/>
      <c r="AK28" s="2"/>
      <c r="AL28" s="2"/>
      <c r="AM28" s="7"/>
    </row>
    <row r="29" spans="1:39" x14ac:dyDescent="0.2">
      <c r="B29" s="2"/>
      <c r="C29" s="2" t="s">
        <v>41</v>
      </c>
      <c r="D29" s="7">
        <v>-0.11799999999999999</v>
      </c>
      <c r="E29" s="7">
        <v>-0.11799999999999999</v>
      </c>
      <c r="F29" s="7">
        <v>-2.57</v>
      </c>
      <c r="G29" s="7">
        <v>5.5490000000000004</v>
      </c>
      <c r="H29" s="7">
        <v>3</v>
      </c>
      <c r="I29" s="29">
        <v>113</v>
      </c>
      <c r="J29" s="29">
        <v>203</v>
      </c>
      <c r="K29" s="7">
        <v>2.4300000000000002</v>
      </c>
      <c r="L29" s="7">
        <f>-1139.7/$B$25</f>
        <v>-11.812198787376277</v>
      </c>
      <c r="M29" s="34"/>
      <c r="N29" s="2">
        <v>4.1100000000000003</v>
      </c>
      <c r="O29" s="2">
        <v>6</v>
      </c>
      <c r="P29" s="2">
        <v>4</v>
      </c>
      <c r="Q29" s="2">
        <v>0.98699999999999999</v>
      </c>
      <c r="R29" s="2">
        <v>2.0089999999999999</v>
      </c>
      <c r="S29" s="2">
        <v>2.617</v>
      </c>
      <c r="T29" s="18">
        <v>4.96</v>
      </c>
      <c r="U29" s="18">
        <v>10.168000000000001</v>
      </c>
      <c r="V29" s="2">
        <v>0.5</v>
      </c>
      <c r="W29" s="16">
        <v>167</v>
      </c>
      <c r="X29" s="2">
        <v>3</v>
      </c>
      <c r="Y29" s="16" t="s">
        <v>528</v>
      </c>
      <c r="Z29" s="2">
        <v>2329</v>
      </c>
      <c r="AA29" s="2"/>
      <c r="AD29" s="18"/>
      <c r="AE29" s="2"/>
      <c r="AF29" s="26"/>
      <c r="AG29" s="2"/>
      <c r="AH29" s="7"/>
      <c r="AI29" s="7"/>
      <c r="AJ29" s="7"/>
      <c r="AK29" s="2"/>
      <c r="AL29" s="2"/>
      <c r="AM29" s="7"/>
    </row>
    <row r="30" spans="1:39" x14ac:dyDescent="0.2">
      <c r="B30" s="2"/>
      <c r="C30" s="2" t="s">
        <v>43</v>
      </c>
      <c r="D30" s="7">
        <v>-0.15</v>
      </c>
      <c r="E30" s="7">
        <v>-0.15</v>
      </c>
      <c r="F30" s="7">
        <v>-2.7759999999999998</v>
      </c>
      <c r="G30" s="7">
        <v>4.8929999999999998</v>
      </c>
      <c r="H30" s="7">
        <v>4.8</v>
      </c>
      <c r="I30" s="29">
        <v>42</v>
      </c>
      <c r="J30" s="29">
        <v>57</v>
      </c>
      <c r="K30" s="7">
        <v>1.79</v>
      </c>
      <c r="L30" s="7" t="s">
        <v>304</v>
      </c>
      <c r="M30" s="34"/>
      <c r="N30" s="2"/>
      <c r="O30" s="2"/>
      <c r="P30" s="2"/>
      <c r="Q30" s="2"/>
      <c r="R30" s="2"/>
      <c r="S30" s="2"/>
      <c r="T30" s="18">
        <v>2.94</v>
      </c>
      <c r="U30" s="18">
        <v>15.005441176470589</v>
      </c>
      <c r="V30" s="2"/>
      <c r="W30" s="16">
        <v>60</v>
      </c>
      <c r="X30" s="2"/>
      <c r="Y30" s="16" t="s">
        <v>532</v>
      </c>
      <c r="Z30" s="2">
        <v>300</v>
      </c>
      <c r="AA30" s="2"/>
      <c r="AD30" s="18"/>
      <c r="AE30" s="2"/>
      <c r="AF30" s="26"/>
      <c r="AG30" s="2"/>
      <c r="AH30" s="7"/>
      <c r="AI30" s="7"/>
      <c r="AJ30" s="7"/>
      <c r="AK30" s="2"/>
      <c r="AL30" s="2"/>
      <c r="AM30" s="7"/>
    </row>
    <row r="31" spans="1:39" x14ac:dyDescent="0.2">
      <c r="B31" s="2"/>
      <c r="C31" s="2" t="s">
        <v>44</v>
      </c>
      <c r="D31" s="7">
        <v>-0.15</v>
      </c>
      <c r="E31" s="7">
        <v>-0.11799999999999999</v>
      </c>
      <c r="F31" s="7">
        <v>-2.698</v>
      </c>
      <c r="G31" s="7">
        <v>5.1319999999999997</v>
      </c>
      <c r="H31" s="7">
        <v>4</v>
      </c>
      <c r="I31" s="29">
        <v>101</v>
      </c>
      <c r="J31" s="29">
        <v>197</v>
      </c>
      <c r="K31" s="7" t="s">
        <v>304</v>
      </c>
      <c r="L31" s="7">
        <f>-598/$B$25</f>
        <v>-6.1978545887961856</v>
      </c>
      <c r="M31" s="34"/>
      <c r="N31" s="2"/>
      <c r="O31" s="2"/>
      <c r="P31" s="2"/>
      <c r="Q31" s="2"/>
      <c r="R31" s="2"/>
      <c r="S31" s="2"/>
      <c r="T31" s="18" t="s">
        <v>304</v>
      </c>
      <c r="U31" s="18" t="s">
        <v>304</v>
      </c>
      <c r="V31" s="2"/>
      <c r="W31" s="16" t="s">
        <v>304</v>
      </c>
      <c r="X31" s="2"/>
      <c r="Y31" s="16" t="s">
        <v>304</v>
      </c>
      <c r="Z31" s="2">
        <v>400</v>
      </c>
      <c r="AA31" s="2"/>
      <c r="AD31" s="18"/>
      <c r="AE31" s="2"/>
      <c r="AF31" s="26"/>
      <c r="AG31" s="2"/>
      <c r="AH31" s="7"/>
      <c r="AI31" s="7"/>
      <c r="AJ31" s="7"/>
      <c r="AK31" s="2"/>
      <c r="AL31" s="2"/>
      <c r="AM31" s="7"/>
    </row>
    <row r="32" spans="1:39" x14ac:dyDescent="0.2">
      <c r="B32" s="2"/>
      <c r="C32" s="2" t="s">
        <v>45</v>
      </c>
      <c r="D32" s="7">
        <v>-7.9000000000000001E-2</v>
      </c>
      <c r="E32" s="7">
        <v>-7.9000000000000001E-2</v>
      </c>
      <c r="F32" s="7">
        <v>-1.083</v>
      </c>
      <c r="G32" s="7">
        <v>1.9890000000000001</v>
      </c>
      <c r="H32" s="7" t="s">
        <v>304</v>
      </c>
      <c r="I32" s="29">
        <v>3</v>
      </c>
      <c r="J32" s="29">
        <v>7</v>
      </c>
      <c r="K32" s="7" t="s">
        <v>304</v>
      </c>
      <c r="L32" s="7" t="s">
        <v>304</v>
      </c>
      <c r="M32" s="34"/>
      <c r="N32" s="2"/>
      <c r="O32" s="2"/>
      <c r="P32" s="2"/>
      <c r="Q32" s="2"/>
      <c r="R32" s="2"/>
      <c r="S32" s="2"/>
      <c r="T32" s="18" t="s">
        <v>304</v>
      </c>
      <c r="U32" s="18" t="s">
        <v>304</v>
      </c>
      <c r="V32" s="2"/>
      <c r="W32" s="16" t="s">
        <v>304</v>
      </c>
      <c r="X32" s="2"/>
      <c r="Y32" s="16" t="s">
        <v>304</v>
      </c>
      <c r="Z32" s="2" t="s">
        <v>304</v>
      </c>
      <c r="AA32" s="2"/>
      <c r="AD32" s="18"/>
      <c r="AE32" s="2"/>
      <c r="AF32" s="26"/>
      <c r="AG32" s="2"/>
      <c r="AH32" s="7"/>
      <c r="AI32" s="7"/>
      <c r="AJ32" s="7"/>
      <c r="AK32" s="2"/>
      <c r="AL32" s="2"/>
      <c r="AM32" s="7"/>
    </row>
    <row r="33" spans="2:39" x14ac:dyDescent="0.2">
      <c r="B33" s="2"/>
      <c r="C33" s="2" t="s">
        <v>47</v>
      </c>
      <c r="D33" s="7">
        <v>-0.33800000000000002</v>
      </c>
      <c r="E33" s="7">
        <v>-7.9000000000000001E-2</v>
      </c>
      <c r="F33" s="7">
        <v>-1.29</v>
      </c>
      <c r="G33" s="7">
        <v>2.6019999999999999</v>
      </c>
      <c r="H33" s="7">
        <v>1</v>
      </c>
      <c r="I33" s="29">
        <v>2</v>
      </c>
      <c r="J33" s="29">
        <v>5</v>
      </c>
      <c r="K33" s="7">
        <v>0.59</v>
      </c>
      <c r="L33" s="7">
        <f>-345.8/$B$25</f>
        <v>-3.5839767839560555</v>
      </c>
      <c r="M33" s="34"/>
      <c r="N33" s="2"/>
      <c r="O33" s="2"/>
      <c r="P33" s="2"/>
      <c r="Q33" s="2"/>
      <c r="R33" s="2"/>
      <c r="S33" s="2"/>
      <c r="T33" s="18">
        <v>4.05</v>
      </c>
      <c r="U33" s="18">
        <v>38.533333333333331</v>
      </c>
      <c r="V33" s="2"/>
      <c r="W33" s="16">
        <v>166</v>
      </c>
      <c r="X33" s="2"/>
      <c r="Y33" s="16" t="s">
        <v>528</v>
      </c>
      <c r="Z33" s="2">
        <v>490</v>
      </c>
      <c r="AA33" s="2"/>
      <c r="AD33" s="18"/>
      <c r="AE33" s="2"/>
      <c r="AF33" s="26"/>
      <c r="AG33" s="2"/>
      <c r="AH33" s="7"/>
      <c r="AI33" s="7"/>
      <c r="AJ33" s="7"/>
      <c r="AK33" s="2"/>
      <c r="AL33" s="2"/>
      <c r="AM33" s="7"/>
    </row>
    <row r="34" spans="2:39" x14ac:dyDescent="0.2">
      <c r="B34" s="2"/>
      <c r="C34" s="2" t="s">
        <v>49</v>
      </c>
      <c r="D34" s="7">
        <v>-0.33800000000000002</v>
      </c>
      <c r="E34" s="7">
        <v>-0.33800000000000002</v>
      </c>
      <c r="F34" s="7">
        <v>-1.649</v>
      </c>
      <c r="G34" s="7">
        <v>2.9359999999999999</v>
      </c>
      <c r="H34" s="7">
        <v>1</v>
      </c>
      <c r="I34" s="29">
        <v>10</v>
      </c>
      <c r="J34" s="29">
        <v>30</v>
      </c>
      <c r="K34" s="7">
        <v>1.66</v>
      </c>
      <c r="L34" s="7" t="s">
        <v>304</v>
      </c>
      <c r="M34" s="34"/>
      <c r="N34" s="2"/>
      <c r="O34" s="2"/>
      <c r="P34" s="2"/>
      <c r="Q34" s="2"/>
      <c r="R34" s="2"/>
      <c r="S34" s="2"/>
      <c r="T34" s="18">
        <v>4.4800000000000004</v>
      </c>
      <c r="U34" s="18">
        <v>27.6175</v>
      </c>
      <c r="V34" s="2"/>
      <c r="W34" s="16">
        <v>71</v>
      </c>
      <c r="X34" s="2"/>
      <c r="Y34" s="16" t="s">
        <v>532</v>
      </c>
      <c r="Z34" s="2">
        <v>590</v>
      </c>
      <c r="AA34" s="2"/>
      <c r="AD34" s="18"/>
      <c r="AE34" s="2"/>
      <c r="AF34" s="26"/>
      <c r="AG34" s="2"/>
      <c r="AH34" s="7"/>
      <c r="AI34" s="7"/>
      <c r="AJ34" s="7"/>
      <c r="AK34" s="2"/>
      <c r="AL34" s="2"/>
      <c r="AM34" s="7"/>
    </row>
    <row r="35" spans="2:39" x14ac:dyDescent="0.2">
      <c r="B35" s="2"/>
      <c r="C35" s="2" t="s">
        <v>48</v>
      </c>
      <c r="D35" s="7">
        <v>-7.9000000000000001E-2</v>
      </c>
      <c r="E35" s="7">
        <v>-7.9000000000000001E-2</v>
      </c>
      <c r="F35" s="7">
        <v>-1.141</v>
      </c>
      <c r="G35" s="7">
        <v>2.19</v>
      </c>
      <c r="H35" s="7" t="s">
        <v>304</v>
      </c>
      <c r="I35" s="29">
        <v>4</v>
      </c>
      <c r="J35" s="29">
        <v>8</v>
      </c>
      <c r="K35" s="7">
        <v>0</v>
      </c>
      <c r="L35" s="7" t="s">
        <v>304</v>
      </c>
      <c r="M35" s="34"/>
      <c r="N35" s="2"/>
      <c r="O35" s="2"/>
      <c r="P35" s="2"/>
      <c r="Q35" s="2"/>
      <c r="R35" s="2"/>
      <c r="S35" s="2"/>
      <c r="T35" s="18">
        <v>2.73</v>
      </c>
      <c r="U35" s="18">
        <v>63.097499999999997</v>
      </c>
      <c r="V35" s="2"/>
      <c r="W35" s="16">
        <v>193</v>
      </c>
      <c r="X35" s="2"/>
      <c r="Y35" s="16" t="s">
        <v>533</v>
      </c>
      <c r="Z35" s="2">
        <v>164</v>
      </c>
      <c r="AA35" s="2"/>
      <c r="AD35" s="18"/>
      <c r="AE35" s="2"/>
      <c r="AF35" s="26"/>
      <c r="AG35" s="2"/>
      <c r="AH35" s="7"/>
      <c r="AI35" s="7"/>
      <c r="AJ35" s="7"/>
      <c r="AK35" s="2"/>
      <c r="AL35" s="2"/>
      <c r="AM35" s="7"/>
    </row>
    <row r="36" spans="2:39" x14ac:dyDescent="0.2">
      <c r="B36" s="2"/>
      <c r="C36" s="2" t="s">
        <v>50</v>
      </c>
      <c r="D36" s="7">
        <v>-0.33800000000000002</v>
      </c>
      <c r="E36" s="7">
        <v>-0.33800000000000002</v>
      </c>
      <c r="F36" s="7">
        <v>-2.1070000000000002</v>
      </c>
      <c r="G36" s="7">
        <v>2.976</v>
      </c>
      <c r="H36" s="7">
        <v>4</v>
      </c>
      <c r="I36" s="29">
        <v>5</v>
      </c>
      <c r="J36" s="29">
        <v>18</v>
      </c>
      <c r="K36" s="7">
        <v>0</v>
      </c>
      <c r="L36" s="7">
        <f>-286.2/$B$25</f>
        <v>-2.9662641861429235</v>
      </c>
      <c r="M36" s="34"/>
      <c r="N36" s="2"/>
      <c r="O36" s="2"/>
      <c r="P36" s="2"/>
      <c r="Q36" s="2"/>
      <c r="R36" s="2"/>
      <c r="S36" s="2"/>
      <c r="T36" s="18">
        <v>3.73</v>
      </c>
      <c r="U36" s="18">
        <v>24.456666666666667</v>
      </c>
      <c r="V36" s="2"/>
      <c r="W36" s="16">
        <v>139</v>
      </c>
      <c r="X36" s="2"/>
      <c r="Y36" s="16" t="s">
        <v>531</v>
      </c>
      <c r="Z36" s="2">
        <v>432</v>
      </c>
      <c r="AA36" s="2"/>
      <c r="AD36" s="18"/>
      <c r="AE36" s="2"/>
      <c r="AF36" s="26"/>
      <c r="AG36" s="2"/>
      <c r="AH36" s="7"/>
      <c r="AI36" s="7"/>
      <c r="AJ36" s="7"/>
      <c r="AK36" s="2"/>
      <c r="AL36" s="2"/>
      <c r="AM36" s="7"/>
    </row>
    <row r="37" spans="2:39" x14ac:dyDescent="0.2">
      <c r="B37" s="2"/>
      <c r="C37" s="2" t="s">
        <v>51</v>
      </c>
      <c r="D37" s="7">
        <v>-0.20200000000000001</v>
      </c>
      <c r="E37" s="7">
        <v>-0.17199999999999999</v>
      </c>
      <c r="F37" s="7">
        <v>-2.3159999999999998</v>
      </c>
      <c r="G37" s="7">
        <v>3.8439999999999999</v>
      </c>
      <c r="H37" s="7">
        <v>1</v>
      </c>
      <c r="I37" s="29">
        <v>8</v>
      </c>
      <c r="J37" s="29">
        <v>111</v>
      </c>
      <c r="K37" s="7">
        <v>0.5</v>
      </c>
      <c r="L37" s="7">
        <f>-168.6/$B$25</f>
        <v>-1.7474218790485567</v>
      </c>
      <c r="M37" s="34"/>
      <c r="N37" s="2"/>
      <c r="O37" s="2"/>
      <c r="P37" s="2"/>
      <c r="Q37" s="2"/>
      <c r="R37" s="2"/>
      <c r="S37" s="2"/>
      <c r="T37" s="18">
        <v>6.01</v>
      </c>
      <c r="U37" s="18">
        <v>13.168333333333335</v>
      </c>
      <c r="V37" s="2"/>
      <c r="W37" s="16">
        <v>224</v>
      </c>
      <c r="X37" s="2"/>
      <c r="Y37" s="16" t="s">
        <v>529</v>
      </c>
      <c r="Z37" s="2">
        <v>1235</v>
      </c>
      <c r="AA37" s="2"/>
      <c r="AD37" s="18"/>
      <c r="AE37" s="2"/>
      <c r="AF37" s="26"/>
      <c r="AG37" s="2"/>
      <c r="AH37" s="7"/>
      <c r="AI37" s="7"/>
      <c r="AJ37" s="7"/>
      <c r="AK37" s="2"/>
      <c r="AL37" s="2"/>
      <c r="AM37" s="7"/>
    </row>
    <row r="38" spans="2:39" x14ac:dyDescent="0.2">
      <c r="B38" s="2"/>
      <c r="C38" s="2" t="s">
        <v>53</v>
      </c>
      <c r="D38" s="7">
        <v>-0.20200000000000001</v>
      </c>
      <c r="E38" s="7">
        <v>-0.20200000000000001</v>
      </c>
      <c r="F38" s="7">
        <v>-2.7130000000000001</v>
      </c>
      <c r="G38" s="7">
        <v>3.8029999999999999</v>
      </c>
      <c r="H38" s="7">
        <v>3</v>
      </c>
      <c r="I38" s="29">
        <v>56</v>
      </c>
      <c r="J38" s="29">
        <v>160</v>
      </c>
      <c r="K38" s="7">
        <v>0</v>
      </c>
      <c r="L38" s="7" t="s">
        <v>304</v>
      </c>
      <c r="M38" s="34"/>
      <c r="N38" s="2"/>
      <c r="O38" s="2"/>
      <c r="P38" s="2"/>
      <c r="Q38" s="2"/>
      <c r="R38" s="2"/>
      <c r="S38" s="2"/>
      <c r="T38" s="18">
        <v>5.71</v>
      </c>
      <c r="U38" s="18">
        <v>10.185500000000001</v>
      </c>
      <c r="V38" s="2"/>
      <c r="W38" s="16">
        <v>206</v>
      </c>
      <c r="X38" s="2"/>
      <c r="Y38" s="16" t="s">
        <v>529</v>
      </c>
      <c r="Z38" s="2" t="s">
        <v>304</v>
      </c>
      <c r="AA38" s="2"/>
      <c r="AD38" s="18"/>
      <c r="AE38" s="2"/>
      <c r="AF38" s="26"/>
      <c r="AG38" s="2"/>
      <c r="AH38" s="7"/>
      <c r="AI38" s="7"/>
      <c r="AJ38" s="7"/>
      <c r="AK38" s="2"/>
      <c r="AL38" s="2"/>
      <c r="AM38" s="7"/>
    </row>
    <row r="39" spans="2:39" x14ac:dyDescent="0.2">
      <c r="B39" s="2"/>
      <c r="C39" s="2" t="s">
        <v>54</v>
      </c>
      <c r="D39" s="7">
        <v>-0.20200000000000001</v>
      </c>
      <c r="E39" s="7">
        <v>-0.20200000000000001</v>
      </c>
      <c r="F39" s="7">
        <v>-2.5569999999999999</v>
      </c>
      <c r="G39" s="7">
        <v>4</v>
      </c>
      <c r="H39" s="7">
        <v>2</v>
      </c>
      <c r="I39" s="29">
        <v>25</v>
      </c>
      <c r="J39" s="29">
        <v>143</v>
      </c>
      <c r="K39" s="7">
        <v>0</v>
      </c>
      <c r="L39" s="7">
        <f>-157.3/$B$25</f>
        <v>-1.6303052287920403</v>
      </c>
      <c r="M39" s="34"/>
      <c r="N39" s="2">
        <v>3.4969999999999999</v>
      </c>
      <c r="O39" s="2">
        <v>4</v>
      </c>
      <c r="P39" s="2">
        <v>4</v>
      </c>
      <c r="Q39" s="2">
        <v>0.90200000000000002</v>
      </c>
      <c r="R39" s="2">
        <v>1.9390000000000001</v>
      </c>
      <c r="S39" s="2">
        <v>1.7969999999999999</v>
      </c>
      <c r="T39" s="18">
        <v>5.93</v>
      </c>
      <c r="U39" s="18">
        <v>11.135</v>
      </c>
      <c r="V39" s="2">
        <v>0.52700000000000002</v>
      </c>
      <c r="W39" s="16">
        <v>131</v>
      </c>
      <c r="X39" s="2">
        <v>6</v>
      </c>
      <c r="Y39" s="16" t="s">
        <v>531</v>
      </c>
      <c r="Z39" s="2">
        <v>1446</v>
      </c>
      <c r="AA39" s="2"/>
      <c r="AD39" s="18"/>
      <c r="AE39" s="2"/>
      <c r="AF39" s="26"/>
      <c r="AG39" s="2"/>
      <c r="AH39" s="7"/>
      <c r="AI39" s="7"/>
      <c r="AJ39" s="7"/>
      <c r="AK39" s="2"/>
      <c r="AL39" s="2"/>
      <c r="AM39" s="7"/>
    </row>
    <row r="40" spans="2:39" x14ac:dyDescent="0.2">
      <c r="B40" s="2"/>
      <c r="C40" s="2" t="s">
        <v>55</v>
      </c>
      <c r="D40" s="7">
        <v>-0.26500000000000001</v>
      </c>
      <c r="E40" s="7">
        <v>-0.26500000000000001</v>
      </c>
      <c r="F40" s="7">
        <v>-2.2719999999999998</v>
      </c>
      <c r="G40" s="7">
        <v>6.8070000000000004</v>
      </c>
      <c r="H40" s="7">
        <v>3</v>
      </c>
      <c r="I40" s="29">
        <v>64</v>
      </c>
      <c r="J40" s="29">
        <v>142</v>
      </c>
      <c r="K40" s="7">
        <v>3.93</v>
      </c>
      <c r="L40" s="7">
        <f>-1863.1/$B$25</f>
        <v>-19.309737264859823</v>
      </c>
      <c r="M40" s="34"/>
      <c r="N40" s="2"/>
      <c r="O40" s="2"/>
      <c r="P40" s="2"/>
      <c r="Q40" s="2"/>
      <c r="R40" s="2"/>
      <c r="S40" s="2"/>
      <c r="T40" s="18">
        <v>8.14</v>
      </c>
      <c r="U40" s="18">
        <v>15.209999999999999</v>
      </c>
      <c r="V40" s="2"/>
      <c r="W40" s="16">
        <v>206</v>
      </c>
      <c r="X40" s="2"/>
      <c r="Y40" s="16" t="s">
        <v>529</v>
      </c>
      <c r="Z40" s="2">
        <v>2228</v>
      </c>
      <c r="AA40" s="2"/>
      <c r="AD40" s="18"/>
      <c r="AE40" s="2"/>
      <c r="AF40" s="26"/>
      <c r="AG40" s="2"/>
      <c r="AH40" s="7"/>
      <c r="AI40" s="7"/>
      <c r="AJ40" s="7"/>
      <c r="AK40" s="2"/>
      <c r="AL40" s="2"/>
      <c r="AM40" s="7"/>
    </row>
    <row r="41" spans="2:39" x14ac:dyDescent="0.2">
      <c r="B41" s="2"/>
      <c r="C41" s="2" t="s">
        <v>57</v>
      </c>
      <c r="D41" s="7">
        <v>-0.27900000000000003</v>
      </c>
      <c r="E41" s="7">
        <v>-0.27900000000000003</v>
      </c>
      <c r="F41" s="7">
        <v>-2.2869999999999999</v>
      </c>
      <c r="G41" s="7">
        <v>6.9539999999999997</v>
      </c>
      <c r="H41" s="7">
        <v>3</v>
      </c>
      <c r="I41" s="29">
        <v>67</v>
      </c>
      <c r="J41" s="29">
        <v>148</v>
      </c>
      <c r="K41" s="7">
        <v>3.96</v>
      </c>
      <c r="L41" s="7">
        <f>-1897.9/$B$25</f>
        <v>-19.670415090428566</v>
      </c>
      <c r="M41" s="34"/>
      <c r="N41" s="2"/>
      <c r="O41" s="2"/>
      <c r="P41" s="2"/>
      <c r="Q41" s="2"/>
      <c r="R41" s="2"/>
      <c r="S41" s="2"/>
      <c r="T41" s="18">
        <v>8.65</v>
      </c>
      <c r="U41" s="18">
        <v>14.680000000000001</v>
      </c>
      <c r="V41" s="2"/>
      <c r="W41" s="16">
        <v>206</v>
      </c>
      <c r="X41" s="2"/>
      <c r="Y41" s="16" t="s">
        <v>529</v>
      </c>
      <c r="Z41" s="2">
        <v>2344</v>
      </c>
      <c r="AA41" s="2"/>
      <c r="AD41" s="18"/>
      <c r="AE41" s="2"/>
      <c r="AF41" s="26"/>
      <c r="AG41" s="2"/>
      <c r="AH41" s="7"/>
      <c r="AI41" s="7"/>
      <c r="AJ41" s="7"/>
      <c r="AK41" s="2"/>
      <c r="AL41" s="2"/>
      <c r="AM41" s="7"/>
    </row>
    <row r="42" spans="2:39" x14ac:dyDescent="0.2">
      <c r="B42" s="2"/>
      <c r="C42" s="2" t="s">
        <v>59</v>
      </c>
      <c r="D42" s="7">
        <v>-0.23300000000000001</v>
      </c>
      <c r="E42" s="7">
        <v>-0.23300000000000001</v>
      </c>
      <c r="F42" s="7">
        <v>-2.2570000000000001</v>
      </c>
      <c r="G42" s="7">
        <v>5.49</v>
      </c>
      <c r="H42" s="7">
        <v>3</v>
      </c>
      <c r="I42" s="29">
        <v>43</v>
      </c>
      <c r="J42" s="29">
        <v>142</v>
      </c>
      <c r="K42" s="7">
        <v>0</v>
      </c>
      <c r="L42" s="7">
        <f>-1651.4/$B$25</f>
        <v>-17.115613825983313</v>
      </c>
      <c r="M42" s="34"/>
      <c r="N42" s="2"/>
      <c r="O42" s="2"/>
      <c r="P42" s="2"/>
      <c r="Q42" s="2"/>
      <c r="R42" s="2"/>
      <c r="S42" s="2"/>
      <c r="T42" s="18">
        <v>7.06</v>
      </c>
      <c r="U42" s="18">
        <v>16.544750000000001</v>
      </c>
      <c r="V42" s="2"/>
      <c r="W42" s="16">
        <v>206</v>
      </c>
      <c r="X42" s="2"/>
      <c r="Y42" s="16" t="s">
        <v>529</v>
      </c>
      <c r="Z42" s="2">
        <v>2291</v>
      </c>
      <c r="AA42" s="2"/>
      <c r="AD42" s="18"/>
      <c r="AE42" s="2"/>
      <c r="AF42" s="26"/>
      <c r="AG42" s="2"/>
      <c r="AH42" s="7"/>
      <c r="AI42" s="7"/>
      <c r="AJ42" s="7"/>
      <c r="AK42" s="2"/>
      <c r="AL42" s="2"/>
      <c r="AM42" s="7"/>
    </row>
    <row r="43" spans="2:39" x14ac:dyDescent="0.2">
      <c r="B43" s="2"/>
      <c r="C43" s="2" t="s">
        <v>60</v>
      </c>
      <c r="D43" s="7">
        <v>-0.23300000000000001</v>
      </c>
      <c r="E43" s="7">
        <v>-0.23300000000000001</v>
      </c>
      <c r="F43" s="7">
        <v>-2.032</v>
      </c>
      <c r="G43" s="7">
        <v>5.37</v>
      </c>
      <c r="H43" s="7">
        <v>2</v>
      </c>
      <c r="I43" s="29">
        <v>45</v>
      </c>
      <c r="J43" s="29">
        <v>160</v>
      </c>
      <c r="K43" s="7">
        <v>0</v>
      </c>
      <c r="L43" s="7" t="s">
        <v>304</v>
      </c>
      <c r="M43" s="34"/>
      <c r="N43" s="2"/>
      <c r="O43" s="2"/>
      <c r="P43" s="2"/>
      <c r="Q43" s="2"/>
      <c r="R43" s="2"/>
      <c r="S43" s="2"/>
      <c r="T43" s="18">
        <v>8.49</v>
      </c>
      <c r="U43" s="18">
        <v>16.414999999999999</v>
      </c>
      <c r="V43" s="2"/>
      <c r="W43" s="16">
        <v>225</v>
      </c>
      <c r="X43" s="2"/>
      <c r="Y43" s="16" t="s">
        <v>529</v>
      </c>
      <c r="Z43" s="2" t="s">
        <v>304</v>
      </c>
      <c r="AA43" s="2"/>
      <c r="AD43" s="18"/>
      <c r="AE43" s="2"/>
      <c r="AF43" s="26"/>
      <c r="AG43" s="2"/>
      <c r="AH43" s="7"/>
      <c r="AI43" s="7"/>
      <c r="AJ43" s="7"/>
      <c r="AK43" s="2"/>
      <c r="AL43" s="2"/>
      <c r="AM43" s="7"/>
    </row>
    <row r="44" spans="2:39" x14ac:dyDescent="0.2">
      <c r="B44" s="2"/>
      <c r="C44" s="2" t="s">
        <v>62</v>
      </c>
      <c r="D44" s="7">
        <v>-0.29499999999999998</v>
      </c>
      <c r="E44" s="7">
        <v>-0.29499999999999998</v>
      </c>
      <c r="F44" s="7">
        <v>-2.6720000000000002</v>
      </c>
      <c r="G44" s="7">
        <v>5.1619999999999999</v>
      </c>
      <c r="H44" s="7">
        <v>3</v>
      </c>
      <c r="I44" s="29">
        <v>79</v>
      </c>
      <c r="J44" s="29">
        <v>178</v>
      </c>
      <c r="K44" s="7">
        <v>2.02</v>
      </c>
      <c r="L44" s="7">
        <f>-824.2/$B$25</f>
        <v>-8.5422604549930039</v>
      </c>
      <c r="M44" s="34"/>
      <c r="N44" s="2">
        <v>4.3150000000000004</v>
      </c>
      <c r="O44" s="2">
        <v>6</v>
      </c>
      <c r="P44" s="2">
        <v>4</v>
      </c>
      <c r="Q44" s="2">
        <v>0.89700000000000002</v>
      </c>
      <c r="R44" s="2">
        <v>2.129</v>
      </c>
      <c r="S44" s="2">
        <v>2.78</v>
      </c>
      <c r="T44" s="18">
        <v>4.9400000000000004</v>
      </c>
      <c r="U44" s="18">
        <v>10.74225</v>
      </c>
      <c r="V44" s="2">
        <v>0.49299999999999999</v>
      </c>
      <c r="W44" s="16">
        <v>5</v>
      </c>
      <c r="X44" s="2">
        <v>3</v>
      </c>
      <c r="Y44" s="16" t="s">
        <v>530</v>
      </c>
      <c r="Z44" s="2">
        <v>1565</v>
      </c>
      <c r="AA44" s="2"/>
      <c r="AD44" s="18"/>
      <c r="AE44" s="2"/>
      <c r="AF44" s="26"/>
      <c r="AG44" s="2"/>
      <c r="AH44" s="7"/>
      <c r="AI44" s="7"/>
      <c r="AJ44" s="7"/>
      <c r="AK44" s="2"/>
      <c r="AL44" s="2"/>
      <c r="AM44" s="7"/>
    </row>
    <row r="45" spans="2:39" x14ac:dyDescent="0.2">
      <c r="B45" s="2"/>
      <c r="C45" s="2" t="s">
        <v>63</v>
      </c>
      <c r="D45" s="7">
        <v>-0.29499999999999998</v>
      </c>
      <c r="E45" s="7">
        <v>-0.29499999999999998</v>
      </c>
      <c r="F45" s="7">
        <v>-2.625</v>
      </c>
      <c r="G45" s="7">
        <v>5.1639999999999997</v>
      </c>
      <c r="H45" s="7">
        <v>2.67</v>
      </c>
      <c r="I45" s="29">
        <v>64</v>
      </c>
      <c r="J45" s="29">
        <v>176</v>
      </c>
      <c r="K45" s="7">
        <v>0</v>
      </c>
      <c r="L45" s="7">
        <f>-1118.4/$B$25</f>
        <v>-11.591439083795409</v>
      </c>
      <c r="M45" s="34"/>
      <c r="N45" s="2"/>
      <c r="O45" s="2"/>
      <c r="P45" s="2"/>
      <c r="Q45" s="2"/>
      <c r="R45" s="2"/>
      <c r="S45" s="2"/>
      <c r="T45" s="18">
        <v>4.95</v>
      </c>
      <c r="U45" s="18">
        <v>11.095714285714285</v>
      </c>
      <c r="V45" s="2"/>
      <c r="W45" s="16">
        <v>227</v>
      </c>
      <c r="X45" s="2"/>
      <c r="Y45" s="16" t="s">
        <v>529</v>
      </c>
      <c r="Z45" s="2">
        <v>1597</v>
      </c>
      <c r="AA45" s="2"/>
      <c r="AD45" s="18"/>
      <c r="AE45" s="2"/>
      <c r="AF45" s="26"/>
      <c r="AG45" s="2"/>
      <c r="AH45" s="7"/>
      <c r="AI45" s="7"/>
      <c r="AJ45" s="7"/>
      <c r="AK45" s="2"/>
      <c r="AL45" s="2"/>
      <c r="AM45" s="7"/>
    </row>
    <row r="46" spans="2:39" x14ac:dyDescent="0.2">
      <c r="B46" s="2"/>
      <c r="C46" s="2" t="s">
        <v>64</v>
      </c>
      <c r="D46" s="7">
        <v>-0.29499999999999998</v>
      </c>
      <c r="E46" s="7">
        <v>-0.29499999999999998</v>
      </c>
      <c r="F46" s="7">
        <v>-2.5089999999999999</v>
      </c>
      <c r="G46" s="7">
        <v>5.1219999999999999</v>
      </c>
      <c r="H46" s="7">
        <v>2</v>
      </c>
      <c r="I46" s="29">
        <v>60</v>
      </c>
      <c r="J46" s="29">
        <v>180</v>
      </c>
      <c r="K46" s="7">
        <v>1.27</v>
      </c>
      <c r="L46" s="7">
        <f>-272/$B$25</f>
        <v>-2.8190910504223456</v>
      </c>
      <c r="M46" s="34"/>
      <c r="N46" s="2"/>
      <c r="O46" s="2"/>
      <c r="P46" s="2"/>
      <c r="Q46" s="2"/>
      <c r="R46" s="2"/>
      <c r="S46" s="2"/>
      <c r="T46" s="18">
        <v>5.59</v>
      </c>
      <c r="U46" s="18">
        <v>10.68</v>
      </c>
      <c r="V46" s="2"/>
      <c r="W46" s="16">
        <v>12</v>
      </c>
      <c r="X46" s="2"/>
      <c r="Y46" s="16" t="s">
        <v>530</v>
      </c>
      <c r="Z46" s="2">
        <v>1377</v>
      </c>
      <c r="AA46" s="2"/>
      <c r="AD46" s="18"/>
      <c r="AE46" s="2"/>
      <c r="AF46" s="26"/>
      <c r="AG46" s="2"/>
      <c r="AH46" s="7"/>
      <c r="AI46" s="7"/>
      <c r="AJ46" s="7"/>
      <c r="AK46" s="2"/>
      <c r="AL46" s="2"/>
      <c r="AM46" s="7"/>
    </row>
    <row r="47" spans="2:39" x14ac:dyDescent="0.2">
      <c r="B47" s="2"/>
      <c r="C47" s="2" t="s">
        <v>66</v>
      </c>
      <c r="D47" s="7">
        <v>-0.33800000000000002</v>
      </c>
      <c r="E47" s="7">
        <v>-0.32800000000000001</v>
      </c>
      <c r="F47" s="7">
        <v>-2.661</v>
      </c>
      <c r="G47" s="7">
        <v>4.9720000000000004</v>
      </c>
      <c r="H47" s="7">
        <v>3</v>
      </c>
      <c r="I47" s="29">
        <v>69</v>
      </c>
      <c r="J47" s="29">
        <v>155</v>
      </c>
      <c r="K47" s="7">
        <v>2.0099999999999998</v>
      </c>
      <c r="L47" s="7">
        <f>-1089.1/$B$25</f>
        <v>-11.287764937555059</v>
      </c>
      <c r="M47" s="34"/>
      <c r="N47" s="2"/>
      <c r="O47" s="2"/>
      <c r="P47" s="2"/>
      <c r="Q47" s="2"/>
      <c r="R47" s="2"/>
      <c r="S47" s="2"/>
      <c r="T47" s="18">
        <v>5.68</v>
      </c>
      <c r="U47" s="18">
        <v>10.959</v>
      </c>
      <c r="V47" s="2"/>
      <c r="W47" s="16">
        <v>12</v>
      </c>
      <c r="X47" s="2"/>
      <c r="Y47" s="16" t="s">
        <v>530</v>
      </c>
      <c r="Z47" s="2">
        <v>1806</v>
      </c>
      <c r="AA47" s="2"/>
      <c r="AD47" s="18"/>
      <c r="AE47" s="2"/>
      <c r="AF47" s="26"/>
      <c r="AG47" s="2"/>
      <c r="AH47" s="7"/>
      <c r="AI47" s="7"/>
      <c r="AJ47" s="7"/>
      <c r="AK47" s="2"/>
      <c r="AL47" s="2"/>
      <c r="AM47" s="7"/>
    </row>
    <row r="48" spans="2:39" x14ac:dyDescent="0.2">
      <c r="B48" s="2"/>
      <c r="C48" s="2" t="s">
        <v>68</v>
      </c>
      <c r="D48" s="7">
        <v>-0.33800000000000002</v>
      </c>
      <c r="E48" s="7">
        <v>-0.33800000000000002</v>
      </c>
      <c r="F48" s="7">
        <v>-2.2570000000000001</v>
      </c>
      <c r="G48" s="7">
        <v>7.1289999999999996</v>
      </c>
      <c r="H48" s="7">
        <v>3</v>
      </c>
      <c r="I48" s="29">
        <v>55</v>
      </c>
      <c r="J48" s="29">
        <v>131</v>
      </c>
      <c r="K48" s="7">
        <v>2.89</v>
      </c>
      <c r="L48" s="7">
        <f>-1819.6/$B$25</f>
        <v>-18.858889982898894</v>
      </c>
      <c r="M48" s="34"/>
      <c r="N48" s="2"/>
      <c r="O48" s="2"/>
      <c r="P48" s="2"/>
      <c r="Q48" s="2"/>
      <c r="R48" s="2"/>
      <c r="S48" s="2"/>
      <c r="T48" s="18">
        <v>7.51</v>
      </c>
      <c r="U48" s="18">
        <v>16.0365</v>
      </c>
      <c r="V48" s="2"/>
      <c r="W48" s="16">
        <v>206</v>
      </c>
      <c r="X48" s="2"/>
      <c r="Y48" s="16" t="s">
        <v>529</v>
      </c>
      <c r="Z48" s="2">
        <v>2339</v>
      </c>
      <c r="AA48" s="2"/>
      <c r="AD48" s="18"/>
      <c r="AE48" s="2"/>
      <c r="AF48" s="26"/>
      <c r="AG48" s="2"/>
      <c r="AH48" s="7"/>
      <c r="AI48" s="7"/>
      <c r="AJ48" s="7"/>
      <c r="AK48" s="2"/>
      <c r="AL48" s="2"/>
      <c r="AM48" s="7"/>
    </row>
    <row r="49" spans="2:39" x14ac:dyDescent="0.2">
      <c r="B49" s="2"/>
      <c r="C49" s="2" t="s">
        <v>70</v>
      </c>
      <c r="D49" s="7">
        <v>-0.33800000000000002</v>
      </c>
      <c r="E49" s="7">
        <v>-0.33800000000000002</v>
      </c>
      <c r="F49" s="7">
        <v>-2.8759999999999999</v>
      </c>
      <c r="G49" s="7">
        <v>5.1150000000000002</v>
      </c>
      <c r="H49" s="7">
        <v>4</v>
      </c>
      <c r="I49" s="29">
        <v>28</v>
      </c>
      <c r="J49" s="29">
        <v>38</v>
      </c>
      <c r="K49" s="7">
        <v>3.25</v>
      </c>
      <c r="L49" s="7">
        <f>-580/$B$25</f>
        <v>-6.0112970928123541</v>
      </c>
      <c r="M49" s="34"/>
      <c r="N49" s="2"/>
      <c r="O49" s="2"/>
      <c r="P49" s="2"/>
      <c r="Q49" s="2"/>
      <c r="R49" s="2"/>
      <c r="S49" s="2"/>
      <c r="T49" s="18">
        <v>4.04</v>
      </c>
      <c r="U49" s="18">
        <v>14.348888888888887</v>
      </c>
      <c r="V49" s="2"/>
      <c r="W49" s="16">
        <v>152</v>
      </c>
      <c r="X49" s="2"/>
      <c r="Y49" s="16" t="s">
        <v>528</v>
      </c>
      <c r="Z49" s="2">
        <v>1115</v>
      </c>
      <c r="AA49" s="2"/>
      <c r="AD49" s="18"/>
      <c r="AE49" s="2"/>
      <c r="AF49" s="26"/>
      <c r="AG49" s="2"/>
      <c r="AH49" s="7"/>
      <c r="AI49" s="7"/>
      <c r="AJ49" s="7"/>
      <c r="AK49" s="2"/>
      <c r="AL49" s="2"/>
      <c r="AM49" s="7"/>
    </row>
    <row r="50" spans="2:39" x14ac:dyDescent="0.2">
      <c r="B50" s="2"/>
      <c r="C50" s="2" t="s">
        <v>72</v>
      </c>
      <c r="D50" s="7">
        <v>-0.33800000000000002</v>
      </c>
      <c r="E50" s="7">
        <v>-0.16600000000000001</v>
      </c>
      <c r="F50" s="7">
        <v>-2.4870000000000001</v>
      </c>
      <c r="G50" s="7">
        <v>7.9240000000000004</v>
      </c>
      <c r="H50" s="7">
        <v>4</v>
      </c>
      <c r="I50" s="29">
        <v>99</v>
      </c>
      <c r="J50" s="29">
        <v>205</v>
      </c>
      <c r="K50" s="7">
        <v>4.0199999999999996</v>
      </c>
      <c r="L50" s="7">
        <f>-1144.7/$B$25</f>
        <v>-11.864020314038452</v>
      </c>
      <c r="M50" s="34"/>
      <c r="N50" s="2"/>
      <c r="O50" s="2"/>
      <c r="P50" s="2"/>
      <c r="Q50" s="2"/>
      <c r="R50" s="2"/>
      <c r="S50" s="2"/>
      <c r="T50" s="18">
        <v>9.9700000000000006</v>
      </c>
      <c r="U50" s="18">
        <v>11.688333333333333</v>
      </c>
      <c r="V50" s="2"/>
      <c r="W50" s="16">
        <v>14</v>
      </c>
      <c r="X50" s="2"/>
      <c r="Y50" s="16" t="s">
        <v>530</v>
      </c>
      <c r="Z50" s="2">
        <v>2774</v>
      </c>
      <c r="AA50" s="2"/>
      <c r="AD50" s="18"/>
      <c r="AE50" s="2"/>
      <c r="AF50" s="26"/>
      <c r="AG50" s="2"/>
      <c r="AH50" s="7"/>
      <c r="AI50" s="7"/>
      <c r="AJ50" s="7"/>
      <c r="AK50" s="2"/>
      <c r="AL50" s="2"/>
      <c r="AM50" s="7"/>
    </row>
    <row r="51" spans="2:39" x14ac:dyDescent="0.2">
      <c r="B51" s="2"/>
      <c r="C51" s="2" t="s">
        <v>74</v>
      </c>
      <c r="D51" s="7">
        <v>-0.33800000000000002</v>
      </c>
      <c r="E51" s="7">
        <v>-0.20499999999999999</v>
      </c>
      <c r="F51" s="7">
        <v>-2.6230000000000002</v>
      </c>
      <c r="G51" s="7">
        <v>2.2850000000000001</v>
      </c>
      <c r="H51" s="7">
        <v>2</v>
      </c>
      <c r="I51" s="29">
        <v>10</v>
      </c>
      <c r="J51" s="29">
        <v>24</v>
      </c>
      <c r="K51" s="7">
        <v>1.19</v>
      </c>
      <c r="L51" s="7">
        <f>-90.8/$B$25</f>
        <v>-0.94107892418510652</v>
      </c>
      <c r="M51" s="34"/>
      <c r="N51" s="2"/>
      <c r="O51" s="2"/>
      <c r="P51" s="2"/>
      <c r="Q51" s="2"/>
      <c r="R51" s="2"/>
      <c r="S51" s="2"/>
      <c r="T51" s="18">
        <v>9.85</v>
      </c>
      <c r="U51" s="18">
        <v>18.258749999999999</v>
      </c>
      <c r="V51" s="2"/>
      <c r="W51" s="16">
        <v>62</v>
      </c>
      <c r="X51" s="2"/>
      <c r="Y51" s="16" t="s">
        <v>532</v>
      </c>
      <c r="Z51" s="2">
        <v>500</v>
      </c>
      <c r="AA51" s="2"/>
      <c r="AD51" s="18"/>
      <c r="AE51" s="2"/>
      <c r="AF51" s="26"/>
      <c r="AG51" s="2"/>
      <c r="AH51" s="7"/>
      <c r="AI51" s="7"/>
      <c r="AJ51" s="7"/>
      <c r="AK51" s="2"/>
      <c r="AL51" s="2"/>
      <c r="AM51" s="7"/>
    </row>
    <row r="52" spans="2:39" x14ac:dyDescent="0.2">
      <c r="B52" s="2"/>
      <c r="C52" s="2" t="s">
        <v>76</v>
      </c>
      <c r="D52" s="7">
        <v>-0.27300000000000002</v>
      </c>
      <c r="E52" s="7">
        <v>-0.27300000000000002</v>
      </c>
      <c r="F52" s="7">
        <v>-2.2799999999999998</v>
      </c>
      <c r="G52" s="7">
        <v>6.8719999999999999</v>
      </c>
      <c r="H52" s="7">
        <v>3</v>
      </c>
      <c r="I52" s="29">
        <v>65</v>
      </c>
      <c r="J52" s="29">
        <v>145</v>
      </c>
      <c r="K52" s="7">
        <v>3.95</v>
      </c>
      <c r="L52" s="7">
        <f>-1880.7/$B$25</f>
        <v>-19.492149038710682</v>
      </c>
      <c r="M52" s="34"/>
      <c r="N52" s="2"/>
      <c r="O52" s="2"/>
      <c r="P52" s="2"/>
      <c r="Q52" s="2"/>
      <c r="R52" s="2"/>
      <c r="S52" s="2"/>
      <c r="T52" s="18">
        <v>8.4</v>
      </c>
      <c r="U52" s="18">
        <v>14.93225</v>
      </c>
      <c r="V52" s="2"/>
      <c r="W52" s="16">
        <v>206</v>
      </c>
      <c r="X52" s="2"/>
      <c r="Y52" s="16" t="s">
        <v>529</v>
      </c>
      <c r="Z52" s="2">
        <v>2330</v>
      </c>
      <c r="AA52" s="2"/>
      <c r="AD52" s="18"/>
      <c r="AE52" s="2"/>
      <c r="AF52" s="26"/>
      <c r="AG52" s="2"/>
      <c r="AH52" s="7"/>
      <c r="AI52" s="7"/>
      <c r="AJ52" s="7"/>
      <c r="AK52" s="2"/>
      <c r="AL52" s="2"/>
      <c r="AM52" s="7"/>
    </row>
    <row r="53" spans="2:39" x14ac:dyDescent="0.2">
      <c r="B53" s="2"/>
      <c r="C53" s="2" t="s">
        <v>78</v>
      </c>
      <c r="D53" s="7">
        <v>-0.33800000000000002</v>
      </c>
      <c r="E53" s="7">
        <v>-0.26800000000000002</v>
      </c>
      <c r="F53" s="7">
        <v>-3.1960000000000002</v>
      </c>
      <c r="G53" s="7">
        <v>2.9510000000000001</v>
      </c>
      <c r="H53" s="7">
        <v>5</v>
      </c>
      <c r="I53" s="29">
        <v>15</v>
      </c>
      <c r="J53" s="29">
        <v>48</v>
      </c>
      <c r="K53" s="7">
        <v>2.67</v>
      </c>
      <c r="L53" s="7" t="s">
        <v>304</v>
      </c>
      <c r="M53" s="34"/>
      <c r="N53" s="2"/>
      <c r="O53" s="2"/>
      <c r="P53" s="2"/>
      <c r="Q53" s="2"/>
      <c r="R53" s="2"/>
      <c r="S53" s="2"/>
      <c r="T53" s="18">
        <v>4.72</v>
      </c>
      <c r="U53" s="18">
        <v>16.786071428571429</v>
      </c>
      <c r="V53" s="2"/>
      <c r="W53" s="16">
        <v>14</v>
      </c>
      <c r="X53" s="2"/>
      <c r="Y53" s="16" t="s">
        <v>530</v>
      </c>
      <c r="Z53" s="2">
        <v>300</v>
      </c>
      <c r="AA53" s="2"/>
      <c r="AD53" s="18"/>
      <c r="AE53" s="2"/>
      <c r="AF53" s="26"/>
      <c r="AG53" s="2"/>
      <c r="AH53" s="7"/>
      <c r="AI53" s="7"/>
      <c r="AJ53" s="7"/>
      <c r="AK53" s="2"/>
      <c r="AL53" s="2"/>
      <c r="AM53" s="7"/>
    </row>
    <row r="54" spans="2:39" x14ac:dyDescent="0.2">
      <c r="B54" s="2"/>
      <c r="C54" s="2" t="s">
        <v>80</v>
      </c>
      <c r="D54" s="7">
        <v>-0.33800000000000002</v>
      </c>
      <c r="E54" s="7">
        <v>-0.28999999999999998</v>
      </c>
      <c r="F54" s="7">
        <v>-2.6429999999999998</v>
      </c>
      <c r="G54" s="7">
        <v>4.5860000000000003</v>
      </c>
      <c r="H54" s="7">
        <v>3</v>
      </c>
      <c r="I54" s="29">
        <v>58</v>
      </c>
      <c r="J54" s="29">
        <v>145</v>
      </c>
      <c r="K54" s="7">
        <v>0.93</v>
      </c>
      <c r="L54" s="7">
        <f>-925.8/$B$25</f>
        <v>-9.5952738767684096</v>
      </c>
      <c r="M54" s="34"/>
      <c r="N54" s="2"/>
      <c r="O54" s="2"/>
      <c r="P54" s="2"/>
      <c r="Q54" s="2"/>
      <c r="R54" s="2"/>
      <c r="S54" s="2"/>
      <c r="T54" s="18">
        <v>6.75</v>
      </c>
      <c r="U54" s="18">
        <v>13.6585</v>
      </c>
      <c r="V54" s="2"/>
      <c r="W54" s="16">
        <v>206</v>
      </c>
      <c r="X54" s="2"/>
      <c r="Y54" s="16" t="s">
        <v>529</v>
      </c>
      <c r="Z54" s="2">
        <v>1912</v>
      </c>
      <c r="AA54" s="2"/>
      <c r="AD54" s="18"/>
      <c r="AE54" s="2"/>
      <c r="AF54" s="26"/>
      <c r="AG54" s="2"/>
      <c r="AH54" s="7"/>
      <c r="AI54" s="7"/>
      <c r="AJ54" s="7"/>
      <c r="AK54" s="2"/>
      <c r="AL54" s="2"/>
      <c r="AM54" s="7"/>
    </row>
    <row r="55" spans="2:39" x14ac:dyDescent="0.2">
      <c r="B55" s="2"/>
      <c r="C55" s="2" t="s">
        <v>82</v>
      </c>
      <c r="D55" s="7">
        <v>-0.33500000000000002</v>
      </c>
      <c r="E55" s="7">
        <v>-0.33500000000000002</v>
      </c>
      <c r="F55" s="7">
        <v>-2.964</v>
      </c>
      <c r="G55" s="7">
        <v>5.3109999999999999</v>
      </c>
      <c r="H55" s="7">
        <v>4</v>
      </c>
      <c r="I55" s="29">
        <v>104</v>
      </c>
      <c r="J55" s="29">
        <v>270</v>
      </c>
      <c r="K55" s="7">
        <v>0</v>
      </c>
      <c r="L55" s="7">
        <f>-274.1/$B$25</f>
        <v>-2.8408560916204593</v>
      </c>
      <c r="M55" s="34"/>
      <c r="N55" s="2">
        <v>6.9379999999999997</v>
      </c>
      <c r="O55" s="2">
        <v>6</v>
      </c>
      <c r="P55" s="2">
        <v>3</v>
      </c>
      <c r="Q55" s="2">
        <v>0.97</v>
      </c>
      <c r="R55" s="2">
        <v>1.9830000000000001</v>
      </c>
      <c r="S55" s="2">
        <v>4.1859999999999999</v>
      </c>
      <c r="T55" s="18">
        <v>11.3</v>
      </c>
      <c r="U55" s="18">
        <v>10.979999999999999</v>
      </c>
      <c r="V55" s="2">
        <v>0.36799999999999999</v>
      </c>
      <c r="W55" s="16">
        <v>136</v>
      </c>
      <c r="X55" s="2">
        <v>4</v>
      </c>
      <c r="Y55" s="16" t="s">
        <v>531</v>
      </c>
      <c r="Z55" s="2">
        <v>1100</v>
      </c>
      <c r="AA55" s="2"/>
      <c r="AD55" s="18"/>
      <c r="AE55" s="2"/>
      <c r="AF55" s="26"/>
      <c r="AG55" s="2"/>
      <c r="AH55" s="7"/>
      <c r="AI55" s="7"/>
      <c r="AJ55" s="7"/>
      <c r="AK55" s="2"/>
      <c r="AL55" s="2"/>
      <c r="AM55" s="7"/>
    </row>
    <row r="56" spans="2:39" x14ac:dyDescent="0.2">
      <c r="B56" s="2"/>
      <c r="C56" s="2" t="s">
        <v>84</v>
      </c>
      <c r="D56" s="7">
        <v>-0.33500000000000002</v>
      </c>
      <c r="E56" s="7">
        <v>-0.33500000000000002</v>
      </c>
      <c r="F56" s="7">
        <v>-3.0760000000000001</v>
      </c>
      <c r="G56" s="7">
        <v>4.6859999999999999</v>
      </c>
      <c r="H56" s="7">
        <v>6</v>
      </c>
      <c r="I56" s="29">
        <v>47</v>
      </c>
      <c r="J56" s="29">
        <v>122</v>
      </c>
      <c r="K56" s="7">
        <v>0</v>
      </c>
      <c r="L56" s="7" t="s">
        <v>304</v>
      </c>
      <c r="M56" s="34"/>
      <c r="N56" s="2"/>
      <c r="O56" s="2"/>
      <c r="P56" s="2"/>
      <c r="Q56" s="2"/>
      <c r="R56" s="2"/>
      <c r="S56" s="2"/>
      <c r="T56" s="18">
        <v>8.35</v>
      </c>
      <c r="U56" s="18">
        <v>11.939375</v>
      </c>
      <c r="V56" s="2"/>
      <c r="W56" s="16">
        <v>63</v>
      </c>
      <c r="X56" s="2"/>
      <c r="Y56" s="16" t="s">
        <v>532</v>
      </c>
      <c r="Z56" s="2" t="s">
        <v>304</v>
      </c>
      <c r="AA56" s="2"/>
      <c r="AD56" s="18"/>
      <c r="AE56" s="2"/>
      <c r="AF56" s="26"/>
      <c r="AG56" s="2"/>
      <c r="AH56" s="7"/>
      <c r="AI56" s="7"/>
      <c r="AJ56" s="7"/>
      <c r="AK56" s="2"/>
      <c r="AL56" s="2"/>
      <c r="AM56" s="7"/>
    </row>
    <row r="57" spans="2:39" x14ac:dyDescent="0.2">
      <c r="B57" s="2"/>
      <c r="C57" s="2" t="s">
        <v>85</v>
      </c>
      <c r="D57" s="7">
        <v>-0.33800000000000002</v>
      </c>
      <c r="E57" s="7">
        <v>-8.8999999999999996E-2</v>
      </c>
      <c r="F57" s="7">
        <v>-1.3220000000000001</v>
      </c>
      <c r="G57" s="7">
        <v>2.7490000000000001</v>
      </c>
      <c r="H57" s="7">
        <v>1</v>
      </c>
      <c r="I57" s="29">
        <v>12</v>
      </c>
      <c r="J57" s="29">
        <v>27</v>
      </c>
      <c r="K57" s="7">
        <v>1.71</v>
      </c>
      <c r="L57" s="7">
        <f>-361.5/$B$25</f>
        <v>-3.7466963776752862</v>
      </c>
      <c r="M57" s="34"/>
      <c r="N57" s="2"/>
      <c r="O57" s="2"/>
      <c r="P57" s="2"/>
      <c r="Q57" s="2"/>
      <c r="R57" s="2"/>
      <c r="S57" s="2"/>
      <c r="T57" s="18">
        <v>2.29</v>
      </c>
      <c r="U57" s="18">
        <v>22.756666666666664</v>
      </c>
      <c r="V57" s="2"/>
      <c r="W57" s="16">
        <v>225</v>
      </c>
      <c r="X57" s="2"/>
      <c r="Y57" s="16" t="s">
        <v>529</v>
      </c>
      <c r="Z57" s="2">
        <v>350</v>
      </c>
      <c r="AA57" s="2"/>
      <c r="AD57" s="18"/>
      <c r="AE57" s="2"/>
      <c r="AF57" s="26"/>
      <c r="AG57" s="2"/>
      <c r="AH57" s="7"/>
      <c r="AI57" s="7"/>
      <c r="AJ57" s="7"/>
      <c r="AK57" s="2"/>
      <c r="AL57" s="2"/>
      <c r="AM57" s="7"/>
    </row>
    <row r="58" spans="2:39" x14ac:dyDescent="0.2">
      <c r="B58" s="2"/>
      <c r="C58" s="2" t="s">
        <v>87</v>
      </c>
      <c r="D58" s="7">
        <v>-0.33800000000000002</v>
      </c>
      <c r="E58" s="7">
        <v>-0.33800000000000002</v>
      </c>
      <c r="F58" s="7">
        <v>-1.68</v>
      </c>
      <c r="G58" s="7">
        <v>3.0659999999999998</v>
      </c>
      <c r="H58" s="7">
        <v>1</v>
      </c>
      <c r="I58" s="29">
        <v>15</v>
      </c>
      <c r="J58" s="29">
        <v>32</v>
      </c>
      <c r="K58" s="7">
        <v>2.35</v>
      </c>
      <c r="L58" s="7">
        <f>-494.1/$B$25</f>
        <v>-5.1210032647561796</v>
      </c>
      <c r="M58" s="34"/>
      <c r="N58" s="2"/>
      <c r="O58" s="2"/>
      <c r="P58" s="2"/>
      <c r="Q58" s="2"/>
      <c r="R58" s="2"/>
      <c r="S58" s="2"/>
      <c r="T58" s="18">
        <v>2.31</v>
      </c>
      <c r="U58" s="18">
        <v>19.785</v>
      </c>
      <c r="V58" s="2"/>
      <c r="W58" s="16">
        <v>64</v>
      </c>
      <c r="X58" s="2"/>
      <c r="Y58" s="16" t="s">
        <v>532</v>
      </c>
      <c r="Z58" s="2">
        <v>490</v>
      </c>
      <c r="AA58" s="2"/>
      <c r="AD58" s="18"/>
      <c r="AE58" s="2"/>
      <c r="AF58" s="26"/>
      <c r="AG58" s="2"/>
      <c r="AH58" s="7"/>
      <c r="AI58" s="7"/>
      <c r="AJ58" s="7"/>
      <c r="AK58" s="2"/>
      <c r="AL58" s="2"/>
      <c r="AM58" s="7"/>
    </row>
    <row r="59" spans="2:39" x14ac:dyDescent="0.2">
      <c r="B59" s="2"/>
      <c r="C59" s="2" t="s">
        <v>88</v>
      </c>
      <c r="D59" s="7">
        <v>-0.33800000000000002</v>
      </c>
      <c r="E59" s="7">
        <v>-0.33800000000000002</v>
      </c>
      <c r="F59" s="7">
        <v>-2.133</v>
      </c>
      <c r="G59" s="7">
        <v>3.0259999999999998</v>
      </c>
      <c r="H59" s="7">
        <v>4</v>
      </c>
      <c r="I59" s="29">
        <v>10</v>
      </c>
      <c r="J59" s="29">
        <v>25</v>
      </c>
      <c r="K59" s="7">
        <v>0</v>
      </c>
      <c r="L59" s="7">
        <f>-284.9/$B$25</f>
        <v>-2.9527905892107578</v>
      </c>
      <c r="M59" s="34"/>
      <c r="N59" s="2"/>
      <c r="O59" s="2"/>
      <c r="P59" s="2"/>
      <c r="Q59" s="2"/>
      <c r="R59" s="2"/>
      <c r="S59" s="2"/>
      <c r="T59" s="18">
        <v>2.2200000000000002</v>
      </c>
      <c r="U59" s="18">
        <v>17.739999999999998</v>
      </c>
      <c r="V59" s="2"/>
      <c r="W59" s="16">
        <v>139</v>
      </c>
      <c r="X59" s="2"/>
      <c r="Y59" s="16" t="s">
        <v>531</v>
      </c>
      <c r="Z59" s="2">
        <v>380</v>
      </c>
      <c r="AA59" s="2"/>
      <c r="AD59" s="18"/>
      <c r="AE59" s="2"/>
      <c r="AF59" s="26"/>
      <c r="AG59" s="2"/>
      <c r="AH59" s="7"/>
      <c r="AI59" s="7"/>
      <c r="AJ59" s="7"/>
      <c r="AK59" s="2"/>
      <c r="AL59" s="2"/>
      <c r="AM59" s="7"/>
    </row>
    <row r="60" spans="2:39" x14ac:dyDescent="0.2">
      <c r="B60" s="2"/>
      <c r="C60" s="2" t="s">
        <v>89</v>
      </c>
      <c r="D60" s="7">
        <v>-0.33800000000000002</v>
      </c>
      <c r="E60" s="7">
        <v>-0.14099999999999999</v>
      </c>
      <c r="F60" s="7">
        <v>-2.1800000000000002</v>
      </c>
      <c r="G60" s="7">
        <v>7.2460000000000004</v>
      </c>
      <c r="H60" s="7">
        <v>3</v>
      </c>
      <c r="I60" s="29">
        <v>57</v>
      </c>
      <c r="J60" s="29">
        <v>139</v>
      </c>
      <c r="K60" s="7">
        <v>3.53</v>
      </c>
      <c r="L60" s="7">
        <f>-1793.7/$B$25</f>
        <v>-18.590454474788828</v>
      </c>
      <c r="M60" s="34"/>
      <c r="N60" s="2"/>
      <c r="O60" s="2"/>
      <c r="P60" s="2"/>
      <c r="Q60" s="2"/>
      <c r="R60" s="2"/>
      <c r="S60" s="2"/>
      <c r="T60" s="18">
        <v>5.84</v>
      </c>
      <c r="U60" s="18">
        <v>18.52825</v>
      </c>
      <c r="V60" s="2"/>
      <c r="W60" s="16">
        <v>206</v>
      </c>
      <c r="X60" s="2"/>
      <c r="Y60" s="16" t="s">
        <v>529</v>
      </c>
      <c r="Z60" s="2">
        <v>2304</v>
      </c>
      <c r="AA60" s="2"/>
      <c r="AD60" s="18"/>
      <c r="AE60" s="2"/>
      <c r="AF60" s="26"/>
      <c r="AG60" s="2"/>
      <c r="AH60" s="7"/>
      <c r="AI60" s="7"/>
      <c r="AJ60" s="7"/>
      <c r="AK60" s="2"/>
      <c r="AL60" s="2"/>
      <c r="AM60" s="7"/>
    </row>
    <row r="61" spans="2:39" x14ac:dyDescent="0.2">
      <c r="B61" s="2"/>
      <c r="C61" s="2" t="s">
        <v>91</v>
      </c>
      <c r="D61" s="7">
        <v>-0.33800000000000002</v>
      </c>
      <c r="E61" s="7">
        <v>-0.106</v>
      </c>
      <c r="F61" s="7">
        <v>-1.4890000000000001</v>
      </c>
      <c r="G61" s="7">
        <v>4.0270000000000001</v>
      </c>
      <c r="H61" s="7">
        <v>1</v>
      </c>
      <c r="I61" s="29">
        <v>70</v>
      </c>
      <c r="J61" s="29">
        <v>78</v>
      </c>
      <c r="K61" s="7">
        <v>4.92</v>
      </c>
      <c r="L61" s="7">
        <f>-597.9/$B$25</f>
        <v>-6.1968181582629418</v>
      </c>
      <c r="M61" s="34"/>
      <c r="N61" s="2"/>
      <c r="O61" s="2"/>
      <c r="P61" s="2"/>
      <c r="Q61" s="2"/>
      <c r="R61" s="2"/>
      <c r="S61" s="2"/>
      <c r="T61" s="18">
        <v>1.97</v>
      </c>
      <c r="U61" s="18">
        <v>8.4</v>
      </c>
      <c r="V61" s="2"/>
      <c r="W61" s="16">
        <v>225</v>
      </c>
      <c r="X61" s="2"/>
      <c r="Y61" s="16" t="s">
        <v>529</v>
      </c>
      <c r="Z61" s="2">
        <v>1570</v>
      </c>
      <c r="AA61" s="2"/>
      <c r="AD61" s="18"/>
      <c r="AE61" s="2"/>
      <c r="AF61" s="26"/>
      <c r="AG61" s="2"/>
      <c r="AH61" s="7"/>
      <c r="AI61" s="7"/>
      <c r="AJ61" s="7"/>
      <c r="AK61" s="2"/>
      <c r="AL61" s="2"/>
      <c r="AM61" s="7"/>
    </row>
    <row r="62" spans="2:39" x14ac:dyDescent="0.2">
      <c r="B62" s="2"/>
      <c r="C62" s="2" t="s">
        <v>93</v>
      </c>
      <c r="D62" s="7">
        <v>-0.33800000000000002</v>
      </c>
      <c r="E62" s="7">
        <v>-0.33800000000000002</v>
      </c>
      <c r="F62" s="7">
        <v>-1.8360000000000001</v>
      </c>
      <c r="G62" s="7">
        <v>3.7690000000000001</v>
      </c>
      <c r="H62" s="7">
        <v>1</v>
      </c>
      <c r="I62" s="29">
        <v>50</v>
      </c>
      <c r="J62" s="29">
        <v>71</v>
      </c>
      <c r="K62" s="7">
        <v>1.97</v>
      </c>
      <c r="L62" s="7">
        <f>-634.3/$B$25</f>
        <v>-6.5740788723635797</v>
      </c>
      <c r="M62" s="34"/>
      <c r="N62" s="2"/>
      <c r="O62" s="2"/>
      <c r="P62" s="2"/>
      <c r="Q62" s="2"/>
      <c r="R62" s="2"/>
      <c r="S62" s="2"/>
      <c r="T62" s="18">
        <v>2.2599999999999998</v>
      </c>
      <c r="U62" s="18">
        <v>8.43</v>
      </c>
      <c r="V62" s="2"/>
      <c r="W62" s="16">
        <v>194</v>
      </c>
      <c r="X62" s="2"/>
      <c r="Y62" s="16" t="s">
        <v>533</v>
      </c>
      <c r="Z62" s="2">
        <v>195</v>
      </c>
      <c r="AA62" s="2"/>
      <c r="AD62" s="18"/>
      <c r="AE62" s="2"/>
      <c r="AF62" s="26"/>
      <c r="AG62" s="2"/>
      <c r="AH62" s="7"/>
      <c r="AI62" s="7"/>
      <c r="AJ62" s="7"/>
      <c r="AK62" s="2"/>
      <c r="AL62" s="2"/>
      <c r="AM62" s="7"/>
    </row>
    <row r="63" spans="2:39" x14ac:dyDescent="0.2">
      <c r="B63" s="2"/>
      <c r="C63" s="2" t="s">
        <v>94</v>
      </c>
      <c r="D63" s="7">
        <v>-0.33800000000000002</v>
      </c>
      <c r="E63" s="7">
        <v>-0.155</v>
      </c>
      <c r="F63" s="7">
        <v>-2.3090000000000002</v>
      </c>
      <c r="G63" s="7">
        <v>7.4749999999999996</v>
      </c>
      <c r="H63" s="7">
        <v>3</v>
      </c>
      <c r="I63" s="29">
        <v>92</v>
      </c>
      <c r="J63" s="29">
        <v>227</v>
      </c>
      <c r="K63" s="7">
        <v>4.0199999999999996</v>
      </c>
      <c r="L63" s="7">
        <f>-1878.2/$B$25</f>
        <v>-19.466238275379592</v>
      </c>
      <c r="M63" s="34"/>
      <c r="N63" s="2"/>
      <c r="O63" s="2"/>
      <c r="P63" s="2"/>
      <c r="Q63" s="2"/>
      <c r="R63" s="2"/>
      <c r="S63" s="2"/>
      <c r="T63" s="18">
        <v>9.5</v>
      </c>
      <c r="U63" s="18">
        <v>13.91825</v>
      </c>
      <c r="V63" s="2"/>
      <c r="W63" s="16">
        <v>206</v>
      </c>
      <c r="X63" s="2"/>
      <c r="Y63" s="16" t="s">
        <v>529</v>
      </c>
      <c r="Z63" s="2">
        <v>2427</v>
      </c>
      <c r="AA63" s="2"/>
      <c r="AD63" s="18"/>
      <c r="AE63" s="2"/>
      <c r="AF63" s="26"/>
      <c r="AG63" s="2"/>
      <c r="AH63" s="7"/>
      <c r="AI63" s="7"/>
      <c r="AJ63" s="7"/>
      <c r="AK63" s="2"/>
      <c r="AL63" s="2"/>
      <c r="AM63" s="7"/>
    </row>
    <row r="64" spans="2:39" x14ac:dyDescent="0.2">
      <c r="B64" s="2"/>
      <c r="C64" s="2" t="s">
        <v>96</v>
      </c>
      <c r="D64" s="7">
        <v>-0.33800000000000002</v>
      </c>
      <c r="E64" s="7">
        <v>-0.17499999999999999</v>
      </c>
      <c r="F64" s="7">
        <v>-2.1230000000000002</v>
      </c>
      <c r="G64" s="7">
        <v>5.1239999999999997</v>
      </c>
      <c r="H64" s="7">
        <v>2</v>
      </c>
      <c r="I64" s="29">
        <v>119</v>
      </c>
      <c r="J64" s="29">
        <v>151</v>
      </c>
      <c r="K64" s="7">
        <v>4.4400000000000004</v>
      </c>
      <c r="L64" s="7">
        <f>-601.6/$B$25</f>
        <v>-6.2351660879929529</v>
      </c>
      <c r="M64" s="34"/>
      <c r="N64" s="2">
        <v>1.5249999999999999</v>
      </c>
      <c r="O64" s="2">
        <v>6</v>
      </c>
      <c r="P64" s="2">
        <v>6</v>
      </c>
      <c r="Q64" s="2">
        <v>1.004</v>
      </c>
      <c r="R64" s="2">
        <v>2.1280000000000001</v>
      </c>
      <c r="S64" s="2">
        <v>1.851</v>
      </c>
      <c r="T64" s="18">
        <v>3.47</v>
      </c>
      <c r="U64" s="18">
        <v>9.64</v>
      </c>
      <c r="V64" s="2">
        <v>0.78</v>
      </c>
      <c r="W64" s="16">
        <v>225</v>
      </c>
      <c r="X64" s="2">
        <v>1</v>
      </c>
      <c r="Y64" s="16" t="s">
        <v>529</v>
      </c>
      <c r="Z64" s="2">
        <v>2825</v>
      </c>
      <c r="AA64" s="2"/>
      <c r="AD64" s="18"/>
      <c r="AE64" s="2"/>
      <c r="AF64" s="26"/>
      <c r="AG64" s="2"/>
      <c r="AH64" s="7"/>
      <c r="AI64" s="7"/>
      <c r="AJ64" s="7"/>
      <c r="AK64" s="2"/>
      <c r="AL64" s="2"/>
      <c r="AM64" s="7"/>
    </row>
    <row r="65" spans="2:39" x14ac:dyDescent="0.2">
      <c r="B65" s="2"/>
      <c r="C65" s="2" t="s">
        <v>98</v>
      </c>
      <c r="D65" s="7">
        <v>-0.26700000000000002</v>
      </c>
      <c r="E65" s="7">
        <v>-0.26700000000000002</v>
      </c>
      <c r="F65" s="7">
        <v>-2.5009999999999999</v>
      </c>
      <c r="G65" s="7">
        <v>4.76</v>
      </c>
      <c r="H65" s="7">
        <v>3</v>
      </c>
      <c r="I65" s="29">
        <v>51</v>
      </c>
      <c r="J65" s="29">
        <v>150</v>
      </c>
      <c r="K65" s="7">
        <v>0.11</v>
      </c>
      <c r="L65" s="7">
        <f>-959/$B$25</f>
        <v>-9.9393688138052543</v>
      </c>
      <c r="M65" s="34"/>
      <c r="N65" s="2"/>
      <c r="O65" s="2"/>
      <c r="P65" s="2"/>
      <c r="Q65" s="2"/>
      <c r="R65" s="2"/>
      <c r="S65" s="2"/>
      <c r="T65" s="18">
        <v>4.72</v>
      </c>
      <c r="U65" s="18">
        <v>11.105500000000001</v>
      </c>
      <c r="V65" s="2"/>
      <c r="W65" s="16">
        <v>61</v>
      </c>
      <c r="X65" s="2"/>
      <c r="Y65" s="16" t="s">
        <v>532</v>
      </c>
      <c r="Z65" s="2">
        <v>1080</v>
      </c>
      <c r="AA65" s="2"/>
      <c r="AD65" s="18"/>
      <c r="AE65" s="2"/>
      <c r="AF65" s="26"/>
      <c r="AG65" s="2"/>
      <c r="AH65" s="7"/>
      <c r="AI65" s="7"/>
      <c r="AJ65" s="7"/>
      <c r="AK65" s="2"/>
      <c r="AL65" s="2"/>
      <c r="AM65" s="7"/>
    </row>
    <row r="66" spans="2:39" x14ac:dyDescent="0.2">
      <c r="B66" s="2"/>
      <c r="C66" s="2" t="s">
        <v>99</v>
      </c>
      <c r="D66" s="7">
        <v>-0.26700000000000002</v>
      </c>
      <c r="E66" s="7">
        <v>-0.26700000000000002</v>
      </c>
      <c r="F66" s="7">
        <v>-2.444</v>
      </c>
      <c r="G66" s="7">
        <v>4.8040000000000003</v>
      </c>
      <c r="H66" s="7">
        <v>2.67</v>
      </c>
      <c r="I66" s="29">
        <v>47</v>
      </c>
      <c r="J66" s="29">
        <v>127</v>
      </c>
      <c r="K66" s="7">
        <v>0.7</v>
      </c>
      <c r="L66" s="7">
        <f>-1387.8/$B$25</f>
        <v>-14.383582940353422</v>
      </c>
      <c r="M66" s="34"/>
      <c r="N66" s="2">
        <v>2.9089999999999998</v>
      </c>
      <c r="O66" s="2">
        <v>6</v>
      </c>
      <c r="P66" s="2">
        <v>4</v>
      </c>
      <c r="Q66" s="2">
        <v>0.86799999999999999</v>
      </c>
      <c r="R66" s="2">
        <v>2.0030000000000001</v>
      </c>
      <c r="S66" s="2">
        <v>2.4209999999999998</v>
      </c>
      <c r="T66" s="18">
        <v>4.59</v>
      </c>
      <c r="U66" s="18">
        <v>11.818571428571429</v>
      </c>
      <c r="V66" s="2">
        <v>0.45900000000000002</v>
      </c>
      <c r="W66" s="16">
        <v>141</v>
      </c>
      <c r="X66" s="2">
        <v>4</v>
      </c>
      <c r="Y66" s="16" t="s">
        <v>531</v>
      </c>
      <c r="Z66" s="2">
        <v>1567</v>
      </c>
      <c r="AA66" s="2"/>
      <c r="AD66" s="18"/>
      <c r="AE66" s="2"/>
      <c r="AF66" s="26"/>
      <c r="AG66" s="2"/>
      <c r="AH66" s="7"/>
      <c r="AI66" s="7"/>
      <c r="AJ66" s="7"/>
      <c r="AK66" s="2"/>
      <c r="AL66" s="2"/>
      <c r="AM66" s="7"/>
    </row>
    <row r="67" spans="2:39" x14ac:dyDescent="0.2">
      <c r="B67" s="2"/>
      <c r="C67" s="2" t="s">
        <v>100</v>
      </c>
      <c r="D67" s="7">
        <v>-0.26700000000000002</v>
      </c>
      <c r="E67" s="7">
        <v>-0.26700000000000002</v>
      </c>
      <c r="F67" s="7">
        <v>-2.3090000000000002</v>
      </c>
      <c r="G67" s="7">
        <v>4.7640000000000002</v>
      </c>
      <c r="H67" s="7">
        <v>2</v>
      </c>
      <c r="I67" s="29">
        <v>65</v>
      </c>
      <c r="J67" s="29">
        <v>143</v>
      </c>
      <c r="K67" s="7">
        <v>1.95</v>
      </c>
      <c r="L67" s="7">
        <f>-385.2/$B$25</f>
        <v>-3.9923304140539981</v>
      </c>
      <c r="M67" s="34"/>
      <c r="N67" s="2"/>
      <c r="O67" s="2"/>
      <c r="P67" s="2"/>
      <c r="Q67" s="2"/>
      <c r="R67" s="2"/>
      <c r="S67" s="2"/>
      <c r="T67" s="18">
        <v>5.19</v>
      </c>
      <c r="U67" s="18">
        <v>11.3475</v>
      </c>
      <c r="V67" s="2"/>
      <c r="W67" s="16">
        <v>225</v>
      </c>
      <c r="X67" s="2"/>
      <c r="Y67" s="16" t="s">
        <v>529</v>
      </c>
      <c r="Z67" s="2">
        <v>1839</v>
      </c>
      <c r="AA67" s="2"/>
      <c r="AD67" s="18"/>
      <c r="AE67" s="2"/>
      <c r="AF67" s="26"/>
      <c r="AG67" s="2"/>
      <c r="AH67" s="7"/>
      <c r="AI67" s="7"/>
      <c r="AJ67" s="7"/>
      <c r="AK67" s="2"/>
      <c r="AL67" s="2"/>
      <c r="AM67" s="7"/>
    </row>
    <row r="68" spans="2:39" x14ac:dyDescent="0.2">
      <c r="B68" s="2"/>
      <c r="C68" s="2" t="s">
        <v>102</v>
      </c>
      <c r="D68" s="7">
        <v>-0.26700000000000002</v>
      </c>
      <c r="E68" s="7">
        <v>-0.26700000000000002</v>
      </c>
      <c r="F68" s="7">
        <v>-2.637</v>
      </c>
      <c r="G68" s="7">
        <v>4.5209999999999999</v>
      </c>
      <c r="H68" s="7">
        <v>4</v>
      </c>
      <c r="I68" s="29">
        <v>29</v>
      </c>
      <c r="J68" s="29">
        <v>107</v>
      </c>
      <c r="K68" s="7">
        <v>1.07</v>
      </c>
      <c r="L68" s="7">
        <f>-520/$B$25</f>
        <v>-5.3894387728662485</v>
      </c>
      <c r="M68" s="34"/>
      <c r="N68" s="2"/>
      <c r="O68" s="2"/>
      <c r="P68" s="2"/>
      <c r="Q68" s="2"/>
      <c r="R68" s="2"/>
      <c r="S68" s="2"/>
      <c r="T68" s="18">
        <v>4.05</v>
      </c>
      <c r="U68" s="18">
        <v>11.878333333333332</v>
      </c>
      <c r="V68" s="2"/>
      <c r="W68" s="16">
        <v>87</v>
      </c>
      <c r="X68" s="2"/>
      <c r="Y68" s="16" t="s">
        <v>531</v>
      </c>
      <c r="Z68" s="2">
        <v>535</v>
      </c>
      <c r="AA68" s="2"/>
      <c r="AD68" s="18"/>
      <c r="AE68" s="2"/>
      <c r="AF68" s="26"/>
      <c r="AG68" s="2"/>
      <c r="AH68" s="7"/>
      <c r="AI68" s="7"/>
      <c r="AJ68" s="7"/>
      <c r="AK68" s="2"/>
      <c r="AL68" s="2"/>
      <c r="AM68" s="7"/>
    </row>
    <row r="69" spans="2:39" x14ac:dyDescent="0.2">
      <c r="B69" s="2"/>
      <c r="C69" s="2" t="s">
        <v>103</v>
      </c>
      <c r="D69" s="7">
        <v>-0.153</v>
      </c>
      <c r="E69" s="7">
        <v>-0.153</v>
      </c>
      <c r="F69" s="7">
        <v>-3.0510000000000002</v>
      </c>
      <c r="G69" s="7">
        <v>5.7329999999999997</v>
      </c>
      <c r="H69" s="7">
        <v>5.75</v>
      </c>
      <c r="I69" s="29">
        <v>33</v>
      </c>
      <c r="J69" s="29">
        <v>80</v>
      </c>
      <c r="K69" s="7">
        <v>1.04</v>
      </c>
      <c r="L69" s="7" t="s">
        <v>304</v>
      </c>
      <c r="M69" s="34"/>
      <c r="N69" s="2"/>
      <c r="O69" s="2"/>
      <c r="P69" s="2"/>
      <c r="Q69" s="2"/>
      <c r="R69" s="2"/>
      <c r="S69" s="2"/>
      <c r="T69" s="18">
        <v>4.0599999999999996</v>
      </c>
      <c r="U69" s="18">
        <v>14.986370967741935</v>
      </c>
      <c r="V69" s="2"/>
      <c r="W69" s="16">
        <v>13</v>
      </c>
      <c r="X69" s="2"/>
      <c r="Y69" s="16" t="s">
        <v>530</v>
      </c>
      <c r="Z69" s="2" t="s">
        <v>304</v>
      </c>
      <c r="AA69" s="2"/>
      <c r="AD69" s="18"/>
      <c r="AE69" s="2"/>
      <c r="AF69" s="26"/>
      <c r="AG69" s="2"/>
      <c r="AH69" s="7"/>
      <c r="AI69" s="7"/>
      <c r="AJ69" s="7"/>
      <c r="AK69" s="2"/>
      <c r="AL69" s="2"/>
      <c r="AM69" s="7"/>
    </row>
    <row r="70" spans="2:39" x14ac:dyDescent="0.2">
      <c r="B70" s="2"/>
      <c r="C70" s="2" t="s">
        <v>104</v>
      </c>
      <c r="D70" s="7">
        <v>-0.153</v>
      </c>
      <c r="E70" s="7">
        <v>-0.153</v>
      </c>
      <c r="F70" s="7">
        <v>-2.9460000000000002</v>
      </c>
      <c r="G70" s="7">
        <v>6.149</v>
      </c>
      <c r="H70" s="7">
        <v>4</v>
      </c>
      <c r="I70" s="29">
        <v>89</v>
      </c>
      <c r="J70" s="29">
        <v>219</v>
      </c>
      <c r="K70" s="7">
        <v>0</v>
      </c>
      <c r="L70" s="7">
        <f>-588.9/$B$25</f>
        <v>-6.1035394102710265</v>
      </c>
      <c r="M70" s="34"/>
      <c r="N70" s="2">
        <v>6.8209999999999997</v>
      </c>
      <c r="O70" s="2">
        <v>6</v>
      </c>
      <c r="P70" s="2">
        <v>3</v>
      </c>
      <c r="Q70" s="2">
        <v>0.96199999999999997</v>
      </c>
      <c r="R70" s="2">
        <v>1.9910000000000001</v>
      </c>
      <c r="S70" s="2">
        <v>4.0890000000000004</v>
      </c>
      <c r="T70" s="18">
        <v>5.8</v>
      </c>
      <c r="U70" s="18">
        <v>12.204166666666666</v>
      </c>
      <c r="V70" s="2">
        <v>0.43099999999999999</v>
      </c>
      <c r="W70" s="16">
        <v>136</v>
      </c>
      <c r="X70" s="2">
        <v>6</v>
      </c>
      <c r="Y70" s="16" t="s">
        <v>531</v>
      </c>
      <c r="Z70" s="2">
        <v>1100</v>
      </c>
      <c r="AA70" s="2"/>
      <c r="AD70" s="18"/>
      <c r="AE70" s="2"/>
      <c r="AF70" s="26"/>
      <c r="AG70" s="2"/>
      <c r="AH70" s="7"/>
      <c r="AI70" s="7"/>
      <c r="AJ70" s="7"/>
      <c r="AK70" s="2"/>
      <c r="AL70" s="2"/>
      <c r="AM70" s="7"/>
    </row>
    <row r="71" spans="2:39" x14ac:dyDescent="0.2">
      <c r="B71" s="2"/>
      <c r="C71" s="2" t="s">
        <v>106</v>
      </c>
      <c r="D71" s="7">
        <v>-0.33800000000000002</v>
      </c>
      <c r="E71" s="7">
        <v>-0.153</v>
      </c>
      <c r="F71" s="7">
        <v>-3.0619999999999998</v>
      </c>
      <c r="G71" s="7">
        <v>5.6840000000000002</v>
      </c>
      <c r="H71" s="7">
        <v>6</v>
      </c>
      <c r="I71" s="29">
        <v>36</v>
      </c>
      <c r="J71" s="29">
        <v>33</v>
      </c>
      <c r="K71" s="7">
        <v>1.37</v>
      </c>
      <c r="L71" s="7">
        <f>-745.1/$B$25</f>
        <v>-7.7224439031973882</v>
      </c>
      <c r="M71" s="34"/>
      <c r="N71" s="2"/>
      <c r="O71" s="2"/>
      <c r="P71" s="2"/>
      <c r="Q71" s="2"/>
      <c r="R71" s="2"/>
      <c r="S71" s="2"/>
      <c r="T71" s="18">
        <v>4.12</v>
      </c>
      <c r="U71" s="18">
        <v>14.508749999999999</v>
      </c>
      <c r="V71" s="2"/>
      <c r="W71" s="16">
        <v>14</v>
      </c>
      <c r="X71" s="2"/>
      <c r="Y71" s="16" t="s">
        <v>530</v>
      </c>
      <c r="Z71" s="2">
        <v>801</v>
      </c>
      <c r="AA71" s="2"/>
      <c r="AD71" s="18"/>
      <c r="AE71" s="2"/>
      <c r="AF71" s="26"/>
      <c r="AG71" s="2"/>
      <c r="AH71" s="7"/>
      <c r="AI71" s="7"/>
      <c r="AJ71" s="7"/>
      <c r="AK71" s="2"/>
      <c r="AL71" s="2"/>
      <c r="AM71" s="7"/>
    </row>
    <row r="72" spans="2:39" x14ac:dyDescent="0.2">
      <c r="B72" s="2"/>
      <c r="C72" s="2" t="s">
        <v>107</v>
      </c>
      <c r="D72" s="7">
        <v>-0.33800000000000002</v>
      </c>
      <c r="E72" s="7">
        <v>-0.10299999999999999</v>
      </c>
      <c r="F72" s="7">
        <v>-1.4379999999999999</v>
      </c>
      <c r="G72" s="7">
        <v>3.048</v>
      </c>
      <c r="H72" s="7">
        <v>1</v>
      </c>
      <c r="I72" s="29">
        <v>30</v>
      </c>
      <c r="J72" s="29">
        <v>46</v>
      </c>
      <c r="K72" s="7">
        <v>1.87</v>
      </c>
      <c r="L72" s="7">
        <f>-414.2/$B$25</f>
        <v>-4.2928952686946156</v>
      </c>
      <c r="M72" s="34"/>
      <c r="N72" s="2"/>
      <c r="O72" s="2"/>
      <c r="P72" s="2"/>
      <c r="Q72" s="2"/>
      <c r="R72" s="2"/>
      <c r="S72" s="2"/>
      <c r="T72" s="18">
        <v>2.35</v>
      </c>
      <c r="U72" s="18">
        <v>14.596666666666666</v>
      </c>
      <c r="V72" s="2"/>
      <c r="W72" s="16">
        <v>225</v>
      </c>
      <c r="X72" s="2"/>
      <c r="Y72" s="16" t="s">
        <v>529</v>
      </c>
      <c r="Z72" s="2">
        <v>1132</v>
      </c>
      <c r="AA72" s="2"/>
      <c r="AD72" s="18"/>
      <c r="AE72" s="2"/>
      <c r="AF72" s="26"/>
      <c r="AG72" s="2"/>
      <c r="AH72" s="7"/>
      <c r="AI72" s="7"/>
      <c r="AJ72" s="7"/>
      <c r="AK72" s="2"/>
      <c r="AL72" s="2"/>
      <c r="AM72" s="7"/>
    </row>
    <row r="73" spans="2:39" x14ac:dyDescent="0.2">
      <c r="B73" s="2"/>
      <c r="C73" s="2" t="s">
        <v>109</v>
      </c>
      <c r="D73" s="7">
        <v>-0.33800000000000002</v>
      </c>
      <c r="E73" s="7">
        <v>-0.33800000000000002</v>
      </c>
      <c r="F73" s="7">
        <v>-1.7889999999999999</v>
      </c>
      <c r="G73" s="7">
        <v>3.1589999999999998</v>
      </c>
      <c r="H73" s="7">
        <v>1</v>
      </c>
      <c r="I73" s="29">
        <v>29</v>
      </c>
      <c r="J73" s="29">
        <v>49</v>
      </c>
      <c r="K73" s="7">
        <v>1.76</v>
      </c>
      <c r="L73" s="7">
        <f>-510.9/$B$25</f>
        <v>-5.2951235943410895</v>
      </c>
      <c r="M73" s="34"/>
      <c r="N73" s="2"/>
      <c r="O73" s="2"/>
      <c r="P73" s="2"/>
      <c r="Q73" s="2"/>
      <c r="R73" s="2"/>
      <c r="S73" s="2"/>
      <c r="T73" s="18">
        <v>2.52</v>
      </c>
      <c r="U73" s="18">
        <v>12.825833333333334</v>
      </c>
      <c r="V73" s="2"/>
      <c r="W73" s="16">
        <v>189</v>
      </c>
      <c r="X73" s="2"/>
      <c r="Y73" s="16" t="s">
        <v>533</v>
      </c>
      <c r="Z73" s="2">
        <v>675</v>
      </c>
      <c r="AA73" s="2"/>
      <c r="AD73" s="18"/>
      <c r="AE73" s="2"/>
      <c r="AF73" s="26"/>
      <c r="AG73" s="2"/>
      <c r="AH73" s="7"/>
      <c r="AI73" s="7"/>
      <c r="AJ73" s="7"/>
      <c r="AK73" s="2"/>
      <c r="AL73" s="2"/>
      <c r="AM73" s="7"/>
    </row>
    <row r="74" spans="2:39" x14ac:dyDescent="0.2">
      <c r="B74" s="2"/>
      <c r="C74" s="2" t="s">
        <v>110</v>
      </c>
      <c r="D74" s="7">
        <v>-0.33800000000000002</v>
      </c>
      <c r="E74" s="7">
        <v>-0.33800000000000002</v>
      </c>
      <c r="F74" s="7">
        <v>-2.2240000000000002</v>
      </c>
      <c r="G74" s="7">
        <v>3.0070000000000001</v>
      </c>
      <c r="H74" s="7">
        <v>4</v>
      </c>
      <c r="I74" s="29">
        <v>24</v>
      </c>
      <c r="J74" s="29">
        <v>50</v>
      </c>
      <c r="K74" s="7">
        <v>0</v>
      </c>
      <c r="L74" s="7">
        <f>-260.2/$B$25</f>
        <v>-2.6967922474996113</v>
      </c>
      <c r="M74" s="34"/>
      <c r="N74" s="2"/>
      <c r="O74" s="2"/>
      <c r="P74" s="2"/>
      <c r="Q74" s="2"/>
      <c r="R74" s="2"/>
      <c r="S74" s="2"/>
      <c r="T74" s="18">
        <v>2.19</v>
      </c>
      <c r="U74" s="18">
        <v>13.896666666666667</v>
      </c>
      <c r="V74" s="2"/>
      <c r="W74" s="16">
        <v>58</v>
      </c>
      <c r="X74" s="2"/>
      <c r="Y74" s="16" t="s">
        <v>532</v>
      </c>
      <c r="Z74" s="2">
        <v>552</v>
      </c>
      <c r="AA74" s="2"/>
      <c r="AD74" s="18"/>
      <c r="AE74" s="2"/>
      <c r="AF74" s="26"/>
      <c r="AG74" s="2"/>
      <c r="AH74" s="7"/>
      <c r="AI74" s="7"/>
      <c r="AJ74" s="7"/>
      <c r="AK74" s="2"/>
      <c r="AL74" s="2"/>
      <c r="AM74" s="7"/>
    </row>
    <row r="75" spans="2:39" x14ac:dyDescent="0.2">
      <c r="B75" s="2"/>
      <c r="C75" s="2" t="s">
        <v>111</v>
      </c>
      <c r="D75" s="7">
        <v>-0.33800000000000002</v>
      </c>
      <c r="E75" s="7">
        <v>-0.14399999999999999</v>
      </c>
      <c r="F75" s="7">
        <v>-2.7639999999999998</v>
      </c>
      <c r="G75" s="7">
        <v>7.1139999999999999</v>
      </c>
      <c r="H75" s="7">
        <v>5</v>
      </c>
      <c r="I75" s="29">
        <v>49</v>
      </c>
      <c r="J75" s="29">
        <v>139</v>
      </c>
      <c r="K75" s="7">
        <v>1.92</v>
      </c>
      <c r="L75" s="7">
        <f>-1899.5/$B$25</f>
        <v>-19.686997978960459</v>
      </c>
      <c r="M75" s="34"/>
      <c r="N75" s="2">
        <v>7.5229999999999997</v>
      </c>
      <c r="O75" s="2">
        <v>6</v>
      </c>
      <c r="P75" s="2">
        <v>4</v>
      </c>
      <c r="Q75" s="2">
        <v>0.86199999999999999</v>
      </c>
      <c r="R75" s="2">
        <v>1.827</v>
      </c>
      <c r="S75" s="2">
        <v>5.1760000000000002</v>
      </c>
      <c r="T75" s="18">
        <v>4.29</v>
      </c>
      <c r="U75" s="18">
        <v>14.696071428571429</v>
      </c>
      <c r="V75" s="2">
        <v>0.31</v>
      </c>
      <c r="W75" s="16">
        <v>12</v>
      </c>
      <c r="X75" s="2">
        <v>6</v>
      </c>
      <c r="Y75" s="16" t="s">
        <v>530</v>
      </c>
      <c r="Z75" s="2">
        <v>1512</v>
      </c>
      <c r="AA75" s="2"/>
      <c r="AD75" s="18"/>
      <c r="AE75" s="2"/>
      <c r="AF75" s="26"/>
      <c r="AG75" s="2"/>
      <c r="AH75" s="7"/>
      <c r="AI75" s="7"/>
      <c r="AJ75" s="7"/>
      <c r="AK75" s="2"/>
      <c r="AL75" s="2"/>
      <c r="AM75" s="7"/>
    </row>
    <row r="76" spans="2:39" x14ac:dyDescent="0.2">
      <c r="B76" s="2"/>
      <c r="C76" s="2" t="s">
        <v>113</v>
      </c>
      <c r="D76" s="7">
        <v>-0.125</v>
      </c>
      <c r="E76" s="7">
        <v>-0.125</v>
      </c>
      <c r="F76" s="7">
        <v>-2.3460000000000001</v>
      </c>
      <c r="G76" s="7">
        <v>6.5609999999999999</v>
      </c>
      <c r="H76" s="7">
        <v>2</v>
      </c>
      <c r="I76" s="29">
        <v>140</v>
      </c>
      <c r="J76" s="29">
        <v>244</v>
      </c>
      <c r="K76" s="7" t="s">
        <v>304</v>
      </c>
      <c r="L76" s="7">
        <f>-405.8/$B$25</f>
        <v>-4.2058351039021611</v>
      </c>
      <c r="M76" s="34"/>
      <c r="N76" s="2"/>
      <c r="O76" s="2"/>
      <c r="P76" s="2"/>
      <c r="Q76" s="2"/>
      <c r="R76" s="2"/>
      <c r="S76" s="2"/>
      <c r="T76" s="18" t="s">
        <v>304</v>
      </c>
      <c r="U76" s="18" t="s">
        <v>304</v>
      </c>
      <c r="V76" s="2"/>
      <c r="W76" s="16" t="s">
        <v>304</v>
      </c>
      <c r="X76" s="2"/>
      <c r="Y76" s="16" t="s">
        <v>304</v>
      </c>
      <c r="Z76" s="2">
        <v>1936</v>
      </c>
      <c r="AA76" s="2"/>
      <c r="AD76" s="18"/>
      <c r="AE76" s="2"/>
      <c r="AF76" s="26"/>
      <c r="AG76" s="2"/>
      <c r="AH76" s="7"/>
      <c r="AI76" s="7"/>
      <c r="AJ76" s="7"/>
      <c r="AK76" s="2"/>
      <c r="AL76" s="2"/>
      <c r="AM76" s="7"/>
    </row>
    <row r="77" spans="2:39" x14ac:dyDescent="0.2">
      <c r="B77" s="2"/>
      <c r="C77" s="2" t="s">
        <v>112</v>
      </c>
      <c r="D77" s="7">
        <v>-0.14399999999999999</v>
      </c>
      <c r="E77" s="7">
        <v>-0.14399999999999999</v>
      </c>
      <c r="F77" s="7">
        <v>-2.665</v>
      </c>
      <c r="G77" s="7">
        <v>7.1740000000000004</v>
      </c>
      <c r="H77" s="7">
        <v>4</v>
      </c>
      <c r="I77" s="29">
        <v>80</v>
      </c>
      <c r="J77" s="29">
        <v>206</v>
      </c>
      <c r="K77" s="7">
        <v>0.17</v>
      </c>
      <c r="L77" s="7">
        <f>-796.2/$B$25</f>
        <v>-8.2520599056848223</v>
      </c>
      <c r="M77" s="34"/>
      <c r="N77" s="2"/>
      <c r="O77" s="2"/>
      <c r="P77" s="2"/>
      <c r="Q77" s="2"/>
      <c r="R77" s="2"/>
      <c r="S77" s="2"/>
      <c r="T77" s="18">
        <v>5.68</v>
      </c>
      <c r="U77" s="18">
        <v>12.182083333333333</v>
      </c>
      <c r="V77" s="2"/>
      <c r="W77" s="16">
        <v>88</v>
      </c>
      <c r="X77" s="2"/>
      <c r="Y77" s="16" t="s">
        <v>531</v>
      </c>
      <c r="Z77" s="2">
        <v>1901</v>
      </c>
      <c r="AA77" s="2"/>
      <c r="AD77" s="18"/>
      <c r="AE77" s="2"/>
      <c r="AF77" s="26"/>
      <c r="AG77" s="2"/>
      <c r="AH77" s="7"/>
      <c r="AI77" s="7"/>
      <c r="AJ77" s="7"/>
      <c r="AK77" s="2"/>
      <c r="AL77" s="2"/>
      <c r="AM77" s="7"/>
    </row>
    <row r="78" spans="2:39" x14ac:dyDescent="0.2">
      <c r="B78" s="2"/>
      <c r="C78" s="2" t="s">
        <v>115</v>
      </c>
      <c r="D78" s="7">
        <v>-0.18</v>
      </c>
      <c r="E78" s="7">
        <v>-0.18</v>
      </c>
      <c r="F78" s="7">
        <v>-2.2120000000000002</v>
      </c>
      <c r="G78" s="7">
        <v>6.7229999999999999</v>
      </c>
      <c r="H78" s="7">
        <v>3</v>
      </c>
      <c r="I78" s="29">
        <v>51</v>
      </c>
      <c r="J78" s="29">
        <v>124</v>
      </c>
      <c r="K78" s="7">
        <v>3.71</v>
      </c>
      <c r="L78" s="7">
        <f>-1807.9/$B$25</f>
        <v>-18.737627610509406</v>
      </c>
      <c r="M78" s="34"/>
      <c r="N78" s="2"/>
      <c r="O78" s="2"/>
      <c r="P78" s="2"/>
      <c r="Q78" s="2"/>
      <c r="R78" s="2"/>
      <c r="S78" s="2"/>
      <c r="T78" s="18">
        <v>6.4</v>
      </c>
      <c r="U78" s="18">
        <v>17.472749999999998</v>
      </c>
      <c r="V78" s="2"/>
      <c r="W78" s="16">
        <v>206</v>
      </c>
      <c r="X78" s="2"/>
      <c r="Y78" s="16" t="s">
        <v>529</v>
      </c>
      <c r="Z78" s="2">
        <v>2233</v>
      </c>
      <c r="AA78" s="2"/>
      <c r="AD78" s="18"/>
      <c r="AE78" s="2"/>
      <c r="AF78" s="26"/>
      <c r="AG78" s="2"/>
      <c r="AH78" s="7"/>
      <c r="AI78" s="7"/>
      <c r="AJ78" s="7"/>
      <c r="AK78" s="2"/>
      <c r="AL78" s="2"/>
      <c r="AM78" s="7"/>
    </row>
    <row r="79" spans="2:39" x14ac:dyDescent="0.2">
      <c r="B79" s="2"/>
      <c r="C79" s="2" t="s">
        <v>117</v>
      </c>
      <c r="D79" s="7">
        <v>-0.33800000000000002</v>
      </c>
      <c r="E79" s="7">
        <v>-0.33800000000000002</v>
      </c>
      <c r="F79" s="7">
        <v>-2.673</v>
      </c>
      <c r="G79" s="7">
        <v>4.194</v>
      </c>
      <c r="H79" s="7">
        <v>2.67</v>
      </c>
      <c r="I79" s="29">
        <v>78</v>
      </c>
      <c r="J79" s="29">
        <v>146</v>
      </c>
      <c r="K79" s="7">
        <v>0.4</v>
      </c>
      <c r="L79" s="7" t="s">
        <v>304</v>
      </c>
      <c r="M79" s="34"/>
      <c r="N79" s="2"/>
      <c r="O79" s="2"/>
      <c r="P79" s="2"/>
      <c r="Q79" s="2"/>
      <c r="R79" s="2"/>
      <c r="S79" s="2"/>
      <c r="T79" s="18">
        <v>5.55</v>
      </c>
      <c r="U79" s="18">
        <v>10.267142857142858</v>
      </c>
      <c r="V79" s="2"/>
      <c r="W79" s="16">
        <v>65</v>
      </c>
      <c r="X79" s="2"/>
      <c r="Y79" s="16" t="s">
        <v>532</v>
      </c>
      <c r="Z79" s="2" t="s">
        <v>304</v>
      </c>
      <c r="AA79" s="2"/>
      <c r="AD79" s="18"/>
      <c r="AE79" s="2"/>
      <c r="AF79" s="26"/>
      <c r="AG79" s="2"/>
      <c r="AH79" s="7"/>
      <c r="AI79" s="7"/>
      <c r="AJ79" s="7"/>
      <c r="AK79" s="2"/>
      <c r="AL79" s="2"/>
      <c r="AM79" s="7"/>
    </row>
    <row r="80" spans="2:39" x14ac:dyDescent="0.2">
      <c r="B80" s="2"/>
      <c r="C80" s="2" t="s">
        <v>118</v>
      </c>
      <c r="D80" s="7">
        <v>-0.33800000000000002</v>
      </c>
      <c r="E80" s="7">
        <v>-0.33800000000000002</v>
      </c>
      <c r="F80" s="7">
        <v>-2.5630000000000002</v>
      </c>
      <c r="G80" s="7">
        <v>4.4569999999999999</v>
      </c>
      <c r="H80" s="7">
        <v>2</v>
      </c>
      <c r="I80" s="29">
        <v>69</v>
      </c>
      <c r="J80" s="29">
        <v>204</v>
      </c>
      <c r="K80" s="7">
        <v>2.3199999999999998</v>
      </c>
      <c r="L80" s="7">
        <v>-2.484</v>
      </c>
      <c r="M80" s="34"/>
      <c r="N80" s="2">
        <v>4.4539999999999997</v>
      </c>
      <c r="O80" s="2">
        <v>6</v>
      </c>
      <c r="P80" s="2">
        <v>6</v>
      </c>
      <c r="Q80" s="2">
        <v>1.014</v>
      </c>
      <c r="R80" s="2">
        <v>2.1070000000000002</v>
      </c>
      <c r="S80" s="2">
        <v>1.8680000000000001</v>
      </c>
      <c r="T80" s="18">
        <v>6.68</v>
      </c>
      <c r="U80" s="18">
        <v>9.2899999999999991</v>
      </c>
      <c r="V80" s="2">
        <v>0.58899999999999997</v>
      </c>
      <c r="W80" s="16">
        <v>225</v>
      </c>
      <c r="X80" s="2">
        <v>1</v>
      </c>
      <c r="Y80" s="16" t="s">
        <v>529</v>
      </c>
      <c r="Z80" s="2">
        <v>1955</v>
      </c>
      <c r="AA80" s="2"/>
      <c r="AD80" s="18"/>
      <c r="AE80" s="2"/>
      <c r="AF80" s="26"/>
      <c r="AG80" s="2"/>
      <c r="AH80" s="7"/>
      <c r="AI80" s="7"/>
      <c r="AJ80" s="7"/>
      <c r="AK80" s="2"/>
      <c r="AL80" s="2"/>
      <c r="AM80" s="7"/>
    </row>
    <row r="81" spans="2:39" x14ac:dyDescent="0.2">
      <c r="B81" s="2"/>
      <c r="C81" s="2" t="s">
        <v>120</v>
      </c>
      <c r="D81" s="7" t="s">
        <v>304</v>
      </c>
      <c r="E81" s="7" t="s">
        <v>304</v>
      </c>
      <c r="F81" s="7">
        <v>-2.5249999999999999</v>
      </c>
      <c r="G81" s="7">
        <v>6.9219999999999997</v>
      </c>
      <c r="H81" s="7">
        <v>4</v>
      </c>
      <c r="I81" s="29">
        <v>122</v>
      </c>
      <c r="J81" s="29">
        <v>270</v>
      </c>
      <c r="K81" s="7">
        <v>0</v>
      </c>
      <c r="L81" s="7" t="s">
        <v>304</v>
      </c>
      <c r="M81" s="34"/>
      <c r="N81" s="2"/>
      <c r="O81" s="2"/>
      <c r="P81" s="2"/>
      <c r="Q81" s="2"/>
      <c r="R81" s="2"/>
      <c r="S81" s="2"/>
      <c r="T81" s="18">
        <v>11.38</v>
      </c>
      <c r="U81" s="18">
        <v>13.083333333333334</v>
      </c>
      <c r="V81" s="2"/>
      <c r="W81" s="16">
        <v>225</v>
      </c>
      <c r="X81" s="2"/>
      <c r="Y81" s="16" t="s">
        <v>529</v>
      </c>
      <c r="Z81" s="2">
        <v>2547</v>
      </c>
      <c r="AA81" s="2"/>
      <c r="AD81" s="18"/>
      <c r="AE81" s="2"/>
      <c r="AF81" s="26"/>
      <c r="AG81" s="2"/>
      <c r="AH81" s="7"/>
      <c r="AI81" s="7"/>
      <c r="AJ81" s="7"/>
      <c r="AK81" s="2"/>
      <c r="AL81" s="2"/>
      <c r="AM81" s="7"/>
    </row>
    <row r="82" spans="2:39" x14ac:dyDescent="0.2">
      <c r="B82" s="2"/>
      <c r="C82" s="2" t="s">
        <v>122</v>
      </c>
      <c r="D82" s="7">
        <v>-0.29699999999999999</v>
      </c>
      <c r="E82" s="7">
        <v>-0.29699999999999999</v>
      </c>
      <c r="F82" s="7">
        <v>-2.964</v>
      </c>
      <c r="G82" s="7">
        <v>5.8239999999999998</v>
      </c>
      <c r="H82" s="7">
        <v>4</v>
      </c>
      <c r="I82" s="29">
        <v>103</v>
      </c>
      <c r="J82" s="29">
        <v>281</v>
      </c>
      <c r="K82" s="7">
        <v>0</v>
      </c>
      <c r="L82" s="7" t="s">
        <v>304</v>
      </c>
      <c r="M82" s="34"/>
      <c r="N82" s="2"/>
      <c r="O82" s="2"/>
      <c r="P82" s="2"/>
      <c r="Q82" s="2"/>
      <c r="R82" s="2"/>
      <c r="S82" s="2"/>
      <c r="T82" s="18">
        <v>11.21</v>
      </c>
      <c r="U82" s="18">
        <v>10.968333333333334</v>
      </c>
      <c r="V82" s="2"/>
      <c r="W82" s="16">
        <v>136</v>
      </c>
      <c r="X82" s="2"/>
      <c r="Y82" s="16" t="s">
        <v>531</v>
      </c>
      <c r="Z82" s="2" t="s">
        <v>304</v>
      </c>
      <c r="AA82" s="2"/>
      <c r="AD82" s="18"/>
      <c r="AE82" s="2"/>
      <c r="AF82" s="26"/>
      <c r="AG82" s="2"/>
      <c r="AH82" s="7"/>
      <c r="AI82" s="7"/>
      <c r="AJ82" s="7"/>
      <c r="AK82" s="2"/>
      <c r="AL82" s="2"/>
      <c r="AM82" s="7"/>
    </row>
    <row r="83" spans="2:39" x14ac:dyDescent="0.2">
      <c r="B83" s="2"/>
      <c r="C83" s="2" t="s">
        <v>124</v>
      </c>
      <c r="D83" s="7">
        <v>-0.33800000000000002</v>
      </c>
      <c r="E83" s="7">
        <v>-0.29699999999999999</v>
      </c>
      <c r="F83" s="7">
        <v>-3.1459999999999999</v>
      </c>
      <c r="G83" s="7">
        <v>5.2670000000000003</v>
      </c>
      <c r="H83" s="7">
        <v>8</v>
      </c>
      <c r="I83" s="29">
        <v>3</v>
      </c>
      <c r="J83" s="29">
        <v>4</v>
      </c>
      <c r="K83" s="7">
        <v>3.35</v>
      </c>
      <c r="L83" s="7">
        <f>-394.1/$B$25</f>
        <v>-4.0845727315126705</v>
      </c>
      <c r="M83" s="34"/>
      <c r="N83" s="2"/>
      <c r="O83" s="2"/>
      <c r="P83" s="2"/>
      <c r="Q83" s="2"/>
      <c r="R83" s="2"/>
      <c r="S83" s="2"/>
      <c r="T83" s="18">
        <v>4.51</v>
      </c>
      <c r="U83" s="18">
        <v>18.725000000000001</v>
      </c>
      <c r="V83" s="2"/>
      <c r="W83" s="16">
        <v>15</v>
      </c>
      <c r="X83" s="2"/>
      <c r="Y83" s="16" t="s">
        <v>530</v>
      </c>
      <c r="Z83" s="2">
        <v>41</v>
      </c>
      <c r="AA83" s="2"/>
      <c r="AD83" s="18"/>
      <c r="AE83" s="2"/>
      <c r="AF83" s="26"/>
      <c r="AG83" s="2"/>
      <c r="AH83" s="7"/>
      <c r="AI83" s="7"/>
      <c r="AJ83" s="7"/>
      <c r="AK83" s="2"/>
      <c r="AL83" s="2"/>
      <c r="AM83" s="7"/>
    </row>
    <row r="84" spans="2:39" x14ac:dyDescent="0.2">
      <c r="B84" s="2"/>
      <c r="C84" s="2" t="s">
        <v>125</v>
      </c>
      <c r="D84" s="7">
        <v>-0.33800000000000002</v>
      </c>
      <c r="E84" s="7">
        <v>-0.33800000000000002</v>
      </c>
      <c r="F84" s="7">
        <v>-3.024</v>
      </c>
      <c r="G84" s="7">
        <v>5.2990000000000004</v>
      </c>
      <c r="H84" s="7">
        <v>5</v>
      </c>
      <c r="I84" s="29">
        <v>22</v>
      </c>
      <c r="J84" s="29">
        <v>40</v>
      </c>
      <c r="K84" s="7">
        <v>5.35</v>
      </c>
      <c r="L84" s="7" t="s">
        <v>304</v>
      </c>
      <c r="M84" s="34"/>
      <c r="N84" s="2"/>
      <c r="O84" s="2"/>
      <c r="P84" s="2"/>
      <c r="Q84" s="2"/>
      <c r="R84" s="2"/>
      <c r="S84" s="2"/>
      <c r="T84" s="18">
        <v>2.5099999999999998</v>
      </c>
      <c r="U84" s="18">
        <v>13.424999999999999</v>
      </c>
      <c r="V84" s="2"/>
      <c r="W84" s="16">
        <v>43</v>
      </c>
      <c r="X84" s="2"/>
      <c r="Y84" s="16" t="s">
        <v>532</v>
      </c>
      <c r="Z84" s="2">
        <v>562</v>
      </c>
      <c r="AA84" s="2"/>
      <c r="AD84" s="18"/>
      <c r="AE84" s="2"/>
      <c r="AF84" s="26"/>
      <c r="AG84" s="2"/>
      <c r="AH84" s="7"/>
      <c r="AI84" s="7"/>
      <c r="AJ84" s="7"/>
      <c r="AK84" s="2"/>
      <c r="AL84" s="2"/>
      <c r="AM84" s="7"/>
    </row>
    <row r="85" spans="2:39" x14ac:dyDescent="0.2">
      <c r="B85" s="2"/>
      <c r="C85" s="2" t="s">
        <v>127</v>
      </c>
      <c r="D85" s="7">
        <v>-0.317</v>
      </c>
      <c r="E85" s="7">
        <v>-0.317</v>
      </c>
      <c r="F85" s="7" t="s">
        <v>304</v>
      </c>
      <c r="G85" s="7" t="s">
        <v>304</v>
      </c>
      <c r="H85" s="7">
        <v>4</v>
      </c>
      <c r="I85" s="29">
        <v>103</v>
      </c>
      <c r="J85" s="29">
        <v>203</v>
      </c>
      <c r="K85" s="7">
        <v>0</v>
      </c>
      <c r="L85" s="7" t="s">
        <v>304</v>
      </c>
      <c r="M85" s="34"/>
      <c r="N85" s="2"/>
      <c r="O85" s="2"/>
      <c r="P85" s="2"/>
      <c r="Q85" s="2"/>
      <c r="R85" s="2"/>
      <c r="S85" s="2"/>
      <c r="T85" s="18">
        <v>10.75</v>
      </c>
      <c r="U85" s="18">
        <v>13.546666666666667</v>
      </c>
      <c r="V85" s="2"/>
      <c r="W85" s="16">
        <v>225</v>
      </c>
      <c r="X85" s="2"/>
      <c r="Y85" s="16" t="s">
        <v>529</v>
      </c>
      <c r="Z85" s="2" t="s">
        <v>304</v>
      </c>
      <c r="AA85" s="2"/>
      <c r="AD85" s="18"/>
      <c r="AE85" s="2"/>
      <c r="AF85" s="26"/>
      <c r="AG85" s="2"/>
      <c r="AH85" s="7"/>
      <c r="AI85" s="7"/>
      <c r="AJ85" s="7"/>
      <c r="AK85" s="2"/>
      <c r="AL85" s="2"/>
      <c r="AM85" s="7"/>
    </row>
    <row r="86" spans="2:39" x14ac:dyDescent="0.2">
      <c r="B86" s="2"/>
      <c r="C86" s="2" t="s">
        <v>129</v>
      </c>
      <c r="D86" s="7">
        <v>-0.33800000000000002</v>
      </c>
      <c r="E86" s="7">
        <v>-0.33800000000000002</v>
      </c>
      <c r="F86" s="7" t="s">
        <v>304</v>
      </c>
      <c r="G86" s="7" t="s">
        <v>304</v>
      </c>
      <c r="H86" s="7">
        <v>6</v>
      </c>
      <c r="I86" s="29">
        <v>57</v>
      </c>
      <c r="J86" s="29">
        <v>251</v>
      </c>
      <c r="K86" s="7">
        <v>0</v>
      </c>
      <c r="L86" s="7" t="s">
        <v>304</v>
      </c>
      <c r="M86" s="34"/>
      <c r="N86" s="2"/>
      <c r="O86" s="2"/>
      <c r="P86" s="2"/>
      <c r="Q86" s="2"/>
      <c r="R86" s="2"/>
      <c r="S86" s="2"/>
      <c r="T86" s="18">
        <v>11.07</v>
      </c>
      <c r="U86" s="18">
        <v>10.4625</v>
      </c>
      <c r="V86" s="2"/>
      <c r="W86" s="16">
        <v>139</v>
      </c>
      <c r="X86" s="2"/>
      <c r="Y86" s="16" t="s">
        <v>531</v>
      </c>
      <c r="Z86" s="2" t="s">
        <v>304</v>
      </c>
      <c r="AA86" s="2"/>
      <c r="AD86" s="18"/>
      <c r="AE86" s="2"/>
      <c r="AF86" s="26"/>
      <c r="AG86" s="2"/>
      <c r="AH86" s="7"/>
      <c r="AI86" s="7"/>
      <c r="AJ86" s="7"/>
      <c r="AK86" s="2"/>
      <c r="AL86" s="2"/>
      <c r="AM86" s="7"/>
    </row>
    <row r="87" spans="2:39" x14ac:dyDescent="0.2">
      <c r="B87" s="2"/>
      <c r="C87" s="2" t="s">
        <v>130</v>
      </c>
      <c r="D87" s="7">
        <v>-0.33800000000000002</v>
      </c>
      <c r="E87" s="7">
        <v>-0.33800000000000002</v>
      </c>
      <c r="F87" s="7">
        <v>-2.911</v>
      </c>
      <c r="G87" s="7">
        <v>3.8260000000000001</v>
      </c>
      <c r="H87" s="7">
        <v>2.67</v>
      </c>
      <c r="I87" s="29">
        <v>11</v>
      </c>
      <c r="J87" s="29">
        <v>40</v>
      </c>
      <c r="K87" s="7">
        <v>1.1399999999999999</v>
      </c>
      <c r="L87" s="7">
        <f>-718.4/$B$25</f>
        <v>-7.445716950821371</v>
      </c>
      <c r="M87" s="34"/>
      <c r="N87" s="2"/>
      <c r="O87" s="2"/>
      <c r="P87" s="2"/>
      <c r="Q87" s="2"/>
      <c r="R87" s="2"/>
      <c r="S87" s="2"/>
      <c r="T87" s="18">
        <v>8.18</v>
      </c>
      <c r="U87" s="18">
        <v>19.887499999999999</v>
      </c>
      <c r="V87" s="2"/>
      <c r="W87" s="16">
        <v>135</v>
      </c>
      <c r="X87" s="2"/>
      <c r="Y87" s="16" t="s">
        <v>531</v>
      </c>
      <c r="Z87" s="2">
        <v>830</v>
      </c>
      <c r="AA87" s="2"/>
      <c r="AD87" s="18"/>
      <c r="AE87" s="2"/>
      <c r="AF87" s="26"/>
      <c r="AG87" s="2"/>
      <c r="AH87" s="7"/>
      <c r="AI87" s="7"/>
      <c r="AJ87" s="7"/>
      <c r="AK87" s="2"/>
      <c r="AL87" s="2"/>
      <c r="AM87" s="7"/>
    </row>
    <row r="88" spans="2:39" x14ac:dyDescent="0.2">
      <c r="B88" s="2"/>
      <c r="C88" s="2" t="s">
        <v>131</v>
      </c>
      <c r="D88" s="7">
        <v>-0.33800000000000002</v>
      </c>
      <c r="E88" s="7">
        <v>-0.14199999999999999</v>
      </c>
      <c r="F88" s="7">
        <v>-2.831</v>
      </c>
      <c r="G88" s="7">
        <v>3.806</v>
      </c>
      <c r="H88" s="7">
        <v>2</v>
      </c>
      <c r="I88" s="29">
        <v>19</v>
      </c>
      <c r="J88" s="29">
        <v>51</v>
      </c>
      <c r="K88" s="7">
        <v>1.54</v>
      </c>
      <c r="L88" s="7">
        <f>-219/$B$25</f>
        <v>-2.2697828678032854</v>
      </c>
      <c r="M88" s="34"/>
      <c r="N88" s="2"/>
      <c r="O88" s="2"/>
      <c r="P88" s="2"/>
      <c r="Q88" s="2"/>
      <c r="R88" s="2"/>
      <c r="S88" s="2"/>
      <c r="T88" s="18">
        <v>8.43</v>
      </c>
      <c r="U88" s="18">
        <v>21.99234375</v>
      </c>
      <c r="V88" s="2"/>
      <c r="W88" s="16">
        <v>57</v>
      </c>
      <c r="X88" s="2"/>
      <c r="Y88" s="16" t="s">
        <v>532</v>
      </c>
      <c r="Z88" s="2">
        <v>897</v>
      </c>
      <c r="AA88" s="2"/>
      <c r="AD88" s="18"/>
      <c r="AE88" s="2"/>
      <c r="AF88" s="26"/>
      <c r="AG88" s="2"/>
      <c r="AH88" s="7"/>
      <c r="AI88" s="7"/>
      <c r="AJ88" s="7"/>
      <c r="AK88" s="2"/>
      <c r="AL88" s="2"/>
      <c r="AM88" s="7"/>
    </row>
    <row r="89" spans="2:39" x14ac:dyDescent="0.2">
      <c r="B89" s="2"/>
      <c r="C89" s="2" t="s">
        <v>133</v>
      </c>
      <c r="D89" s="7">
        <v>-0.33800000000000002</v>
      </c>
      <c r="E89" s="7">
        <v>-0.33800000000000002</v>
      </c>
      <c r="F89" s="7">
        <v>-3.0209999999999999</v>
      </c>
      <c r="G89" s="7">
        <v>3.7280000000000002</v>
      </c>
      <c r="H89" s="7">
        <v>4</v>
      </c>
      <c r="I89" s="29">
        <v>29</v>
      </c>
      <c r="J89" s="29">
        <v>83</v>
      </c>
      <c r="K89" s="7">
        <v>0</v>
      </c>
      <c r="L89" s="7">
        <f>-277.4/$B$25</f>
        <v>-2.8750582992174949</v>
      </c>
      <c r="M89" s="34"/>
      <c r="N89" s="2"/>
      <c r="O89" s="2"/>
      <c r="P89" s="2"/>
      <c r="Q89" s="2"/>
      <c r="R89" s="2"/>
      <c r="S89" s="2"/>
      <c r="T89" s="18">
        <v>9.19</v>
      </c>
      <c r="U89" s="18">
        <v>14.399166666666666</v>
      </c>
      <c r="V89" s="2"/>
      <c r="W89" s="16">
        <v>60</v>
      </c>
      <c r="X89" s="2"/>
      <c r="Y89" s="16" t="s">
        <v>532</v>
      </c>
      <c r="Z89" s="2">
        <v>290</v>
      </c>
      <c r="AA89" s="2"/>
      <c r="AD89" s="18"/>
      <c r="AE89" s="2"/>
      <c r="AF89" s="26"/>
      <c r="AG89" s="2"/>
      <c r="AH89" s="7"/>
      <c r="AI89" s="7"/>
      <c r="AJ89" s="7"/>
      <c r="AK89" s="2"/>
      <c r="AL89" s="2"/>
      <c r="AM89" s="7"/>
    </row>
    <row r="90" spans="2:39" x14ac:dyDescent="0.2">
      <c r="B90" s="2"/>
      <c r="C90" s="2" t="s">
        <v>134</v>
      </c>
      <c r="D90" s="7">
        <v>-0.161</v>
      </c>
      <c r="E90" s="7">
        <v>-0.161</v>
      </c>
      <c r="F90" s="7">
        <v>-2.7509999999999999</v>
      </c>
      <c r="G90" s="7">
        <v>4.048</v>
      </c>
      <c r="H90" s="7">
        <v>2</v>
      </c>
      <c r="I90" s="29">
        <v>34</v>
      </c>
      <c r="J90" s="29">
        <v>159</v>
      </c>
      <c r="K90" s="7">
        <v>0</v>
      </c>
      <c r="L90" s="7">
        <f>-85.4/$B$25</f>
        <v>-0.88511167538995705</v>
      </c>
      <c r="M90" s="34"/>
      <c r="N90" s="2">
        <v>3.907</v>
      </c>
      <c r="O90" s="2">
        <v>4</v>
      </c>
      <c r="P90" s="2">
        <v>4</v>
      </c>
      <c r="Q90" s="2">
        <v>0.90500000000000003</v>
      </c>
      <c r="R90" s="2">
        <v>2.0630000000000002</v>
      </c>
      <c r="S90" s="2">
        <v>1.925</v>
      </c>
      <c r="T90" s="18">
        <v>7.76</v>
      </c>
      <c r="U90" s="18">
        <v>13.09</v>
      </c>
      <c r="V90" s="2">
        <v>0.47399999999999998</v>
      </c>
      <c r="W90" s="16">
        <v>131</v>
      </c>
      <c r="X90" s="2">
        <v>4</v>
      </c>
      <c r="Y90" s="16" t="s">
        <v>531</v>
      </c>
      <c r="Z90" s="2">
        <v>750</v>
      </c>
      <c r="AA90" s="2"/>
      <c r="AD90" s="18"/>
      <c r="AE90" s="2"/>
      <c r="AF90" s="26"/>
      <c r="AG90" s="2"/>
      <c r="AH90" s="7"/>
      <c r="AI90" s="7"/>
      <c r="AJ90" s="7"/>
      <c r="AK90" s="2"/>
      <c r="AL90" s="2"/>
      <c r="AM90" s="7"/>
    </row>
    <row r="91" spans="2:39" x14ac:dyDescent="0.2">
      <c r="B91" s="2"/>
      <c r="C91" s="2" t="s">
        <v>136</v>
      </c>
      <c r="D91" s="7">
        <v>-0.161</v>
      </c>
      <c r="E91" s="7">
        <v>-0.161</v>
      </c>
      <c r="F91" s="7">
        <v>-2.964</v>
      </c>
      <c r="G91" s="7">
        <v>3.7759999999999998</v>
      </c>
      <c r="H91" s="7">
        <v>4</v>
      </c>
      <c r="I91" s="29">
        <v>36</v>
      </c>
      <c r="J91" s="29">
        <v>110</v>
      </c>
      <c r="K91" s="7">
        <v>0</v>
      </c>
      <c r="L91" s="7" t="s">
        <v>304</v>
      </c>
      <c r="M91" s="34"/>
      <c r="N91" s="2"/>
      <c r="O91" s="2"/>
      <c r="P91" s="2"/>
      <c r="Q91" s="2"/>
      <c r="R91" s="2"/>
      <c r="S91" s="2"/>
      <c r="T91" s="18">
        <v>6.78</v>
      </c>
      <c r="U91" s="18">
        <v>11.295</v>
      </c>
      <c r="V91" s="2"/>
      <c r="W91" s="16">
        <v>136</v>
      </c>
      <c r="X91" s="2"/>
      <c r="Y91" s="16" t="s">
        <v>531</v>
      </c>
      <c r="Z91" s="2" t="s">
        <v>304</v>
      </c>
      <c r="AA91" s="2"/>
      <c r="AD91" s="18"/>
      <c r="AE91" s="2"/>
      <c r="AF91" s="26"/>
      <c r="AG91" s="2"/>
      <c r="AH91" s="7"/>
      <c r="AI91" s="7"/>
      <c r="AJ91" s="7"/>
      <c r="AK91" s="2"/>
      <c r="AL91" s="2"/>
      <c r="AM91" s="7"/>
    </row>
    <row r="92" spans="2:39" x14ac:dyDescent="0.2">
      <c r="B92" s="2"/>
      <c r="C92" s="2" t="s">
        <v>137</v>
      </c>
      <c r="D92" s="7">
        <v>-0.2</v>
      </c>
      <c r="E92" s="7">
        <v>-0.2</v>
      </c>
      <c r="F92" s="7" t="s">
        <v>304</v>
      </c>
      <c r="G92" s="7" t="s">
        <v>304</v>
      </c>
      <c r="H92" s="7">
        <v>3</v>
      </c>
      <c r="I92" s="29">
        <v>64</v>
      </c>
      <c r="J92" s="29">
        <v>159</v>
      </c>
      <c r="K92" s="7">
        <v>3.77</v>
      </c>
      <c r="L92" s="7" t="s">
        <v>304</v>
      </c>
      <c r="M92" s="34"/>
      <c r="N92" s="2"/>
      <c r="O92" s="2"/>
      <c r="P92" s="2"/>
      <c r="Q92" s="2"/>
      <c r="R92" s="2"/>
      <c r="S92" s="2"/>
      <c r="T92" s="18">
        <v>6.61</v>
      </c>
      <c r="U92" s="18">
        <v>16.978999999999999</v>
      </c>
      <c r="V92" s="2"/>
      <c r="W92" s="16">
        <v>206</v>
      </c>
      <c r="X92" s="2"/>
      <c r="Y92" s="16" t="s">
        <v>529</v>
      </c>
      <c r="Z92" s="2" t="s">
        <v>304</v>
      </c>
      <c r="AA92" s="2"/>
      <c r="AD92" s="18"/>
      <c r="AE92" s="2"/>
      <c r="AF92" s="26"/>
      <c r="AG92" s="2"/>
      <c r="AH92" s="7"/>
      <c r="AI92" s="7"/>
      <c r="AJ92" s="7"/>
      <c r="AK92" s="2"/>
      <c r="AL92" s="2"/>
      <c r="AM92" s="7"/>
    </row>
    <row r="93" spans="2:39" x14ac:dyDescent="0.2">
      <c r="B93" s="2"/>
      <c r="C93" s="2" t="s">
        <v>139</v>
      </c>
      <c r="D93" s="7">
        <v>-0.155</v>
      </c>
      <c r="E93" s="7">
        <v>-0.155</v>
      </c>
      <c r="F93" s="7">
        <v>-2.2040000000000002</v>
      </c>
      <c r="G93" s="7">
        <v>6.7949999999999999</v>
      </c>
      <c r="H93" s="7">
        <v>3</v>
      </c>
      <c r="I93" s="29">
        <v>57</v>
      </c>
      <c r="J93" s="29">
        <v>144</v>
      </c>
      <c r="K93" s="7">
        <v>3.66</v>
      </c>
      <c r="L93" s="7">
        <f>-1809.6/$B$25</f>
        <v>-18.755246929574543</v>
      </c>
      <c r="M93" s="34"/>
      <c r="N93" s="2"/>
      <c r="O93" s="2"/>
      <c r="P93" s="2"/>
      <c r="Q93" s="2"/>
      <c r="R93" s="2"/>
      <c r="S93" s="2"/>
      <c r="T93" s="18">
        <v>6.09</v>
      </c>
      <c r="U93" s="18">
        <v>17.987000000000002</v>
      </c>
      <c r="V93" s="2"/>
      <c r="W93" s="16">
        <v>206</v>
      </c>
      <c r="X93" s="2"/>
      <c r="Y93" s="16" t="s">
        <v>529</v>
      </c>
      <c r="Z93" s="2">
        <v>2183</v>
      </c>
      <c r="AA93" s="2"/>
      <c r="AD93" s="18"/>
      <c r="AE93" s="2"/>
      <c r="AF93" s="26"/>
      <c r="AG93" s="2"/>
      <c r="AH93" s="7"/>
      <c r="AI93" s="7"/>
      <c r="AJ93" s="7"/>
      <c r="AK93" s="2"/>
      <c r="AL93" s="2"/>
      <c r="AM93" s="7"/>
    </row>
    <row r="94" spans="2:39" x14ac:dyDescent="0.2">
      <c r="B94" s="2"/>
      <c r="C94" s="2" t="s">
        <v>141</v>
      </c>
      <c r="D94" s="7">
        <v>-0.27400000000000002</v>
      </c>
      <c r="E94" s="7">
        <v>-0.27400000000000002</v>
      </c>
      <c r="F94" s="7">
        <v>-2.8839999999999999</v>
      </c>
      <c r="G94" s="7">
        <v>4.8380000000000001</v>
      </c>
      <c r="H94" s="7">
        <v>2.67</v>
      </c>
      <c r="I94" s="29">
        <v>58</v>
      </c>
      <c r="J94" s="29">
        <v>213</v>
      </c>
      <c r="K94" s="7">
        <v>0</v>
      </c>
      <c r="L94" s="7" t="s">
        <v>304</v>
      </c>
      <c r="M94" s="34"/>
      <c r="N94" s="2"/>
      <c r="O94" s="2"/>
      <c r="P94" s="2"/>
      <c r="Q94" s="2"/>
      <c r="R94" s="2"/>
      <c r="S94" s="2"/>
      <c r="T94" s="18">
        <v>11.86</v>
      </c>
      <c r="U94" s="18">
        <v>12.990714285714287</v>
      </c>
      <c r="V94" s="2"/>
      <c r="W94" s="16">
        <v>223</v>
      </c>
      <c r="X94" s="2"/>
      <c r="Y94" s="16" t="s">
        <v>529</v>
      </c>
      <c r="Z94" s="2" t="s">
        <v>304</v>
      </c>
      <c r="AA94" s="2"/>
      <c r="AD94" s="18"/>
      <c r="AE94" s="2"/>
      <c r="AF94" s="26"/>
      <c r="AG94" s="2"/>
      <c r="AH94" s="7"/>
      <c r="AI94" s="7"/>
      <c r="AJ94" s="7"/>
      <c r="AK94" s="2"/>
      <c r="AL94" s="2"/>
      <c r="AM94" s="7"/>
    </row>
    <row r="95" spans="2:39" x14ac:dyDescent="0.2">
      <c r="B95" s="2"/>
      <c r="C95" s="2" t="s">
        <v>143</v>
      </c>
      <c r="D95" s="7">
        <v>-0.27400000000000002</v>
      </c>
      <c r="E95" s="7">
        <v>-0.27400000000000002</v>
      </c>
      <c r="F95" s="7">
        <v>-2.9990000000000001</v>
      </c>
      <c r="G95" s="7">
        <v>4.625</v>
      </c>
      <c r="H95" s="7">
        <v>4</v>
      </c>
      <c r="I95" s="29">
        <v>87</v>
      </c>
      <c r="J95" s="29">
        <v>204</v>
      </c>
      <c r="K95" s="7">
        <v>0.6</v>
      </c>
      <c r="L95" s="7">
        <v>-0.56299999999999994</v>
      </c>
      <c r="M95" s="34"/>
      <c r="N95" s="2">
        <v>5.859</v>
      </c>
      <c r="O95" s="2">
        <v>6</v>
      </c>
      <c r="P95" s="2">
        <v>3</v>
      </c>
      <c r="Q95" s="2">
        <v>1.0549999999999999</v>
      </c>
      <c r="R95" s="2">
        <v>2.0579999999999998</v>
      </c>
      <c r="S95" s="2">
        <v>3.6989999999999998</v>
      </c>
      <c r="T95" s="18">
        <v>11.25</v>
      </c>
      <c r="U95" s="18">
        <v>11.173333333333334</v>
      </c>
      <c r="V95" s="2">
        <v>0.29599999999999999</v>
      </c>
      <c r="W95" s="16">
        <v>58</v>
      </c>
      <c r="X95" s="2">
        <v>3</v>
      </c>
      <c r="Y95" s="16" t="s">
        <v>532</v>
      </c>
      <c r="Z95" s="2">
        <v>450</v>
      </c>
      <c r="AA95" s="2"/>
      <c r="AD95" s="18"/>
      <c r="AE95" s="2"/>
      <c r="AF95" s="26"/>
      <c r="AG95" s="2"/>
      <c r="AH95" s="7"/>
      <c r="AI95" s="7"/>
      <c r="AJ95" s="7"/>
      <c r="AK95" s="2"/>
      <c r="AL95" s="2"/>
      <c r="AM95" s="7"/>
    </row>
    <row r="96" spans="2:39" x14ac:dyDescent="0.2">
      <c r="B96" s="2"/>
      <c r="C96" s="2" t="s">
        <v>144</v>
      </c>
      <c r="D96" s="7" t="s">
        <v>304</v>
      </c>
      <c r="E96" s="7" t="s">
        <v>304</v>
      </c>
      <c r="F96" s="7">
        <v>-2.3159999999999998</v>
      </c>
      <c r="G96" s="7">
        <v>6.4560000000000004</v>
      </c>
      <c r="H96" s="7">
        <v>3</v>
      </c>
      <c r="I96" s="29">
        <v>91</v>
      </c>
      <c r="J96" s="29">
        <v>211</v>
      </c>
      <c r="K96" s="7">
        <v>0</v>
      </c>
      <c r="L96" s="7" t="s">
        <v>304</v>
      </c>
      <c r="M96" s="34"/>
      <c r="N96" s="2"/>
      <c r="O96" s="2"/>
      <c r="P96" s="2"/>
      <c r="Q96" s="2"/>
      <c r="R96" s="2"/>
      <c r="S96" s="2"/>
      <c r="T96" s="18">
        <v>11</v>
      </c>
      <c r="U96" s="18">
        <v>16.189</v>
      </c>
      <c r="V96" s="2"/>
      <c r="W96" s="16">
        <v>206</v>
      </c>
      <c r="X96" s="2"/>
      <c r="Y96" s="16" t="s">
        <v>529</v>
      </c>
      <c r="Z96" s="2" t="s">
        <v>304</v>
      </c>
      <c r="AA96" s="2"/>
      <c r="AD96" s="18"/>
      <c r="AE96" s="2"/>
      <c r="AF96" s="26"/>
      <c r="AG96" s="2"/>
      <c r="AH96" s="7"/>
      <c r="AI96" s="7"/>
      <c r="AJ96" s="7"/>
      <c r="AK96" s="2"/>
      <c r="AL96" s="2"/>
      <c r="AM96" s="7"/>
    </row>
    <row r="97" spans="2:39" x14ac:dyDescent="0.2">
      <c r="B97" s="2"/>
      <c r="C97" s="2" t="s">
        <v>146</v>
      </c>
      <c r="D97" s="7" t="s">
        <v>304</v>
      </c>
      <c r="E97" s="7" t="s">
        <v>304</v>
      </c>
      <c r="F97" s="7">
        <v>-2.4740000000000002</v>
      </c>
      <c r="G97" s="7">
        <v>6.5609999999999999</v>
      </c>
      <c r="H97" s="7">
        <v>4</v>
      </c>
      <c r="I97" s="29">
        <v>76</v>
      </c>
      <c r="J97" s="29">
        <v>191</v>
      </c>
      <c r="K97" s="7">
        <v>0</v>
      </c>
      <c r="L97" s="7" t="s">
        <v>304</v>
      </c>
      <c r="M97" s="34"/>
      <c r="N97" s="2"/>
      <c r="O97" s="2"/>
      <c r="P97" s="2"/>
      <c r="Q97" s="2"/>
      <c r="R97" s="2"/>
      <c r="S97" s="2"/>
      <c r="T97" s="18">
        <v>11.74</v>
      </c>
      <c r="U97" s="18">
        <v>13.01</v>
      </c>
      <c r="V97" s="2"/>
      <c r="W97" s="16">
        <v>225</v>
      </c>
      <c r="X97" s="2"/>
      <c r="Y97" s="16" t="s">
        <v>529</v>
      </c>
      <c r="Z97" s="2">
        <v>2400</v>
      </c>
      <c r="AA97" s="2"/>
      <c r="AD97" s="18"/>
      <c r="AE97" s="2"/>
      <c r="AF97" s="26"/>
      <c r="AG97" s="2"/>
      <c r="AH97" s="7"/>
      <c r="AI97" s="7"/>
      <c r="AJ97" s="7"/>
      <c r="AK97" s="2"/>
      <c r="AL97" s="2"/>
      <c r="AM97" s="7"/>
    </row>
    <row r="98" spans="2:39" x14ac:dyDescent="0.2">
      <c r="B98" s="2"/>
      <c r="C98" s="2" t="s">
        <v>147</v>
      </c>
      <c r="D98" s="7">
        <v>-0.33800000000000002</v>
      </c>
      <c r="E98" s="7">
        <v>-8.5000000000000006E-2</v>
      </c>
      <c r="F98" s="7">
        <v>-1.3220000000000001</v>
      </c>
      <c r="G98" s="7">
        <v>2.5550000000000002</v>
      </c>
      <c r="H98" s="7">
        <v>1</v>
      </c>
      <c r="I98" s="29">
        <v>4</v>
      </c>
      <c r="J98" s="29">
        <v>5</v>
      </c>
      <c r="K98" s="7">
        <v>0.46</v>
      </c>
      <c r="L98" s="7">
        <f>-339/$B$25</f>
        <v>-3.5134995076954967</v>
      </c>
      <c r="M98" s="34"/>
      <c r="N98" s="2"/>
      <c r="O98" s="2"/>
      <c r="P98" s="2"/>
      <c r="Q98" s="2"/>
      <c r="R98" s="2"/>
      <c r="S98" s="2"/>
      <c r="T98" s="18">
        <v>3.23</v>
      </c>
      <c r="U98" s="18">
        <v>32.07</v>
      </c>
      <c r="V98" s="2"/>
      <c r="W98" s="16">
        <v>166</v>
      </c>
      <c r="X98" s="2"/>
      <c r="Y98" s="16" t="s">
        <v>528</v>
      </c>
      <c r="Z98" s="2">
        <v>400</v>
      </c>
      <c r="AA98" s="2"/>
      <c r="AD98" s="18"/>
      <c r="AE98" s="2"/>
      <c r="AF98" s="26"/>
      <c r="AG98" s="2"/>
      <c r="AH98" s="7"/>
      <c r="AI98" s="7"/>
      <c r="AJ98" s="7"/>
      <c r="AK98" s="2"/>
      <c r="AL98" s="2"/>
      <c r="AM98" s="7"/>
    </row>
    <row r="99" spans="2:39" x14ac:dyDescent="0.2">
      <c r="B99" s="2"/>
      <c r="C99" s="2" t="s">
        <v>150</v>
      </c>
      <c r="D99" s="7">
        <v>-0.33800000000000002</v>
      </c>
      <c r="E99" s="7">
        <v>-0.33800000000000002</v>
      </c>
      <c r="F99" s="7">
        <v>-1.68</v>
      </c>
      <c r="G99" s="7">
        <v>2.944</v>
      </c>
      <c r="H99" s="7" t="s">
        <v>304</v>
      </c>
      <c r="I99" s="29">
        <v>12</v>
      </c>
      <c r="J99" s="29">
        <v>34</v>
      </c>
      <c r="K99" s="7">
        <v>1.76</v>
      </c>
      <c r="L99" s="7">
        <f>-472/$B$25</f>
        <v>-4.8919521169093638</v>
      </c>
      <c r="M99" s="34"/>
      <c r="N99" s="2"/>
      <c r="O99" s="2"/>
      <c r="P99" s="2"/>
      <c r="Q99" s="2"/>
      <c r="R99" s="2"/>
      <c r="S99" s="2"/>
      <c r="T99" s="18">
        <v>3.62</v>
      </c>
      <c r="U99" s="18">
        <v>23.295000000000002</v>
      </c>
      <c r="V99" s="2"/>
      <c r="W99" s="16">
        <v>71</v>
      </c>
      <c r="X99" s="2"/>
      <c r="Y99" s="16" t="s">
        <v>532</v>
      </c>
      <c r="Z99" s="2">
        <v>570</v>
      </c>
      <c r="AA99" s="2"/>
      <c r="AD99" s="18"/>
      <c r="AE99" s="2"/>
      <c r="AF99" s="26"/>
      <c r="AG99" s="2"/>
      <c r="AH99" s="7"/>
      <c r="AI99" s="7"/>
      <c r="AJ99" s="7"/>
      <c r="AK99" s="2"/>
      <c r="AL99" s="2"/>
      <c r="AM99" s="7"/>
    </row>
    <row r="100" spans="2:39" x14ac:dyDescent="0.2">
      <c r="B100" s="2"/>
      <c r="C100" s="2" t="s">
        <v>148</v>
      </c>
      <c r="D100" s="7">
        <v>-8.5000000000000006E-2</v>
      </c>
      <c r="E100" s="7">
        <v>-8.5000000000000006E-2</v>
      </c>
      <c r="F100" s="7">
        <v>-1.0640000000000001</v>
      </c>
      <c r="G100" s="7">
        <v>1.804</v>
      </c>
      <c r="H100" s="7" t="s">
        <v>304</v>
      </c>
      <c r="I100" s="29">
        <v>4</v>
      </c>
      <c r="J100" s="29">
        <v>8</v>
      </c>
      <c r="K100" s="7">
        <v>0</v>
      </c>
      <c r="L100" s="7" t="s">
        <v>304</v>
      </c>
      <c r="M100" s="34"/>
      <c r="N100" s="2"/>
      <c r="O100" s="2"/>
      <c r="P100" s="2"/>
      <c r="Q100" s="2"/>
      <c r="R100" s="2"/>
      <c r="S100" s="2"/>
      <c r="T100" s="18">
        <v>1.97</v>
      </c>
      <c r="U100" s="18">
        <v>61.402272727272724</v>
      </c>
      <c r="V100" s="2"/>
      <c r="W100" s="16">
        <v>11</v>
      </c>
      <c r="X100" s="2"/>
      <c r="Y100" s="16" t="s">
        <v>530</v>
      </c>
      <c r="Z100" s="2" t="s">
        <v>304</v>
      </c>
      <c r="AA100" s="2"/>
      <c r="AD100" s="18"/>
      <c r="AE100" s="2"/>
      <c r="AF100" s="26"/>
      <c r="AG100" s="2"/>
      <c r="AH100" s="7"/>
      <c r="AI100" s="7"/>
      <c r="AJ100" s="7"/>
      <c r="AK100" s="2"/>
      <c r="AL100" s="2"/>
      <c r="AM100" s="7"/>
    </row>
    <row r="101" spans="2:39" x14ac:dyDescent="0.2">
      <c r="B101" s="2"/>
      <c r="C101" s="2" t="s">
        <v>151</v>
      </c>
      <c r="D101" s="7">
        <v>-0.33800000000000002</v>
      </c>
      <c r="E101" s="7">
        <v>-0.33800000000000002</v>
      </c>
      <c r="F101" s="7">
        <v>-2.133</v>
      </c>
      <c r="G101" s="7">
        <v>2.9729999999999999</v>
      </c>
      <c r="H101" s="7">
        <v>4</v>
      </c>
      <c r="I101" s="29">
        <v>8</v>
      </c>
      <c r="J101" s="29">
        <v>21</v>
      </c>
      <c r="K101" s="7">
        <v>0</v>
      </c>
      <c r="L101" s="7">
        <f>-278.7/$B$25</f>
        <v>-2.8885318961496607</v>
      </c>
      <c r="M101" s="34"/>
      <c r="N101" s="2"/>
      <c r="O101" s="2"/>
      <c r="P101" s="2"/>
      <c r="Q101" s="2"/>
      <c r="R101" s="2"/>
      <c r="S101" s="2"/>
      <c r="T101" s="18">
        <v>3.14</v>
      </c>
      <c r="U101" s="18">
        <v>20.68</v>
      </c>
      <c r="V101" s="2"/>
      <c r="W101" s="16">
        <v>139</v>
      </c>
      <c r="X101" s="2"/>
      <c r="Y101" s="16" t="s">
        <v>531</v>
      </c>
      <c r="Z101" s="2">
        <v>412</v>
      </c>
      <c r="AA101" s="2"/>
      <c r="AD101" s="18"/>
      <c r="AE101" s="2"/>
      <c r="AF101" s="26"/>
      <c r="AG101" s="2"/>
      <c r="AH101" s="7"/>
      <c r="AI101" s="7"/>
      <c r="AJ101" s="7"/>
      <c r="AK101" s="2"/>
      <c r="AL101" s="2"/>
      <c r="AM101" s="7"/>
    </row>
    <row r="102" spans="2:39" x14ac:dyDescent="0.2">
      <c r="B102" s="2"/>
      <c r="C102" s="2" t="s">
        <v>152</v>
      </c>
      <c r="D102" s="7">
        <v>-0.33800000000000002</v>
      </c>
      <c r="E102" s="7">
        <v>-0.25900000000000001</v>
      </c>
      <c r="F102" s="7">
        <v>-3.0150000000000001</v>
      </c>
      <c r="G102" s="7">
        <v>5.86</v>
      </c>
      <c r="H102" s="7">
        <v>7</v>
      </c>
      <c r="I102" s="29">
        <v>46</v>
      </c>
      <c r="J102" s="29">
        <v>105</v>
      </c>
      <c r="K102" s="7">
        <v>2.68</v>
      </c>
      <c r="L102" s="7">
        <f>-1240.1/$B$25</f>
        <v>-12.852775042752759</v>
      </c>
      <c r="M102" s="34"/>
      <c r="N102" s="2"/>
      <c r="O102" s="2"/>
      <c r="P102" s="2"/>
      <c r="Q102" s="2"/>
      <c r="R102" s="2"/>
      <c r="S102" s="2"/>
      <c r="T102" s="18">
        <v>5.84</v>
      </c>
      <c r="U102" s="18">
        <v>15.310277777777777</v>
      </c>
      <c r="V102" s="2"/>
      <c r="W102" s="16">
        <v>19</v>
      </c>
      <c r="X102" s="2"/>
      <c r="Y102" s="16" t="s">
        <v>532</v>
      </c>
      <c r="Z102" s="2">
        <v>297</v>
      </c>
      <c r="AA102" s="2"/>
      <c r="AD102" s="18"/>
      <c r="AE102" s="2"/>
      <c r="AF102" s="26"/>
      <c r="AG102" s="2"/>
      <c r="AH102" s="7"/>
      <c r="AI102" s="7"/>
      <c r="AJ102" s="7"/>
      <c r="AK102" s="2"/>
      <c r="AL102" s="2"/>
      <c r="AM102" s="7"/>
    </row>
    <row r="103" spans="2:39" x14ac:dyDescent="0.2">
      <c r="B103" s="2"/>
      <c r="C103" s="2" t="s">
        <v>153</v>
      </c>
      <c r="D103" s="7">
        <v>-0.25900000000000001</v>
      </c>
      <c r="E103" s="7">
        <v>-0.25900000000000001</v>
      </c>
      <c r="F103" s="7">
        <v>-2.9660000000000002</v>
      </c>
      <c r="G103" s="7">
        <v>6.117</v>
      </c>
      <c r="H103" s="7">
        <v>6</v>
      </c>
      <c r="I103" s="29">
        <v>124</v>
      </c>
      <c r="J103" s="29">
        <v>238</v>
      </c>
      <c r="K103" s="7">
        <v>0</v>
      </c>
      <c r="L103" s="7" t="s">
        <v>304</v>
      </c>
      <c r="M103" s="34"/>
      <c r="N103" s="2"/>
      <c r="O103" s="2"/>
      <c r="P103" s="2"/>
      <c r="Q103" s="2"/>
      <c r="R103" s="2"/>
      <c r="S103" s="2"/>
      <c r="T103" s="18">
        <v>7.13</v>
      </c>
      <c r="U103" s="18">
        <v>13.637499999999999</v>
      </c>
      <c r="V103" s="2"/>
      <c r="W103" s="16">
        <v>127</v>
      </c>
      <c r="X103" s="2"/>
      <c r="Y103" s="16" t="s">
        <v>531</v>
      </c>
      <c r="Z103" s="2">
        <v>400</v>
      </c>
      <c r="AA103" s="2"/>
      <c r="AD103" s="18"/>
      <c r="AE103" s="2"/>
      <c r="AF103" s="26"/>
      <c r="AG103" s="2"/>
      <c r="AH103" s="7"/>
      <c r="AI103" s="7"/>
      <c r="AJ103" s="7"/>
      <c r="AK103" s="2"/>
      <c r="AL103" s="2"/>
      <c r="AM103" s="7"/>
    </row>
    <row r="104" spans="2:39" x14ac:dyDescent="0.2">
      <c r="B104" s="2"/>
      <c r="C104" s="2" t="s">
        <v>155</v>
      </c>
      <c r="D104" s="7">
        <v>-0.23899999999999999</v>
      </c>
      <c r="E104" s="7">
        <v>-0.23899999999999999</v>
      </c>
      <c r="F104" s="7">
        <v>-2.9990000000000001</v>
      </c>
      <c r="G104" s="7">
        <v>4.8929999999999998</v>
      </c>
      <c r="H104" s="7">
        <v>4</v>
      </c>
      <c r="I104" s="29">
        <v>94</v>
      </c>
      <c r="J104" s="29">
        <v>234</v>
      </c>
      <c r="K104" s="7">
        <v>0</v>
      </c>
      <c r="L104" s="7">
        <v>-1.843</v>
      </c>
      <c r="M104" s="34"/>
      <c r="N104" s="2">
        <v>5.7320000000000002</v>
      </c>
      <c r="O104" s="2">
        <v>6</v>
      </c>
      <c r="P104" s="2">
        <v>3</v>
      </c>
      <c r="Q104" s="2">
        <v>0.97899999999999998</v>
      </c>
      <c r="R104" s="2">
        <v>1.9770000000000001</v>
      </c>
      <c r="S104" s="2">
        <v>3.5030000000000001</v>
      </c>
      <c r="T104" s="18">
        <v>6.89</v>
      </c>
      <c r="U104" s="18">
        <v>10.843333333333334</v>
      </c>
      <c r="V104" s="2">
        <v>0.373</v>
      </c>
      <c r="W104" s="16">
        <v>136</v>
      </c>
      <c r="X104" s="2">
        <v>4</v>
      </c>
      <c r="Y104" s="16" t="s">
        <v>531</v>
      </c>
      <c r="Z104" s="2" t="s">
        <v>304</v>
      </c>
      <c r="AA104" s="2"/>
      <c r="AD104" s="18"/>
      <c r="AE104" s="2"/>
      <c r="AF104" s="26"/>
      <c r="AG104" s="2"/>
      <c r="AH104" s="7"/>
      <c r="AI104" s="7"/>
      <c r="AJ104" s="7"/>
      <c r="AK104" s="2"/>
      <c r="AL104" s="2"/>
      <c r="AM104" s="7"/>
    </row>
    <row r="105" spans="2:39" x14ac:dyDescent="0.2">
      <c r="B105" s="2"/>
      <c r="C105" s="2" t="s">
        <v>157</v>
      </c>
      <c r="D105" s="7">
        <v>-0.21</v>
      </c>
      <c r="E105" s="7">
        <v>-0.21</v>
      </c>
      <c r="F105" s="7">
        <v>-2.964</v>
      </c>
      <c r="G105" s="7">
        <v>5.4580000000000002</v>
      </c>
      <c r="H105" s="7">
        <v>4</v>
      </c>
      <c r="I105" s="29">
        <v>93</v>
      </c>
      <c r="J105" s="29">
        <v>252</v>
      </c>
      <c r="K105" s="7">
        <v>0</v>
      </c>
      <c r="L105" s="7">
        <v>-3.161</v>
      </c>
      <c r="M105" s="34"/>
      <c r="N105" s="2">
        <v>6.7510000000000003</v>
      </c>
      <c r="O105" s="2">
        <v>6</v>
      </c>
      <c r="P105" s="2">
        <v>3</v>
      </c>
      <c r="Q105" s="2">
        <v>0.96299999999999997</v>
      </c>
      <c r="R105" s="2">
        <v>1.9650000000000001</v>
      </c>
      <c r="S105" s="2">
        <v>3.9209999999999998</v>
      </c>
      <c r="T105" s="18">
        <v>6.82</v>
      </c>
      <c r="U105" s="18">
        <v>10.803333333333333</v>
      </c>
      <c r="V105" s="2">
        <v>0.34</v>
      </c>
      <c r="W105" s="16">
        <v>136</v>
      </c>
      <c r="X105" s="2">
        <v>4</v>
      </c>
      <c r="Y105" s="16" t="s">
        <v>531</v>
      </c>
      <c r="Z105" s="2">
        <v>1200</v>
      </c>
      <c r="AA105" s="2"/>
      <c r="AD105" s="18"/>
      <c r="AE105" s="2"/>
      <c r="AF105" s="26"/>
      <c r="AG105" s="2"/>
      <c r="AH105" s="7"/>
      <c r="AI105" s="7"/>
      <c r="AJ105" s="7"/>
      <c r="AK105" s="2"/>
      <c r="AL105" s="2"/>
      <c r="AM105" s="7"/>
    </row>
    <row r="106" spans="2:39" x14ac:dyDescent="0.2">
      <c r="B106" s="2"/>
      <c r="C106" s="2" t="s">
        <v>159</v>
      </c>
      <c r="D106" s="7">
        <v>-0.33800000000000002</v>
      </c>
      <c r="E106" s="7">
        <v>-0.21</v>
      </c>
      <c r="F106" s="7">
        <v>-3.1459999999999999</v>
      </c>
      <c r="G106" s="7">
        <v>4.6369999999999996</v>
      </c>
      <c r="H106" s="7">
        <v>8</v>
      </c>
      <c r="I106" s="29">
        <v>22</v>
      </c>
      <c r="J106" s="29">
        <v>52</v>
      </c>
      <c r="K106" s="7">
        <v>2.4300000000000002</v>
      </c>
      <c r="L106" s="7">
        <f>-239.3/$B$25</f>
        <v>-2.480178266051718</v>
      </c>
      <c r="M106" s="34"/>
      <c r="N106" s="2"/>
      <c r="O106" s="2"/>
      <c r="P106" s="2"/>
      <c r="Q106" s="2"/>
      <c r="R106" s="2"/>
      <c r="S106" s="2"/>
      <c r="T106" s="18">
        <v>2.92</v>
      </c>
      <c r="U106" s="18">
        <v>18.768750000000001</v>
      </c>
      <c r="V106" s="2"/>
      <c r="W106" s="16">
        <v>218</v>
      </c>
      <c r="X106" s="2"/>
      <c r="Y106" s="16" t="s">
        <v>529</v>
      </c>
      <c r="Z106" s="2">
        <v>25.4</v>
      </c>
      <c r="AA106" s="2"/>
      <c r="AD106" s="18"/>
      <c r="AE106" s="2"/>
      <c r="AF106" s="26"/>
      <c r="AG106" s="2"/>
      <c r="AH106" s="7"/>
      <c r="AI106" s="7"/>
      <c r="AJ106" s="7"/>
      <c r="AK106" s="2"/>
      <c r="AL106" s="2"/>
      <c r="AM106" s="7"/>
    </row>
    <row r="107" spans="2:39" x14ac:dyDescent="0.2">
      <c r="B107" s="2"/>
      <c r="C107" s="2" t="s">
        <v>160</v>
      </c>
      <c r="D107" s="7">
        <v>-0.33800000000000002</v>
      </c>
      <c r="E107" s="7">
        <v>-0.186</v>
      </c>
      <c r="F107" s="7">
        <v>-2.7970000000000002</v>
      </c>
      <c r="G107" s="7">
        <v>4.431</v>
      </c>
      <c r="H107" s="7">
        <v>3</v>
      </c>
      <c r="I107" s="29">
        <v>20</v>
      </c>
      <c r="J107" s="29">
        <v>19</v>
      </c>
      <c r="K107" s="7">
        <v>2.2200000000000002</v>
      </c>
      <c r="L107" s="7">
        <f>-720.305/$B$25</f>
        <v>-7.4654609524796598</v>
      </c>
      <c r="M107" s="34"/>
      <c r="N107" s="2"/>
      <c r="O107" s="2"/>
      <c r="P107" s="2"/>
      <c r="Q107" s="2"/>
      <c r="R107" s="2"/>
      <c r="S107" s="2"/>
      <c r="T107" s="18">
        <v>5.36</v>
      </c>
      <c r="U107" s="18">
        <v>18.076499999999999</v>
      </c>
      <c r="V107" s="2"/>
      <c r="W107" s="16">
        <v>56</v>
      </c>
      <c r="X107" s="2"/>
      <c r="Y107" s="16" t="s">
        <v>532</v>
      </c>
      <c r="Z107" s="2">
        <v>656</v>
      </c>
      <c r="AA107" s="2"/>
      <c r="AD107" s="18"/>
      <c r="AE107" s="2"/>
      <c r="AF107" s="26"/>
      <c r="AG107" s="2"/>
      <c r="AH107" s="7"/>
      <c r="AI107" s="7"/>
      <c r="AJ107" s="7"/>
      <c r="AK107" s="2"/>
      <c r="AL107" s="2"/>
      <c r="AM107" s="7"/>
    </row>
    <row r="108" spans="2:39" x14ac:dyDescent="0.2">
      <c r="B108" s="2"/>
      <c r="C108" s="2" t="s">
        <v>162</v>
      </c>
      <c r="D108" s="7">
        <v>-0.33800000000000002</v>
      </c>
      <c r="E108" s="7">
        <v>-0.33800000000000002</v>
      </c>
      <c r="F108" s="7">
        <v>-2.9670000000000001</v>
      </c>
      <c r="G108" s="7">
        <v>4.4130000000000003</v>
      </c>
      <c r="H108" s="7">
        <v>5</v>
      </c>
      <c r="I108" s="29">
        <v>75</v>
      </c>
      <c r="J108" s="29">
        <v>127</v>
      </c>
      <c r="K108" s="7">
        <v>0.81</v>
      </c>
      <c r="L108" s="7">
        <f>-971.9/$B$25</f>
        <v>-10.073068352593667</v>
      </c>
      <c r="M108" s="34"/>
      <c r="N108" s="2"/>
      <c r="O108" s="2"/>
      <c r="P108" s="2"/>
      <c r="Q108" s="2"/>
      <c r="R108" s="2"/>
      <c r="S108" s="2"/>
      <c r="T108" s="18">
        <v>6.37</v>
      </c>
      <c r="U108" s="18">
        <v>12.055714285714286</v>
      </c>
      <c r="V108" s="2"/>
      <c r="W108" s="16">
        <v>15</v>
      </c>
      <c r="X108" s="2"/>
      <c r="Y108" s="16" t="s">
        <v>530</v>
      </c>
      <c r="Z108" s="2">
        <v>380</v>
      </c>
      <c r="AA108" s="2"/>
      <c r="AD108" s="18"/>
      <c r="AE108" s="2"/>
      <c r="AF108" s="26"/>
      <c r="AG108" s="2"/>
      <c r="AH108" s="7"/>
      <c r="AI108" s="7"/>
      <c r="AJ108" s="7"/>
      <c r="AK108" s="2"/>
      <c r="AL108" s="2"/>
      <c r="AM108" s="7"/>
    </row>
    <row r="109" spans="2:39" x14ac:dyDescent="0.2">
      <c r="B109" s="2"/>
      <c r="C109" s="2" t="s">
        <v>163</v>
      </c>
      <c r="D109" s="7">
        <v>-0.33800000000000002</v>
      </c>
      <c r="E109" s="7">
        <v>-0.33800000000000002</v>
      </c>
      <c r="F109" s="7">
        <v>-2.895</v>
      </c>
      <c r="G109" s="7">
        <v>4.5090000000000003</v>
      </c>
      <c r="H109" s="7">
        <v>4</v>
      </c>
      <c r="I109" s="29">
        <v>55</v>
      </c>
      <c r="J109" s="29">
        <v>96</v>
      </c>
      <c r="K109" s="7">
        <v>1.89</v>
      </c>
      <c r="L109" s="7">
        <f>-907.51/$B$25</f>
        <v>-9.4057107322381714</v>
      </c>
      <c r="M109" s="34"/>
      <c r="N109" s="2"/>
      <c r="O109" s="2"/>
      <c r="P109" s="2"/>
      <c r="Q109" s="2"/>
      <c r="R109" s="2"/>
      <c r="S109" s="2"/>
      <c r="T109" s="18">
        <v>6.26</v>
      </c>
      <c r="U109" s="18">
        <v>13.59375</v>
      </c>
      <c r="V109" s="2"/>
      <c r="W109" s="16">
        <v>33</v>
      </c>
      <c r="X109" s="2"/>
      <c r="Y109" s="16" t="s">
        <v>532</v>
      </c>
      <c r="Z109" s="2" t="s">
        <v>304</v>
      </c>
      <c r="AA109" s="2"/>
      <c r="AD109" s="18"/>
      <c r="AE109" s="2"/>
      <c r="AF109" s="26"/>
      <c r="AG109" s="2"/>
      <c r="AH109" s="7"/>
      <c r="AI109" s="7"/>
      <c r="AJ109" s="7"/>
      <c r="AK109" s="2"/>
      <c r="AL109" s="2"/>
      <c r="AM109" s="7"/>
    </row>
    <row r="110" spans="2:39" x14ac:dyDescent="0.2">
      <c r="B110" s="2"/>
      <c r="C110" s="2" t="s">
        <v>164</v>
      </c>
      <c r="D110" s="7">
        <v>-0.33800000000000002</v>
      </c>
      <c r="E110" s="7">
        <v>-0.156</v>
      </c>
      <c r="F110" s="7">
        <v>-2.3730000000000002</v>
      </c>
      <c r="G110" s="7">
        <v>7.109</v>
      </c>
      <c r="H110" s="7">
        <v>3</v>
      </c>
      <c r="I110" s="29">
        <v>79</v>
      </c>
      <c r="J110" s="29">
        <v>168</v>
      </c>
      <c r="K110" s="7">
        <v>3.82</v>
      </c>
      <c r="L110" s="7">
        <f>-1908.8/$B$25</f>
        <v>-19.783386018552108</v>
      </c>
      <c r="M110" s="34"/>
      <c r="N110" s="2"/>
      <c r="O110" s="2"/>
      <c r="P110" s="2"/>
      <c r="Q110" s="2"/>
      <c r="R110" s="2"/>
      <c r="S110" s="2"/>
      <c r="T110" s="18">
        <v>3.76</v>
      </c>
      <c r="U110" s="18">
        <v>12.1805</v>
      </c>
      <c r="V110" s="2"/>
      <c r="W110" s="16">
        <v>206</v>
      </c>
      <c r="X110" s="2"/>
      <c r="Y110" s="16" t="s">
        <v>529</v>
      </c>
      <c r="Z110" s="2">
        <v>2485</v>
      </c>
      <c r="AA110" s="2"/>
      <c r="AD110" s="18"/>
      <c r="AE110" s="2"/>
      <c r="AF110" s="26"/>
      <c r="AG110" s="2"/>
      <c r="AH110" s="7"/>
      <c r="AI110" s="7"/>
      <c r="AJ110" s="7"/>
      <c r="AK110" s="2"/>
      <c r="AL110" s="2"/>
      <c r="AM110" s="7"/>
    </row>
    <row r="111" spans="2:39" x14ac:dyDescent="0.2">
      <c r="B111" s="2"/>
      <c r="C111" s="2" t="s">
        <v>166</v>
      </c>
      <c r="D111" s="7">
        <v>-0.33800000000000002</v>
      </c>
      <c r="E111" s="7">
        <v>-0.33800000000000002</v>
      </c>
      <c r="F111" s="7">
        <v>-3.1579999999999999</v>
      </c>
      <c r="G111" s="7">
        <v>3.6</v>
      </c>
      <c r="H111" s="7">
        <v>5</v>
      </c>
      <c r="I111" s="29">
        <v>19</v>
      </c>
      <c r="J111" s="29">
        <v>48</v>
      </c>
      <c r="K111" s="7">
        <v>2.89</v>
      </c>
      <c r="L111" s="7" t="s">
        <v>304</v>
      </c>
      <c r="M111" s="34"/>
      <c r="N111" s="2"/>
      <c r="O111" s="2"/>
      <c r="P111" s="2"/>
      <c r="Q111" s="2"/>
      <c r="R111" s="2"/>
      <c r="S111" s="2"/>
      <c r="T111" s="18">
        <v>3.27</v>
      </c>
      <c r="U111" s="18">
        <v>17.285714285714285</v>
      </c>
      <c r="V111" s="2"/>
      <c r="W111" s="16">
        <v>14</v>
      </c>
      <c r="X111" s="2"/>
      <c r="Y111" s="16" t="s">
        <v>530</v>
      </c>
      <c r="Z111" s="2" t="s">
        <v>304</v>
      </c>
      <c r="AA111" s="2"/>
      <c r="AD111" s="18"/>
      <c r="AE111" s="2"/>
      <c r="AF111" s="26"/>
      <c r="AG111" s="2"/>
      <c r="AH111" s="7"/>
      <c r="AI111" s="7"/>
      <c r="AJ111" s="7"/>
      <c r="AK111" s="2"/>
      <c r="AL111" s="2"/>
      <c r="AM111" s="7"/>
    </row>
    <row r="112" spans="2:39" x14ac:dyDescent="0.2">
      <c r="B112" s="2"/>
      <c r="C112" s="2" t="s">
        <v>167</v>
      </c>
      <c r="D112" s="7">
        <v>-0.33800000000000002</v>
      </c>
      <c r="E112" s="7">
        <v>-0.246</v>
      </c>
      <c r="F112" s="7">
        <v>-3.113</v>
      </c>
      <c r="G112" s="7">
        <v>3.7250000000000001</v>
      </c>
      <c r="H112" s="7">
        <v>4</v>
      </c>
      <c r="I112" s="29">
        <v>22</v>
      </c>
      <c r="J112" s="29">
        <v>55</v>
      </c>
      <c r="K112" s="7">
        <v>3.28</v>
      </c>
      <c r="L112" s="7">
        <f>-225.4/$B$25</f>
        <v>-2.33611442193087</v>
      </c>
      <c r="M112" s="34"/>
      <c r="N112" s="2"/>
      <c r="O112" s="2"/>
      <c r="P112" s="2"/>
      <c r="Q112" s="2"/>
      <c r="R112" s="2"/>
      <c r="S112" s="2"/>
      <c r="T112" s="18">
        <v>3.73</v>
      </c>
      <c r="U112" s="18">
        <v>16.457916666666666</v>
      </c>
      <c r="V112" s="2"/>
      <c r="W112" s="16">
        <v>135</v>
      </c>
      <c r="X112" s="2"/>
      <c r="Y112" s="16" t="s">
        <v>531</v>
      </c>
      <c r="Z112" s="2">
        <v>340</v>
      </c>
      <c r="AA112" s="2"/>
      <c r="AD112" s="18"/>
      <c r="AE112" s="2"/>
      <c r="AF112" s="26"/>
      <c r="AG112" s="2"/>
      <c r="AH112" s="7"/>
      <c r="AI112" s="7"/>
      <c r="AJ112" s="7"/>
      <c r="AK112" s="2"/>
      <c r="AL112" s="2"/>
      <c r="AM112" s="7"/>
    </row>
    <row r="113" spans="2:39" x14ac:dyDescent="0.2">
      <c r="B113" s="2"/>
      <c r="C113" s="2" t="s">
        <v>169</v>
      </c>
      <c r="D113" s="7">
        <v>-0.33800000000000002</v>
      </c>
      <c r="E113" s="7">
        <v>-0.33800000000000002</v>
      </c>
      <c r="F113" s="7">
        <v>-2.8220000000000001</v>
      </c>
      <c r="G113" s="7">
        <v>6.5659999999999998</v>
      </c>
      <c r="H113" s="7">
        <v>4</v>
      </c>
      <c r="I113" s="29">
        <v>34</v>
      </c>
      <c r="J113" s="29">
        <v>27</v>
      </c>
      <c r="K113" s="7">
        <v>5.7</v>
      </c>
      <c r="L113" s="7">
        <f>-910.7/$B$25</f>
        <v>-9.438772866248641</v>
      </c>
      <c r="M113" s="34"/>
      <c r="N113" s="2"/>
      <c r="O113" s="2"/>
      <c r="P113" s="2"/>
      <c r="Q113" s="2"/>
      <c r="R113" s="2"/>
      <c r="S113" s="2"/>
      <c r="T113" s="18">
        <v>2.12</v>
      </c>
      <c r="U113" s="18">
        <v>15.659999999999998</v>
      </c>
      <c r="V113" s="2"/>
      <c r="W113" s="16">
        <v>122</v>
      </c>
      <c r="X113" s="2"/>
      <c r="Y113" s="16" t="s">
        <v>531</v>
      </c>
      <c r="Z113" s="2">
        <v>1722</v>
      </c>
      <c r="AA113" s="2"/>
      <c r="AD113" s="18"/>
      <c r="AE113" s="2"/>
      <c r="AF113" s="26"/>
      <c r="AG113" s="2"/>
      <c r="AH113" s="7"/>
      <c r="AI113" s="7"/>
      <c r="AJ113" s="7"/>
      <c r="AK113" s="2"/>
      <c r="AL113" s="2"/>
      <c r="AM113" s="7"/>
    </row>
    <row r="114" spans="2:39" x14ac:dyDescent="0.2">
      <c r="B114" s="2"/>
      <c r="C114" s="2" t="s">
        <v>171</v>
      </c>
      <c r="D114" s="7">
        <v>-0.218</v>
      </c>
      <c r="E114" s="7">
        <v>-0.218</v>
      </c>
      <c r="F114" s="7">
        <v>-2.2349999999999999</v>
      </c>
      <c r="G114" s="7">
        <v>6.2990000000000004</v>
      </c>
      <c r="H114" s="7">
        <v>3</v>
      </c>
      <c r="I114" s="29">
        <v>55</v>
      </c>
      <c r="J114" s="29">
        <v>130</v>
      </c>
      <c r="K114" s="7">
        <v>3.78</v>
      </c>
      <c r="L114" s="7">
        <f>-1823/$B$25</f>
        <v>-18.894128621029175</v>
      </c>
      <c r="M114" s="34"/>
      <c r="N114" s="2"/>
      <c r="O114" s="2"/>
      <c r="P114" s="2"/>
      <c r="Q114" s="2"/>
      <c r="R114" s="2"/>
      <c r="S114" s="2"/>
      <c r="T114" s="18">
        <v>6.96</v>
      </c>
      <c r="U114" s="18">
        <v>16.6355</v>
      </c>
      <c r="V114" s="2"/>
      <c r="W114" s="16">
        <v>206</v>
      </c>
      <c r="X114" s="2"/>
      <c r="Y114" s="16" t="s">
        <v>529</v>
      </c>
      <c r="Z114" s="2">
        <v>2269</v>
      </c>
      <c r="AA114" s="2"/>
      <c r="AD114" s="18"/>
      <c r="AE114" s="2"/>
      <c r="AF114" s="26"/>
      <c r="AG114" s="2"/>
      <c r="AH114" s="7"/>
      <c r="AI114" s="7"/>
      <c r="AJ114" s="7"/>
      <c r="AK114" s="2"/>
      <c r="AL114" s="2"/>
      <c r="AM114" s="7"/>
    </row>
    <row r="115" spans="2:39" x14ac:dyDescent="0.2">
      <c r="B115" s="2"/>
      <c r="C115" s="2" t="s">
        <v>173</v>
      </c>
      <c r="D115" s="7">
        <v>-0.33800000000000002</v>
      </c>
      <c r="E115" s="7">
        <v>-0.33800000000000002</v>
      </c>
      <c r="F115" s="7">
        <v>-2.6640000000000001</v>
      </c>
      <c r="G115" s="7">
        <v>4.6260000000000003</v>
      </c>
      <c r="H115" s="7">
        <v>2.4</v>
      </c>
      <c r="I115" s="29">
        <v>28</v>
      </c>
      <c r="J115" s="29">
        <v>79</v>
      </c>
      <c r="K115" s="7">
        <v>1.76</v>
      </c>
      <c r="L115" s="7" t="s">
        <v>304</v>
      </c>
      <c r="M115" s="34"/>
      <c r="N115" s="2"/>
      <c r="O115" s="2"/>
      <c r="P115" s="2"/>
      <c r="Q115" s="2"/>
      <c r="R115" s="2"/>
      <c r="S115" s="2"/>
      <c r="T115" s="18">
        <v>5.7</v>
      </c>
      <c r="U115" s="18">
        <v>18.272727272727273</v>
      </c>
      <c r="V115" s="2"/>
      <c r="W115" s="16">
        <v>14</v>
      </c>
      <c r="X115" s="2"/>
      <c r="Y115" s="16" t="s">
        <v>530</v>
      </c>
      <c r="Z115" s="2" t="s">
        <v>304</v>
      </c>
      <c r="AA115" s="2"/>
      <c r="AD115" s="18"/>
      <c r="AE115" s="2"/>
      <c r="AF115" s="26"/>
      <c r="AG115" s="2"/>
      <c r="AH115" s="7"/>
      <c r="AI115" s="7"/>
      <c r="AJ115" s="7"/>
      <c r="AK115" s="2"/>
      <c r="AL115" s="2"/>
      <c r="AM115" s="7"/>
    </row>
    <row r="116" spans="2:39" x14ac:dyDescent="0.2">
      <c r="B116" s="2"/>
      <c r="C116" s="2" t="s">
        <v>174</v>
      </c>
      <c r="D116" s="7">
        <v>-0.33800000000000002</v>
      </c>
      <c r="E116" s="7">
        <v>-0.14399999999999999</v>
      </c>
      <c r="F116" s="7">
        <v>-2.597</v>
      </c>
      <c r="G116" s="7">
        <v>4.5179999999999998</v>
      </c>
      <c r="H116" s="7">
        <v>2</v>
      </c>
      <c r="I116" s="29">
        <v>20</v>
      </c>
      <c r="J116" s="29">
        <v>32</v>
      </c>
      <c r="K116" s="7">
        <v>0.41</v>
      </c>
      <c r="L116" s="7">
        <f>-280.7/$B$25</f>
        <v>-2.9092605068145305</v>
      </c>
      <c r="M116" s="34"/>
      <c r="N116" s="2"/>
      <c r="O116" s="2"/>
      <c r="P116" s="2"/>
      <c r="Q116" s="2"/>
      <c r="R116" s="2"/>
      <c r="S116" s="2"/>
      <c r="T116" s="18">
        <v>5.94</v>
      </c>
      <c r="U116" s="18">
        <v>18.822500000000002</v>
      </c>
      <c r="V116" s="2"/>
      <c r="W116" s="16">
        <v>129</v>
      </c>
      <c r="X116" s="2"/>
      <c r="Y116" s="16" t="s">
        <v>531</v>
      </c>
      <c r="Z116" s="2">
        <v>1080</v>
      </c>
      <c r="AA116" s="2"/>
      <c r="AD116" s="18"/>
      <c r="AE116" s="2"/>
      <c r="AF116" s="26"/>
      <c r="AG116" s="2"/>
      <c r="AH116" s="7"/>
      <c r="AI116" s="7"/>
      <c r="AJ116" s="7"/>
      <c r="AK116" s="2"/>
      <c r="AL116" s="2"/>
      <c r="AM116" s="7"/>
    </row>
    <row r="117" spans="2:39" x14ac:dyDescent="0.2">
      <c r="B117" s="2"/>
      <c r="C117" s="2" t="s">
        <v>176</v>
      </c>
      <c r="D117" s="7">
        <v>-0.33800000000000002</v>
      </c>
      <c r="E117" s="7">
        <v>-0.33800000000000002</v>
      </c>
      <c r="F117" s="7">
        <v>-2.8519999999999999</v>
      </c>
      <c r="G117" s="7">
        <v>4.9089999999999998</v>
      </c>
      <c r="H117" s="7">
        <v>4</v>
      </c>
      <c r="I117" s="29">
        <v>87</v>
      </c>
      <c r="J117" s="29">
        <v>172</v>
      </c>
      <c r="K117" s="7">
        <v>0.65</v>
      </c>
      <c r="L117" s="7">
        <v>-5.9859999999999998</v>
      </c>
      <c r="M117" s="34"/>
      <c r="N117" s="2">
        <v>3.1219999999999999</v>
      </c>
      <c r="O117" s="2">
        <v>6</v>
      </c>
      <c r="P117" s="2">
        <v>3</v>
      </c>
      <c r="Q117" s="2">
        <v>0.93799999999999994</v>
      </c>
      <c r="R117" s="2">
        <v>2.0920000000000001</v>
      </c>
      <c r="S117" s="2">
        <v>3.6160000000000001</v>
      </c>
      <c r="T117" s="18">
        <v>6.61</v>
      </c>
      <c r="U117" s="18">
        <v>12.621666666666668</v>
      </c>
      <c r="V117" s="2">
        <v>0.38600000000000001</v>
      </c>
      <c r="W117" s="16">
        <v>136</v>
      </c>
      <c r="X117" s="2">
        <v>4</v>
      </c>
      <c r="Y117" s="16" t="s">
        <v>531</v>
      </c>
      <c r="Z117" s="2">
        <v>1630</v>
      </c>
      <c r="AA117" s="2"/>
      <c r="AD117" s="18"/>
      <c r="AE117" s="2"/>
      <c r="AF117" s="26"/>
      <c r="AG117" s="2"/>
      <c r="AH117" s="7"/>
      <c r="AI117" s="7"/>
      <c r="AJ117" s="7"/>
      <c r="AK117" s="2"/>
      <c r="AL117" s="2"/>
      <c r="AM117" s="7"/>
    </row>
    <row r="118" spans="2:39" x14ac:dyDescent="0.2">
      <c r="B118" s="2"/>
      <c r="C118" s="2" t="s">
        <v>177</v>
      </c>
      <c r="D118" s="7">
        <v>-0.33800000000000002</v>
      </c>
      <c r="E118" s="7">
        <v>-0.13200000000000001</v>
      </c>
      <c r="F118" s="7">
        <v>-1.8080000000000001</v>
      </c>
      <c r="G118" s="7">
        <v>5.2569999999999997</v>
      </c>
      <c r="H118" s="7">
        <v>2</v>
      </c>
      <c r="I118" s="29">
        <v>56</v>
      </c>
      <c r="J118" s="29">
        <v>87</v>
      </c>
      <c r="K118" s="7">
        <v>3.29</v>
      </c>
      <c r="L118" s="7">
        <f>-592/$B$25</f>
        <v>-6.1356687568015751</v>
      </c>
      <c r="M118" s="34"/>
      <c r="N118" s="2"/>
      <c r="O118" s="2"/>
      <c r="P118" s="2"/>
      <c r="Q118" s="2"/>
      <c r="R118" s="2"/>
      <c r="S118" s="2"/>
      <c r="T118" s="18">
        <v>4.88</v>
      </c>
      <c r="U118" s="18">
        <v>17.64</v>
      </c>
      <c r="V118" s="2"/>
      <c r="W118" s="16">
        <v>225</v>
      </c>
      <c r="X118" s="2"/>
      <c r="Y118" s="16" t="s">
        <v>529</v>
      </c>
      <c r="Z118" s="2">
        <v>2531</v>
      </c>
      <c r="AA118" s="2"/>
      <c r="AD118" s="18"/>
      <c r="AE118" s="2"/>
      <c r="AF118" s="26"/>
      <c r="AG118" s="2"/>
      <c r="AH118" s="7"/>
      <c r="AI118" s="7"/>
      <c r="AJ118" s="7"/>
      <c r="AK118" s="2"/>
      <c r="AL118" s="2"/>
      <c r="AM118" s="7"/>
    </row>
    <row r="119" spans="2:39" x14ac:dyDescent="0.2">
      <c r="B119" s="2"/>
      <c r="C119" s="2" t="s">
        <v>179</v>
      </c>
      <c r="D119" s="7">
        <v>-0.33800000000000002</v>
      </c>
      <c r="E119" s="7">
        <v>-0.33800000000000002</v>
      </c>
      <c r="F119" s="7">
        <v>-2.2400000000000002</v>
      </c>
      <c r="G119" s="7">
        <v>4.5179999999999998</v>
      </c>
      <c r="H119" s="7">
        <v>4</v>
      </c>
      <c r="I119" s="29">
        <v>38</v>
      </c>
      <c r="J119" s="29">
        <v>71</v>
      </c>
      <c r="K119" s="7">
        <v>2.86</v>
      </c>
      <c r="L119" s="7" t="s">
        <v>304</v>
      </c>
      <c r="M119" s="34"/>
      <c r="N119" s="2"/>
      <c r="O119" s="2"/>
      <c r="P119" s="2"/>
      <c r="Q119" s="2"/>
      <c r="R119" s="2"/>
      <c r="S119" s="2"/>
      <c r="T119" s="18">
        <v>4.5599999999999996</v>
      </c>
      <c r="U119" s="18">
        <v>14.523333333333333</v>
      </c>
      <c r="V119" s="2"/>
      <c r="W119" s="16">
        <v>139</v>
      </c>
      <c r="X119" s="2"/>
      <c r="Y119" s="16" t="s">
        <v>531</v>
      </c>
      <c r="Z119" s="2">
        <v>215</v>
      </c>
      <c r="AA119" s="2"/>
      <c r="AD119" s="18"/>
      <c r="AE119" s="2"/>
      <c r="AF119" s="26"/>
      <c r="AG119" s="2"/>
      <c r="AH119" s="7"/>
      <c r="AI119" s="7"/>
      <c r="AJ119" s="7"/>
      <c r="AK119" s="2"/>
      <c r="AL119" s="2"/>
      <c r="AM119" s="7"/>
    </row>
    <row r="120" spans="2:39" x14ac:dyDescent="0.2">
      <c r="B120" s="2"/>
      <c r="C120" s="2" t="s">
        <v>180</v>
      </c>
      <c r="D120" s="7">
        <v>-0.33800000000000002</v>
      </c>
      <c r="E120" s="7">
        <v>-0.182</v>
      </c>
      <c r="F120" s="7">
        <v>-2.714</v>
      </c>
      <c r="G120" s="7">
        <v>7.5309999999999997</v>
      </c>
      <c r="H120" s="7">
        <v>5</v>
      </c>
      <c r="I120" s="29">
        <v>61</v>
      </c>
      <c r="J120" s="29">
        <v>199</v>
      </c>
      <c r="K120" s="7">
        <v>2.73</v>
      </c>
      <c r="L120" s="7">
        <f>--2046/$B$25</f>
        <v>21.205368710162201</v>
      </c>
      <c r="M120" s="34"/>
      <c r="N120" s="2"/>
      <c r="O120" s="2"/>
      <c r="P120" s="2"/>
      <c r="Q120" s="2"/>
      <c r="R120" s="2"/>
      <c r="S120" s="2"/>
      <c r="T120" s="18">
        <v>7.37</v>
      </c>
      <c r="U120" s="18">
        <v>14.221428571428572</v>
      </c>
      <c r="V120" s="2"/>
      <c r="W120" s="16">
        <v>59</v>
      </c>
      <c r="X120" s="2"/>
      <c r="Y120" s="16" t="s">
        <v>532</v>
      </c>
      <c r="Z120" s="2">
        <v>1784</v>
      </c>
      <c r="AA120" s="2"/>
      <c r="AD120" s="18"/>
      <c r="AE120" s="2"/>
      <c r="AF120" s="26"/>
      <c r="AG120" s="2"/>
      <c r="AH120" s="7"/>
      <c r="AI120" s="7"/>
      <c r="AJ120" s="7"/>
      <c r="AK120" s="2"/>
      <c r="AL120" s="2"/>
      <c r="AM120" s="7"/>
    </row>
    <row r="121" spans="2:39" x14ac:dyDescent="0.2">
      <c r="B121" s="2"/>
      <c r="C121" s="2" t="s">
        <v>182</v>
      </c>
      <c r="D121" s="7">
        <v>-0.25600000000000001</v>
      </c>
      <c r="E121" s="7">
        <v>-0.25600000000000001</v>
      </c>
      <c r="F121" s="7">
        <v>-2.1800000000000002</v>
      </c>
      <c r="G121" s="7">
        <v>7.1870000000000003</v>
      </c>
      <c r="H121" s="7">
        <v>3</v>
      </c>
      <c r="I121" s="29">
        <v>61</v>
      </c>
      <c r="J121" s="29">
        <v>140</v>
      </c>
      <c r="K121" s="7">
        <v>3.9</v>
      </c>
      <c r="L121" s="7">
        <f>-1865.2/$B$25</f>
        <v>-19.331502306057939</v>
      </c>
      <c r="M121" s="34"/>
      <c r="N121" s="2"/>
      <c r="O121" s="2"/>
      <c r="P121" s="2"/>
      <c r="Q121" s="2"/>
      <c r="R121" s="2"/>
      <c r="S121" s="2"/>
      <c r="T121" s="18">
        <v>7.84</v>
      </c>
      <c r="U121" s="18">
        <v>15.50325</v>
      </c>
      <c r="V121" s="2"/>
      <c r="W121" s="16">
        <v>206</v>
      </c>
      <c r="X121" s="2"/>
      <c r="Y121" s="16" t="s">
        <v>529</v>
      </c>
      <c r="Z121" s="2">
        <v>2303</v>
      </c>
      <c r="AA121" s="2"/>
      <c r="AD121" s="18"/>
      <c r="AE121" s="2"/>
      <c r="AF121" s="26"/>
      <c r="AG121" s="2"/>
      <c r="AH121" s="7"/>
      <c r="AI121" s="7"/>
      <c r="AJ121" s="7"/>
      <c r="AK121" s="2"/>
      <c r="AL121" s="2"/>
      <c r="AM121" s="7"/>
    </row>
    <row r="122" spans="2:39" x14ac:dyDescent="0.2">
      <c r="B122" s="2"/>
      <c r="C122" s="2" t="s">
        <v>184</v>
      </c>
      <c r="D122" s="7">
        <v>-0.33800000000000002</v>
      </c>
      <c r="E122" s="7">
        <v>-0.27</v>
      </c>
      <c r="F122" s="7">
        <v>-3.0150000000000001</v>
      </c>
      <c r="G122" s="7">
        <v>5.3680000000000003</v>
      </c>
      <c r="H122" s="7">
        <v>7</v>
      </c>
      <c r="I122" s="29">
        <v>31</v>
      </c>
      <c r="J122" s="29">
        <v>70</v>
      </c>
      <c r="K122" s="7">
        <v>2.67</v>
      </c>
      <c r="L122" s="7" t="s">
        <v>304</v>
      </c>
      <c r="M122" s="34"/>
      <c r="N122" s="2"/>
      <c r="O122" s="2"/>
      <c r="P122" s="2"/>
      <c r="Q122" s="2"/>
      <c r="R122" s="2"/>
      <c r="S122" s="2"/>
      <c r="T122" s="18">
        <v>3.11</v>
      </c>
      <c r="U122" s="18">
        <v>18.260000000000002</v>
      </c>
      <c r="V122" s="2"/>
      <c r="W122" s="16">
        <v>61</v>
      </c>
      <c r="X122" s="2"/>
      <c r="Y122" s="16" t="s">
        <v>532</v>
      </c>
      <c r="Z122" s="2">
        <v>119.5</v>
      </c>
      <c r="AA122" s="2"/>
      <c r="AD122" s="18"/>
      <c r="AE122" s="2"/>
      <c r="AF122" s="26"/>
      <c r="AG122" s="2"/>
      <c r="AH122" s="7"/>
      <c r="AI122" s="7"/>
      <c r="AJ122" s="7"/>
      <c r="AK122" s="2"/>
      <c r="AL122" s="2"/>
      <c r="AM122" s="7"/>
    </row>
    <row r="123" spans="2:39" x14ac:dyDescent="0.2">
      <c r="B123" s="2"/>
      <c r="C123" s="2" t="s">
        <v>185</v>
      </c>
      <c r="D123" s="7">
        <v>-0.27</v>
      </c>
      <c r="E123" s="7">
        <v>-0.27</v>
      </c>
      <c r="F123" s="7">
        <v>-2.8220000000000001</v>
      </c>
      <c r="G123" s="7">
        <v>5.9210000000000003</v>
      </c>
      <c r="H123" s="7">
        <v>4</v>
      </c>
      <c r="I123" s="29">
        <v>111</v>
      </c>
      <c r="J123" s="29">
        <v>256</v>
      </c>
      <c r="K123" s="7">
        <v>0</v>
      </c>
      <c r="L123" s="7" t="s">
        <v>304</v>
      </c>
      <c r="M123" s="34"/>
      <c r="N123" s="2"/>
      <c r="O123" s="2"/>
      <c r="P123" s="2"/>
      <c r="Q123" s="2"/>
      <c r="R123" s="2"/>
      <c r="S123" s="2"/>
      <c r="T123" s="18">
        <v>6.59</v>
      </c>
      <c r="U123" s="18">
        <v>10.919166666666667</v>
      </c>
      <c r="V123" s="2"/>
      <c r="W123" s="16">
        <v>14</v>
      </c>
      <c r="X123" s="2"/>
      <c r="Y123" s="16" t="s">
        <v>530</v>
      </c>
      <c r="Z123" s="2" t="s">
        <v>304</v>
      </c>
      <c r="AA123" s="2"/>
      <c r="AD123" s="18"/>
      <c r="AE123" s="2"/>
      <c r="AF123" s="26"/>
      <c r="AG123" s="2"/>
      <c r="AH123" s="7"/>
      <c r="AI123" s="7"/>
      <c r="AJ123" s="7"/>
      <c r="AK123" s="2"/>
      <c r="AL123" s="2"/>
      <c r="AM123" s="7"/>
    </row>
    <row r="124" spans="2:39" x14ac:dyDescent="0.2">
      <c r="B124" s="2"/>
      <c r="C124" s="2" t="s">
        <v>187</v>
      </c>
      <c r="D124" s="7">
        <v>-0.33800000000000002</v>
      </c>
      <c r="E124" s="7">
        <v>-0.33800000000000002</v>
      </c>
      <c r="F124" s="7">
        <v>-2.988</v>
      </c>
      <c r="G124" s="7">
        <v>3.9220000000000002</v>
      </c>
      <c r="H124" s="7">
        <v>5</v>
      </c>
      <c r="I124" s="29">
        <v>39</v>
      </c>
      <c r="J124" s="29">
        <v>46</v>
      </c>
      <c r="K124" s="7">
        <v>1.67</v>
      </c>
      <c r="L124" s="7" t="s">
        <v>304</v>
      </c>
      <c r="M124" s="34"/>
      <c r="N124" s="2"/>
      <c r="O124" s="2"/>
      <c r="P124" s="2"/>
      <c r="Q124" s="2"/>
      <c r="R124" s="2"/>
      <c r="S124" s="2"/>
      <c r="T124" s="18">
        <v>5.29</v>
      </c>
      <c r="U124" s="18">
        <v>15.025714285714287</v>
      </c>
      <c r="V124" s="2"/>
      <c r="W124" s="16">
        <v>4</v>
      </c>
      <c r="X124" s="2"/>
      <c r="Y124" s="16" t="s">
        <v>530</v>
      </c>
      <c r="Z124" s="2" t="s">
        <v>304</v>
      </c>
      <c r="AA124" s="2"/>
      <c r="AD124" s="18"/>
      <c r="AE124" s="2"/>
      <c r="AF124" s="26"/>
      <c r="AG124" s="2"/>
      <c r="AH124" s="7"/>
      <c r="AI124" s="7"/>
      <c r="AJ124" s="7"/>
      <c r="AK124" s="2"/>
      <c r="AL124" s="2"/>
      <c r="AM124" s="7"/>
    </row>
    <row r="125" spans="2:39" x14ac:dyDescent="0.2">
      <c r="B125" s="2"/>
      <c r="C125" s="2" t="s">
        <v>188</v>
      </c>
      <c r="D125" s="7">
        <v>-0.33800000000000002</v>
      </c>
      <c r="E125" s="7">
        <v>-0.22700000000000001</v>
      </c>
      <c r="F125" s="7">
        <v>-2.9180000000000001</v>
      </c>
      <c r="G125" s="7">
        <v>3.9769999999999999</v>
      </c>
      <c r="H125" s="7">
        <v>4</v>
      </c>
      <c r="I125" s="29">
        <v>17</v>
      </c>
      <c r="J125" s="29">
        <v>23</v>
      </c>
      <c r="K125" s="7">
        <v>2.23</v>
      </c>
      <c r="L125" s="7">
        <f>-322.6/$B$25</f>
        <v>-3.3435249002435614</v>
      </c>
      <c r="M125" s="34"/>
      <c r="N125" s="2"/>
      <c r="O125" s="2"/>
      <c r="P125" s="2"/>
      <c r="Q125" s="2"/>
      <c r="R125" s="2"/>
      <c r="S125" s="2"/>
      <c r="T125" s="18">
        <v>5.36</v>
      </c>
      <c r="U125" s="18">
        <v>16.472916666666666</v>
      </c>
      <c r="V125" s="2"/>
      <c r="W125" s="16">
        <v>61</v>
      </c>
      <c r="X125" s="2"/>
      <c r="Y125" s="16" t="s">
        <v>532</v>
      </c>
      <c r="Z125" s="2">
        <v>733</v>
      </c>
      <c r="AA125" s="2"/>
      <c r="AD125" s="18"/>
      <c r="AE125" s="2"/>
      <c r="AF125" s="26"/>
      <c r="AG125" s="2"/>
      <c r="AH125" s="7"/>
      <c r="AI125" s="7"/>
      <c r="AJ125" s="7"/>
      <c r="AK125" s="2"/>
      <c r="AL125" s="2"/>
      <c r="AM125" s="7"/>
    </row>
    <row r="126" spans="2:39" x14ac:dyDescent="0.2">
      <c r="B126" s="2"/>
      <c r="C126" s="2" t="s">
        <v>190</v>
      </c>
      <c r="D126" s="7">
        <v>-0.33800000000000002</v>
      </c>
      <c r="E126" s="7">
        <v>-0.33800000000000002</v>
      </c>
      <c r="F126" s="7">
        <v>-3.0409999999999999</v>
      </c>
      <c r="G126" s="7">
        <v>3.8620000000000001</v>
      </c>
      <c r="H126" s="7">
        <v>6</v>
      </c>
      <c r="I126" s="29">
        <v>96</v>
      </c>
      <c r="J126" s="29">
        <v>92</v>
      </c>
      <c r="K126" s="7">
        <v>2.15</v>
      </c>
      <c r="L126" s="7" t="s">
        <v>304</v>
      </c>
      <c r="M126" s="34"/>
      <c r="N126" s="2"/>
      <c r="O126" s="2"/>
      <c r="P126" s="2"/>
      <c r="Q126" s="2"/>
      <c r="R126" s="2"/>
      <c r="S126" s="2"/>
      <c r="T126" s="18">
        <v>4.72</v>
      </c>
      <c r="U126" s="18">
        <v>15.446249999999999</v>
      </c>
      <c r="V126" s="2"/>
      <c r="W126" s="16">
        <v>12</v>
      </c>
      <c r="X126" s="2"/>
      <c r="Y126" s="16" t="s">
        <v>530</v>
      </c>
      <c r="Z126" s="2">
        <v>430</v>
      </c>
      <c r="AA126" s="2"/>
      <c r="AD126" s="18"/>
      <c r="AE126" s="2"/>
      <c r="AF126" s="26"/>
      <c r="AG126" s="2"/>
      <c r="AH126" s="7"/>
      <c r="AI126" s="7"/>
      <c r="AJ126" s="7"/>
      <c r="AK126" s="2"/>
      <c r="AL126" s="2"/>
      <c r="AM126" s="7"/>
    </row>
    <row r="127" spans="2:39" x14ac:dyDescent="0.2">
      <c r="B127" s="2"/>
      <c r="C127" s="2" t="s">
        <v>191</v>
      </c>
      <c r="D127" s="7">
        <v>-0.33800000000000002</v>
      </c>
      <c r="E127" s="7">
        <v>-0.17299999999999999</v>
      </c>
      <c r="F127" s="7">
        <v>-2.4870000000000001</v>
      </c>
      <c r="G127" s="7">
        <v>8.1920000000000002</v>
      </c>
      <c r="H127" s="7">
        <v>4</v>
      </c>
      <c r="I127" s="29">
        <v>88</v>
      </c>
      <c r="J127" s="29">
        <v>188</v>
      </c>
      <c r="K127" s="7">
        <v>4.42</v>
      </c>
      <c r="L127" s="7" t="s">
        <v>304</v>
      </c>
      <c r="M127" s="34"/>
      <c r="N127" s="2"/>
      <c r="O127" s="2"/>
      <c r="P127" s="2"/>
      <c r="Q127" s="2"/>
      <c r="R127" s="2"/>
      <c r="S127" s="2"/>
      <c r="T127" s="18">
        <v>9.8800000000000008</v>
      </c>
      <c r="U127" s="18">
        <v>14.79</v>
      </c>
      <c r="V127" s="2"/>
      <c r="W127" s="16">
        <v>225</v>
      </c>
      <c r="X127" s="2"/>
      <c r="Y127" s="16" t="s">
        <v>529</v>
      </c>
      <c r="Z127" s="2">
        <v>3390</v>
      </c>
      <c r="AA127" s="2"/>
      <c r="AD127" s="18"/>
      <c r="AE127" s="2"/>
      <c r="AF127" s="26"/>
      <c r="AG127" s="2"/>
      <c r="AH127" s="7"/>
      <c r="AI127" s="7"/>
      <c r="AJ127" s="7"/>
      <c r="AK127" s="2"/>
      <c r="AL127" s="2"/>
      <c r="AM127" s="7"/>
    </row>
    <row r="128" spans="2:39" x14ac:dyDescent="0.2">
      <c r="B128" s="2"/>
      <c r="C128" s="2" t="s">
        <v>193</v>
      </c>
      <c r="D128" s="7">
        <v>-0.17</v>
      </c>
      <c r="E128" s="7">
        <v>-0.17</v>
      </c>
      <c r="F128" s="7">
        <v>-2.0129999999999999</v>
      </c>
      <c r="G128" s="7">
        <v>6.1459999999999999</v>
      </c>
      <c r="H128" s="7">
        <v>1</v>
      </c>
      <c r="I128" s="29">
        <v>106</v>
      </c>
      <c r="J128" s="29">
        <v>184</v>
      </c>
      <c r="K128" s="7">
        <v>0</v>
      </c>
      <c r="L128" s="7" t="s">
        <v>304</v>
      </c>
      <c r="M128" s="34"/>
      <c r="N128" s="2"/>
      <c r="O128" s="2"/>
      <c r="P128" s="2"/>
      <c r="Q128" s="2"/>
      <c r="R128" s="2"/>
      <c r="S128" s="2"/>
      <c r="T128" s="18">
        <v>5.01</v>
      </c>
      <c r="U128" s="18">
        <v>12.336666666666666</v>
      </c>
      <c r="V128" s="2"/>
      <c r="W128" s="16">
        <v>164</v>
      </c>
      <c r="X128" s="2"/>
      <c r="Y128" s="16" t="s">
        <v>528</v>
      </c>
      <c r="Z128" s="2" t="s">
        <v>304</v>
      </c>
      <c r="AA128" s="2"/>
      <c r="AD128" s="18"/>
      <c r="AE128" s="2"/>
      <c r="AF128" s="26"/>
      <c r="AG128" s="2"/>
      <c r="AH128" s="7"/>
      <c r="AI128" s="7"/>
      <c r="AJ128" s="7"/>
      <c r="AK128" s="2"/>
      <c r="AL128" s="2"/>
      <c r="AM128" s="7"/>
    </row>
    <row r="129" spans="2:39" x14ac:dyDescent="0.2">
      <c r="B129" s="2"/>
      <c r="C129" s="2" t="s">
        <v>197</v>
      </c>
      <c r="D129" s="7">
        <v>-0.17</v>
      </c>
      <c r="E129" s="7">
        <v>-0.17</v>
      </c>
      <c r="F129" s="7">
        <v>-2.4940000000000002</v>
      </c>
      <c r="G129" s="7">
        <v>6.8230000000000004</v>
      </c>
      <c r="H129" s="7">
        <v>3</v>
      </c>
      <c r="I129" s="29">
        <v>87</v>
      </c>
      <c r="J129" s="29">
        <v>216</v>
      </c>
      <c r="K129" s="7">
        <v>0</v>
      </c>
      <c r="L129" s="7">
        <f>-1520.9/$B$25</f>
        <v>-15.763071980100534</v>
      </c>
      <c r="M129" s="34"/>
      <c r="N129" s="2"/>
      <c r="O129" s="2"/>
      <c r="P129" s="2"/>
      <c r="Q129" s="2"/>
      <c r="R129" s="2"/>
      <c r="S129" s="2"/>
      <c r="T129" s="18">
        <v>4.51</v>
      </c>
      <c r="U129" s="18">
        <v>10.577999999999999</v>
      </c>
      <c r="V129" s="2"/>
      <c r="W129" s="16">
        <v>167</v>
      </c>
      <c r="X129" s="2"/>
      <c r="Y129" s="16" t="s">
        <v>528</v>
      </c>
      <c r="Z129" s="2">
        <v>1842</v>
      </c>
      <c r="AA129" s="2"/>
      <c r="AD129" s="18"/>
      <c r="AE129" s="2"/>
      <c r="AF129" s="26"/>
      <c r="AG129" s="2"/>
      <c r="AH129" s="7"/>
      <c r="AI129" s="7"/>
      <c r="AJ129" s="7"/>
      <c r="AK129" s="2"/>
      <c r="AL129" s="2"/>
      <c r="AM129" s="7"/>
    </row>
    <row r="130" spans="2:39" x14ac:dyDescent="0.2">
      <c r="B130" s="2"/>
      <c r="C130" s="2" t="s">
        <v>195</v>
      </c>
      <c r="D130" s="7">
        <v>-0.17</v>
      </c>
      <c r="E130" s="7">
        <v>-0.17</v>
      </c>
      <c r="F130" s="7">
        <v>-1.883</v>
      </c>
      <c r="G130" s="7">
        <v>5.8650000000000002</v>
      </c>
      <c r="H130" s="7" t="s">
        <v>304</v>
      </c>
      <c r="I130" s="29">
        <v>86</v>
      </c>
      <c r="J130" s="29">
        <v>165</v>
      </c>
      <c r="K130" s="7">
        <v>0</v>
      </c>
      <c r="L130" s="7" t="s">
        <v>304</v>
      </c>
      <c r="M130" s="34"/>
      <c r="N130" s="2"/>
      <c r="O130" s="2"/>
      <c r="P130" s="2"/>
      <c r="Q130" s="2"/>
      <c r="R130" s="2"/>
      <c r="S130" s="2"/>
      <c r="T130" s="18">
        <v>4.84</v>
      </c>
      <c r="U130" s="18">
        <v>13.689375</v>
      </c>
      <c r="V130" s="2"/>
      <c r="W130" s="16">
        <v>163</v>
      </c>
      <c r="X130" s="2"/>
      <c r="Y130" s="16" t="s">
        <v>528</v>
      </c>
      <c r="Z130" s="2" t="s">
        <v>304</v>
      </c>
      <c r="AA130" s="2"/>
      <c r="AD130" s="18"/>
      <c r="AE130" s="2"/>
      <c r="AF130" s="26"/>
      <c r="AG130" s="2"/>
      <c r="AH130" s="7"/>
      <c r="AI130" s="7"/>
      <c r="AJ130" s="7"/>
      <c r="AK130" s="2"/>
      <c r="AL130" s="2"/>
      <c r="AM130" s="7"/>
    </row>
    <row r="131" spans="2:39" x14ac:dyDescent="0.2">
      <c r="B131" s="2"/>
      <c r="C131" s="2" t="s">
        <v>199</v>
      </c>
      <c r="D131" s="7">
        <v>-0.17</v>
      </c>
      <c r="E131" s="7">
        <v>-0.17</v>
      </c>
      <c r="F131" s="7">
        <v>-2.5449999999999999</v>
      </c>
      <c r="G131" s="7">
        <v>6.8470000000000004</v>
      </c>
      <c r="H131" s="7">
        <v>3.33</v>
      </c>
      <c r="I131" s="29">
        <v>76</v>
      </c>
      <c r="J131" s="29">
        <v>171</v>
      </c>
      <c r="K131" s="7">
        <v>0</v>
      </c>
      <c r="L131" s="7">
        <f>-2459.4/$B$25</f>
        <v>-25.489972534590869</v>
      </c>
      <c r="M131" s="34"/>
      <c r="N131" s="2"/>
      <c r="O131" s="2"/>
      <c r="P131" s="2"/>
      <c r="Q131" s="2"/>
      <c r="R131" s="2"/>
      <c r="S131" s="2"/>
      <c r="T131" s="18">
        <v>4.1900000000000004</v>
      </c>
      <c r="U131" s="18">
        <v>11.085625</v>
      </c>
      <c r="V131" s="2"/>
      <c r="W131" s="16">
        <v>12</v>
      </c>
      <c r="X131" s="2"/>
      <c r="Y131" s="16" t="s">
        <v>530</v>
      </c>
      <c r="Z131" s="2">
        <v>1777</v>
      </c>
      <c r="AA131" s="2"/>
      <c r="AD131" s="18"/>
      <c r="AE131" s="2"/>
      <c r="AF131" s="26"/>
      <c r="AG131" s="2"/>
      <c r="AH131" s="7"/>
      <c r="AI131" s="7"/>
      <c r="AJ131" s="7"/>
      <c r="AK131" s="2"/>
      <c r="AL131" s="2"/>
      <c r="AM131" s="7"/>
    </row>
    <row r="132" spans="2:39" x14ac:dyDescent="0.2">
      <c r="B132" s="2"/>
      <c r="C132" s="2" t="s">
        <v>194</v>
      </c>
      <c r="D132" s="7">
        <v>-0.17</v>
      </c>
      <c r="E132" s="7">
        <v>-0.17</v>
      </c>
      <c r="F132" s="7">
        <v>-1.7270000000000001</v>
      </c>
      <c r="G132" s="7">
        <v>5.4480000000000004</v>
      </c>
      <c r="H132" s="7" t="s">
        <v>304</v>
      </c>
      <c r="I132" s="29">
        <v>76</v>
      </c>
      <c r="J132" s="29">
        <v>141</v>
      </c>
      <c r="K132" s="7">
        <v>0</v>
      </c>
      <c r="L132" s="7" t="s">
        <v>304</v>
      </c>
      <c r="M132" s="34"/>
      <c r="N132" s="2"/>
      <c r="O132" s="2"/>
      <c r="P132" s="2"/>
      <c r="Q132" s="2"/>
      <c r="R132" s="2"/>
      <c r="S132" s="2"/>
      <c r="T132" s="18">
        <v>4.68</v>
      </c>
      <c r="U132" s="18">
        <v>15.364285714285714</v>
      </c>
      <c r="V132" s="2"/>
      <c r="W132" s="16">
        <v>163</v>
      </c>
      <c r="X132" s="2"/>
      <c r="Y132" s="16" t="s">
        <v>528</v>
      </c>
      <c r="Z132" s="2" t="s">
        <v>304</v>
      </c>
      <c r="AA132" s="2"/>
      <c r="AD132" s="18"/>
      <c r="AE132" s="2"/>
      <c r="AF132" s="26"/>
      <c r="AG132" s="2"/>
      <c r="AH132" s="7"/>
      <c r="AI132" s="7"/>
      <c r="AJ132" s="7"/>
      <c r="AK132" s="2"/>
      <c r="AL132" s="2"/>
      <c r="AM132" s="7"/>
    </row>
    <row r="133" spans="2:39" x14ac:dyDescent="0.2">
      <c r="B133" s="2"/>
      <c r="C133" s="2" t="s">
        <v>198</v>
      </c>
      <c r="D133" s="7">
        <v>-0.17</v>
      </c>
      <c r="E133" s="7">
        <v>-0.17</v>
      </c>
      <c r="F133" s="7">
        <v>-2.302</v>
      </c>
      <c r="G133" s="7">
        <v>6.649</v>
      </c>
      <c r="H133" s="7">
        <v>2</v>
      </c>
      <c r="I133" s="29">
        <v>171</v>
      </c>
      <c r="J133" s="29">
        <v>237</v>
      </c>
      <c r="K133" s="7">
        <v>0</v>
      </c>
      <c r="L133" s="7">
        <f>-519.7/$B$25</f>
        <v>-5.386329481266519</v>
      </c>
      <c r="M133" s="34"/>
      <c r="N133" s="2"/>
      <c r="O133" s="2"/>
      <c r="P133" s="2"/>
      <c r="Q133" s="2"/>
      <c r="R133" s="2"/>
      <c r="S133" s="2"/>
      <c r="T133" s="18">
        <v>5.0599999999999996</v>
      </c>
      <c r="U133" s="18">
        <v>10.476666666666667</v>
      </c>
      <c r="V133" s="2"/>
      <c r="W133" s="16">
        <v>189</v>
      </c>
      <c r="X133" s="2"/>
      <c r="Y133" s="16" t="s">
        <v>533</v>
      </c>
      <c r="Z133" s="2">
        <v>1750</v>
      </c>
      <c r="AA133" s="2"/>
      <c r="AD133" s="18"/>
      <c r="AE133" s="2"/>
      <c r="AF133" s="26"/>
      <c r="AG133" s="2"/>
      <c r="AH133" s="7"/>
      <c r="AI133" s="7"/>
      <c r="AJ133" s="7"/>
      <c r="AK133" s="2"/>
      <c r="AL133" s="2"/>
      <c r="AM133" s="7"/>
    </row>
    <row r="134" spans="2:39" x14ac:dyDescent="0.2">
      <c r="B134" s="2"/>
      <c r="C134" s="2" t="s">
        <v>200</v>
      </c>
      <c r="D134" s="7">
        <v>-0.33800000000000002</v>
      </c>
      <c r="E134" s="7">
        <v>-0.17</v>
      </c>
      <c r="F134" s="7">
        <v>-2.6320000000000001</v>
      </c>
      <c r="G134" s="7">
        <v>6.8730000000000002</v>
      </c>
      <c r="H134" s="7">
        <v>4</v>
      </c>
      <c r="I134" s="29">
        <v>61</v>
      </c>
      <c r="J134" s="29">
        <v>181</v>
      </c>
      <c r="K134" s="7">
        <v>2.68</v>
      </c>
      <c r="L134" s="7">
        <f>-944/$B$25</f>
        <v>-9.7839042338187276</v>
      </c>
      <c r="M134" s="34"/>
      <c r="N134" s="2">
        <v>4.9020000000000001</v>
      </c>
      <c r="O134" s="2">
        <v>6</v>
      </c>
      <c r="P134" s="2">
        <v>3</v>
      </c>
      <c r="Q134" s="2">
        <v>0.92</v>
      </c>
      <c r="R134" s="2">
        <v>1.988</v>
      </c>
      <c r="S134" s="2">
        <v>3.649</v>
      </c>
      <c r="T134" s="18">
        <v>3.62</v>
      </c>
      <c r="U134" s="18">
        <v>12.225833333333334</v>
      </c>
      <c r="V134" s="2">
        <v>0.40100000000000002</v>
      </c>
      <c r="W134" s="16">
        <v>12</v>
      </c>
      <c r="X134" s="2">
        <v>4</v>
      </c>
      <c r="Y134" s="16" t="s">
        <v>530</v>
      </c>
      <c r="Z134" s="2">
        <v>1843</v>
      </c>
      <c r="AA134" s="2"/>
      <c r="AD134" s="18"/>
      <c r="AE134" s="2"/>
      <c r="AF134" s="26"/>
      <c r="AG134" s="2"/>
      <c r="AH134" s="7"/>
      <c r="AI134" s="7"/>
      <c r="AJ134" s="7"/>
      <c r="AK134" s="2"/>
      <c r="AL134" s="2"/>
      <c r="AM134" s="7"/>
    </row>
    <row r="135" spans="2:39" x14ac:dyDescent="0.2">
      <c r="B135" s="2"/>
      <c r="C135" s="2" t="s">
        <v>201</v>
      </c>
      <c r="D135" s="7">
        <v>-0.28499999999999998</v>
      </c>
      <c r="E135" s="7">
        <v>-0.10199999999999999</v>
      </c>
      <c r="F135" s="7">
        <v>-2.0819999999999999</v>
      </c>
      <c r="G135" s="7">
        <v>2.9460000000000002</v>
      </c>
      <c r="H135" s="7">
        <v>1</v>
      </c>
      <c r="I135" s="29">
        <v>13</v>
      </c>
      <c r="J135" s="29">
        <v>52</v>
      </c>
      <c r="K135" s="7">
        <v>0.52</v>
      </c>
      <c r="L135" s="7">
        <f>-178.7/$B$25</f>
        <v>-1.8521013629061511</v>
      </c>
      <c r="M135" s="34"/>
      <c r="N135" s="2"/>
      <c r="O135" s="2"/>
      <c r="P135" s="2"/>
      <c r="Q135" s="2"/>
      <c r="R135" s="2"/>
      <c r="S135" s="2"/>
      <c r="T135" s="18">
        <v>9.51</v>
      </c>
      <c r="U135" s="18">
        <v>24.72666666666667</v>
      </c>
      <c r="V135" s="2"/>
      <c r="W135" s="16">
        <v>12</v>
      </c>
      <c r="X135" s="2"/>
      <c r="Y135" s="16" t="s">
        <v>530</v>
      </c>
      <c r="Z135" s="2">
        <v>579</v>
      </c>
      <c r="AA135" s="2"/>
      <c r="AD135" s="18"/>
      <c r="AE135" s="2"/>
      <c r="AF135" s="26"/>
      <c r="AG135" s="2"/>
      <c r="AH135" s="7"/>
      <c r="AI135" s="7"/>
      <c r="AJ135" s="7"/>
      <c r="AK135" s="2"/>
      <c r="AL135" s="2"/>
      <c r="AM135" s="7"/>
    </row>
    <row r="136" spans="2:39" x14ac:dyDescent="0.2">
      <c r="B136" s="2"/>
      <c r="C136" s="2" t="s">
        <v>203</v>
      </c>
      <c r="D136" s="7">
        <v>-0.33800000000000002</v>
      </c>
      <c r="E136" s="7">
        <v>-0.28499999999999998</v>
      </c>
      <c r="F136" s="7">
        <v>-2.5449999999999999</v>
      </c>
      <c r="G136" s="7">
        <v>3.4340000000000002</v>
      </c>
      <c r="H136" s="7">
        <v>3</v>
      </c>
      <c r="I136" s="29">
        <v>32</v>
      </c>
      <c r="J136" s="29">
        <v>109</v>
      </c>
      <c r="K136" s="7">
        <v>0</v>
      </c>
      <c r="L136" s="7" t="s">
        <v>304</v>
      </c>
      <c r="M136" s="34"/>
      <c r="N136" s="2"/>
      <c r="O136" s="2"/>
      <c r="P136" s="2"/>
      <c r="Q136" s="2"/>
      <c r="R136" s="2"/>
      <c r="S136" s="2"/>
      <c r="T136" s="18">
        <v>9.7200000000000006</v>
      </c>
      <c r="U136" s="18">
        <v>15.609500000000001</v>
      </c>
      <c r="V136" s="2"/>
      <c r="W136" s="16">
        <v>206</v>
      </c>
      <c r="X136" s="2"/>
      <c r="Y136" s="16" t="s">
        <v>529</v>
      </c>
      <c r="Z136" s="2">
        <v>834</v>
      </c>
      <c r="AA136" s="2"/>
      <c r="AD136" s="18"/>
      <c r="AE136" s="2"/>
      <c r="AF136" s="26"/>
      <c r="AG136" s="2"/>
      <c r="AH136" s="7"/>
      <c r="AI136" s="7"/>
      <c r="AJ136" s="7"/>
      <c r="AK136" s="2"/>
      <c r="AL136" s="2"/>
      <c r="AM136" s="7"/>
    </row>
    <row r="137" spans="2:39" x14ac:dyDescent="0.2">
      <c r="B137" s="2"/>
      <c r="C137" s="2" t="s">
        <v>204</v>
      </c>
      <c r="D137" s="7">
        <v>-0.28499999999999998</v>
      </c>
      <c r="E137" s="7">
        <v>-0.28499999999999998</v>
      </c>
      <c r="F137" s="7">
        <v>-2.2370000000000001</v>
      </c>
      <c r="G137" s="7">
        <v>3.1379999999999999</v>
      </c>
      <c r="H137" s="7">
        <v>1.5</v>
      </c>
      <c r="I137" s="29">
        <v>15</v>
      </c>
      <c r="J137" s="29">
        <v>63</v>
      </c>
      <c r="K137" s="7">
        <v>0.97</v>
      </c>
      <c r="L137" s="7" t="s">
        <v>304</v>
      </c>
      <c r="M137" s="34"/>
      <c r="N137" s="2"/>
      <c r="O137" s="2"/>
      <c r="P137" s="2"/>
      <c r="Q137" s="2"/>
      <c r="R137" s="2"/>
      <c r="S137" s="2"/>
      <c r="T137" s="18">
        <v>9.51</v>
      </c>
      <c r="U137" s="18">
        <v>21.59357142857143</v>
      </c>
      <c r="V137" s="2"/>
      <c r="W137" s="16">
        <v>11</v>
      </c>
      <c r="X137" s="2"/>
      <c r="Y137" s="16" t="s">
        <v>530</v>
      </c>
      <c r="Z137" s="2" t="s">
        <v>304</v>
      </c>
      <c r="AA137" s="2"/>
      <c r="AD137" s="18"/>
      <c r="AE137" s="2"/>
      <c r="AF137" s="26"/>
      <c r="AG137" s="2"/>
      <c r="AH137" s="7"/>
      <c r="AI137" s="7"/>
      <c r="AJ137" s="7"/>
      <c r="AK137" s="2"/>
      <c r="AL137" s="2"/>
      <c r="AM137" s="7"/>
    </row>
    <row r="138" spans="2:39" x14ac:dyDescent="0.2">
      <c r="B138" s="2"/>
      <c r="C138" s="2" t="s">
        <v>205</v>
      </c>
      <c r="D138" s="7">
        <v>-0.28299999999999997</v>
      </c>
      <c r="E138" s="7">
        <v>-0.28299999999999997</v>
      </c>
      <c r="F138" s="7">
        <v>-2.2949999999999999</v>
      </c>
      <c r="G138" s="7">
        <v>6.64</v>
      </c>
      <c r="H138" s="7">
        <v>3</v>
      </c>
      <c r="I138" s="29">
        <v>88</v>
      </c>
      <c r="J138" s="29">
        <v>215</v>
      </c>
      <c r="K138" s="7">
        <v>3.98</v>
      </c>
      <c r="L138" s="7">
        <f>-1888.7/$B$25</f>
        <v>-19.575063481370162</v>
      </c>
      <c r="M138" s="34"/>
      <c r="N138" s="2"/>
      <c r="O138" s="2"/>
      <c r="P138" s="2"/>
      <c r="Q138" s="2"/>
      <c r="R138" s="2"/>
      <c r="S138" s="2"/>
      <c r="T138" s="18">
        <v>8.92</v>
      </c>
      <c r="U138" s="18">
        <v>14.368500000000001</v>
      </c>
      <c r="V138" s="2"/>
      <c r="W138" s="16">
        <v>206</v>
      </c>
      <c r="X138" s="2"/>
      <c r="Y138" s="16" t="s">
        <v>529</v>
      </c>
      <c r="Z138" s="2">
        <v>2341</v>
      </c>
      <c r="AA138" s="2"/>
      <c r="AD138" s="18"/>
      <c r="AE138" s="2"/>
      <c r="AF138" s="26"/>
      <c r="AG138" s="2"/>
      <c r="AH138" s="7"/>
      <c r="AI138" s="7"/>
      <c r="AJ138" s="7"/>
      <c r="AK138" s="2"/>
      <c r="AL138" s="2"/>
      <c r="AM138" s="7"/>
    </row>
    <row r="139" spans="2:39" x14ac:dyDescent="0.2">
      <c r="B139" s="2"/>
      <c r="C139" s="2" t="s">
        <v>207</v>
      </c>
      <c r="D139" s="7">
        <v>-0.33800000000000002</v>
      </c>
      <c r="E139" s="7">
        <v>-0.33800000000000002</v>
      </c>
      <c r="F139" s="7">
        <v>-2.681</v>
      </c>
      <c r="G139" s="7">
        <v>7.13</v>
      </c>
      <c r="H139" s="7">
        <v>5.33</v>
      </c>
      <c r="I139" s="29">
        <v>87</v>
      </c>
      <c r="J139" s="29">
        <v>190</v>
      </c>
      <c r="K139" s="7">
        <v>0.01</v>
      </c>
      <c r="L139" s="7">
        <f>-3574.8/$B$25</f>
        <v>-37.050318702388978</v>
      </c>
      <c r="M139" s="34"/>
      <c r="N139" s="2"/>
      <c r="O139" s="2"/>
      <c r="P139" s="2"/>
      <c r="Q139" s="2"/>
      <c r="R139" s="2"/>
      <c r="S139" s="2"/>
      <c r="T139" s="18">
        <v>8.3000000000000007</v>
      </c>
      <c r="U139" s="18">
        <v>15.32090909090909</v>
      </c>
      <c r="V139" s="2"/>
      <c r="W139" s="16">
        <v>189</v>
      </c>
      <c r="X139" s="2"/>
      <c r="Y139" s="16" t="s">
        <v>533</v>
      </c>
      <c r="Z139" s="2">
        <v>1300</v>
      </c>
      <c r="AA139" s="2"/>
      <c r="AD139" s="18"/>
      <c r="AE139" s="2"/>
      <c r="AF139" s="26"/>
      <c r="AG139" s="2"/>
      <c r="AH139" s="7"/>
      <c r="AI139" s="7"/>
      <c r="AJ139" s="7"/>
      <c r="AK139" s="2"/>
      <c r="AL139" s="2"/>
      <c r="AM139" s="7"/>
    </row>
    <row r="140" spans="2:39" x14ac:dyDescent="0.2">
      <c r="B140" s="2"/>
      <c r="C140" s="2" t="s">
        <v>208</v>
      </c>
      <c r="D140" s="7">
        <v>-0.36699999999999999</v>
      </c>
      <c r="E140" s="7">
        <v>-0.33800000000000002</v>
      </c>
      <c r="F140" s="7">
        <v>-2.5369999999999999</v>
      </c>
      <c r="G140" s="7">
        <v>7.3639999999999999</v>
      </c>
      <c r="H140" s="7">
        <v>4</v>
      </c>
      <c r="I140" s="29">
        <v>89</v>
      </c>
      <c r="J140" s="29">
        <v>200</v>
      </c>
      <c r="K140" s="7">
        <v>0</v>
      </c>
      <c r="L140" s="7">
        <f>-1085/$B$25</f>
        <v>-11.245271285692077</v>
      </c>
      <c r="M140" s="34"/>
      <c r="N140" s="2"/>
      <c r="O140" s="2"/>
      <c r="P140" s="2"/>
      <c r="Q140" s="2"/>
      <c r="R140" s="2"/>
      <c r="S140" s="2"/>
      <c r="T140" s="18">
        <v>11.26</v>
      </c>
      <c r="U140" s="18">
        <v>13.270833333333334</v>
      </c>
      <c r="V140" s="2"/>
      <c r="W140" s="16">
        <v>225</v>
      </c>
      <c r="X140" s="2"/>
      <c r="Y140" s="16" t="s">
        <v>529</v>
      </c>
      <c r="Z140" s="2">
        <v>2827</v>
      </c>
      <c r="AA140" s="2"/>
      <c r="AD140" s="18"/>
      <c r="AE140" s="2"/>
      <c r="AF140" s="26"/>
      <c r="AG140" s="2"/>
      <c r="AH140" s="7"/>
      <c r="AI140" s="7"/>
      <c r="AJ140" s="7"/>
      <c r="AK140" s="2"/>
      <c r="AL140" s="2"/>
      <c r="AM140" s="7"/>
    </row>
    <row r="141" spans="2:39" x14ac:dyDescent="0.2">
      <c r="B141" s="2"/>
      <c r="C141" s="2" t="s">
        <v>210</v>
      </c>
      <c r="D141" s="7">
        <v>-0.33800000000000002</v>
      </c>
      <c r="E141" s="7">
        <v>-0.33800000000000002</v>
      </c>
      <c r="F141" s="7">
        <v>-2.738</v>
      </c>
      <c r="G141" s="7">
        <v>6.9729999999999999</v>
      </c>
      <c r="H141" s="7">
        <v>6</v>
      </c>
      <c r="I141" s="29">
        <v>63</v>
      </c>
      <c r="J141" s="29">
        <v>150</v>
      </c>
      <c r="K141" s="7">
        <v>1.64</v>
      </c>
      <c r="L141" s="7">
        <f>-1223.8/$B$25</f>
        <v>-12.683836865834067</v>
      </c>
      <c r="M141" s="34"/>
      <c r="N141" s="2"/>
      <c r="O141" s="2"/>
      <c r="P141" s="2"/>
      <c r="Q141" s="2"/>
      <c r="R141" s="2"/>
      <c r="S141" s="2"/>
      <c r="T141" s="18">
        <v>6.57</v>
      </c>
      <c r="U141" s="18">
        <v>18.059999999999999</v>
      </c>
      <c r="V141" s="2"/>
      <c r="W141" s="16">
        <v>221</v>
      </c>
      <c r="X141" s="2"/>
      <c r="Y141" s="16" t="s">
        <v>529</v>
      </c>
      <c r="Z141" s="2" t="s">
        <v>304</v>
      </c>
      <c r="AA141" s="2"/>
      <c r="AD141" s="18"/>
      <c r="AE141" s="2"/>
      <c r="AF141" s="26"/>
      <c r="AG141" s="2"/>
      <c r="AH141" s="7"/>
      <c r="AI141" s="7"/>
      <c r="AJ141" s="7"/>
      <c r="AK141" s="2"/>
      <c r="AL141" s="2"/>
      <c r="AM141" s="7"/>
    </row>
    <row r="142" spans="2:39" x14ac:dyDescent="0.2">
      <c r="B142" s="2"/>
      <c r="C142" s="2" t="s">
        <v>211</v>
      </c>
      <c r="D142" s="7">
        <v>-0.20499999999999999</v>
      </c>
      <c r="E142" s="7">
        <v>-0.20499999999999999</v>
      </c>
      <c r="F142" s="7">
        <v>-2.552</v>
      </c>
      <c r="G142" s="7">
        <v>6.2220000000000004</v>
      </c>
      <c r="H142" s="7">
        <v>3</v>
      </c>
      <c r="I142" s="29">
        <v>77</v>
      </c>
      <c r="J142" s="29">
        <v>168</v>
      </c>
      <c r="K142" s="7">
        <v>0</v>
      </c>
      <c r="L142" s="7">
        <f>-1218.8/$B$25</f>
        <v>-12.632015339171891</v>
      </c>
      <c r="M142" s="34"/>
      <c r="N142" s="2">
        <v>5.3289999999999997</v>
      </c>
      <c r="O142" s="2">
        <v>6</v>
      </c>
      <c r="P142" s="2">
        <v>4</v>
      </c>
      <c r="Q142" s="2">
        <v>0.97899999999999998</v>
      </c>
      <c r="R142" s="2">
        <v>2.1059999999999999</v>
      </c>
      <c r="S142" s="2">
        <v>2.5569999999999999</v>
      </c>
      <c r="T142" s="18">
        <v>4.54</v>
      </c>
      <c r="U142" s="18">
        <v>10.969750000000001</v>
      </c>
      <c r="V142" s="2">
        <v>0.436</v>
      </c>
      <c r="W142" s="16">
        <v>206</v>
      </c>
      <c r="X142" s="2">
        <v>3</v>
      </c>
      <c r="Y142" s="16" t="s">
        <v>529</v>
      </c>
      <c r="Z142" s="2">
        <v>2067</v>
      </c>
      <c r="AA142" s="2"/>
      <c r="AD142" s="18"/>
      <c r="AE142" s="2"/>
      <c r="AF142" s="26"/>
      <c r="AG142" s="2"/>
      <c r="AH142" s="7"/>
      <c r="AI142" s="7"/>
      <c r="AJ142" s="7"/>
      <c r="AK142" s="2"/>
      <c r="AL142" s="2"/>
      <c r="AM142" s="7"/>
    </row>
    <row r="143" spans="2:39" x14ac:dyDescent="0.2">
      <c r="B143" s="2"/>
      <c r="C143" s="2" t="s">
        <v>213</v>
      </c>
      <c r="D143" s="7">
        <v>-0.33800000000000002</v>
      </c>
      <c r="E143" s="7">
        <v>-0.20499999999999999</v>
      </c>
      <c r="F143" s="7">
        <v>-2.7789999999999999</v>
      </c>
      <c r="G143" s="7">
        <v>5.68</v>
      </c>
      <c r="H143" s="7">
        <v>5</v>
      </c>
      <c r="I143" s="29">
        <v>47</v>
      </c>
      <c r="J143" s="29">
        <v>105</v>
      </c>
      <c r="K143" s="7">
        <v>2.16</v>
      </c>
      <c r="L143" s="7">
        <f>-1550.6/$B$25</f>
        <v>-16.070891848473856</v>
      </c>
      <c r="M143" s="34"/>
      <c r="N143" s="2"/>
      <c r="O143" s="2"/>
      <c r="P143" s="2"/>
      <c r="Q143" s="2"/>
      <c r="R143" s="2"/>
      <c r="S143" s="2"/>
      <c r="T143" s="18">
        <v>3.15</v>
      </c>
      <c r="U143" s="18">
        <v>13.677857142857144</v>
      </c>
      <c r="V143" s="2"/>
      <c r="W143" s="16">
        <v>59</v>
      </c>
      <c r="X143" s="2"/>
      <c r="Y143" s="16" t="s">
        <v>532</v>
      </c>
      <c r="Z143" s="2">
        <v>670</v>
      </c>
      <c r="AA143" s="2"/>
      <c r="AD143" s="18"/>
      <c r="AE143" s="2"/>
      <c r="AF143" s="26"/>
      <c r="AG143" s="2"/>
      <c r="AH143" s="7"/>
      <c r="AI143" s="7"/>
      <c r="AJ143" s="7"/>
      <c r="AK143" s="2"/>
      <c r="AL143" s="2"/>
      <c r="AM143" s="7"/>
    </row>
    <row r="144" spans="2:39" x14ac:dyDescent="0.2">
      <c r="B144" s="2"/>
      <c r="C144" s="2" t="s">
        <v>214</v>
      </c>
      <c r="D144" s="7">
        <v>-0.20499999999999999</v>
      </c>
      <c r="E144" s="7">
        <v>-0.20499999999999999</v>
      </c>
      <c r="F144" s="7">
        <v>-2.6</v>
      </c>
      <c r="G144" s="7">
        <v>6.14</v>
      </c>
      <c r="H144" s="7">
        <v>3.33</v>
      </c>
      <c r="I144" s="29">
        <v>85</v>
      </c>
      <c r="J144" s="29">
        <v>185</v>
      </c>
      <c r="K144" s="7">
        <v>0.95</v>
      </c>
      <c r="L144" s="7">
        <f>-1933/$B$25</f>
        <v>-20.034202207597037</v>
      </c>
      <c r="M144" s="34"/>
      <c r="N144" s="2"/>
      <c r="O144" s="2"/>
      <c r="P144" s="2"/>
      <c r="Q144" s="2"/>
      <c r="R144" s="2"/>
      <c r="S144" s="2"/>
      <c r="T144" s="18">
        <v>4.4400000000000004</v>
      </c>
      <c r="U144" s="18">
        <v>10.874375000000001</v>
      </c>
      <c r="V144" s="2"/>
      <c r="W144" s="16">
        <v>13</v>
      </c>
      <c r="X144" s="2"/>
      <c r="Y144" s="16" t="s">
        <v>530</v>
      </c>
      <c r="Z144" s="2" t="s">
        <v>304</v>
      </c>
      <c r="AA144" s="2"/>
      <c r="AD144" s="18"/>
      <c r="AE144" s="2"/>
      <c r="AF144" s="26"/>
      <c r="AG144" s="2"/>
      <c r="AH144" s="7"/>
      <c r="AI144" s="7"/>
      <c r="AJ144" s="7"/>
      <c r="AK144" s="2"/>
      <c r="AL144" s="2"/>
      <c r="AM144" s="7"/>
    </row>
    <row r="145" spans="2:39" x14ac:dyDescent="0.2">
      <c r="B145" s="2"/>
      <c r="C145" s="2" t="s">
        <v>215</v>
      </c>
      <c r="D145" s="7">
        <v>-0.20499999999999999</v>
      </c>
      <c r="E145" s="7">
        <v>-0.20499999999999999</v>
      </c>
      <c r="F145" s="7">
        <v>-2.7490000000000001</v>
      </c>
      <c r="G145" s="7">
        <v>5.7919999999999998</v>
      </c>
      <c r="H145" s="7">
        <v>4.67</v>
      </c>
      <c r="I145" s="29">
        <v>53</v>
      </c>
      <c r="J145" s="29">
        <v>118</v>
      </c>
      <c r="K145" s="7">
        <v>1</v>
      </c>
      <c r="L145" s="7" t="s">
        <v>304</v>
      </c>
      <c r="M145" s="34"/>
      <c r="N145" s="2"/>
      <c r="O145" s="2"/>
      <c r="P145" s="2"/>
      <c r="Q145" s="2"/>
      <c r="R145" s="2"/>
      <c r="S145" s="2"/>
      <c r="T145" s="18">
        <v>3.42</v>
      </c>
      <c r="U145" s="18">
        <v>12.875</v>
      </c>
      <c r="V145" s="2"/>
      <c r="W145" s="16">
        <v>15</v>
      </c>
      <c r="X145" s="2"/>
      <c r="Y145" s="16" t="s">
        <v>530</v>
      </c>
      <c r="Z145" s="2" t="s">
        <v>304</v>
      </c>
      <c r="AA145" s="2"/>
      <c r="AD145" s="18"/>
      <c r="AE145" s="2"/>
      <c r="AF145" s="26"/>
      <c r="AG145" s="2"/>
      <c r="AH145" s="7"/>
      <c r="AI145" s="7"/>
      <c r="AJ145" s="7"/>
      <c r="AK145" s="2"/>
      <c r="AL145" s="2"/>
      <c r="AM145" s="7"/>
    </row>
    <row r="146" spans="2:39" x14ac:dyDescent="0.2">
      <c r="B146" s="2"/>
      <c r="C146" s="2" t="s">
        <v>216</v>
      </c>
      <c r="D146" s="7">
        <v>-0.20499999999999999</v>
      </c>
      <c r="E146" s="7">
        <v>-0.20499999999999999</v>
      </c>
      <c r="F146" s="7">
        <v>-2.6819999999999999</v>
      </c>
      <c r="G146" s="7">
        <v>5.9939999999999998</v>
      </c>
      <c r="H146" s="7">
        <v>4</v>
      </c>
      <c r="I146" s="29">
        <v>42</v>
      </c>
      <c r="J146" s="29">
        <v>23</v>
      </c>
      <c r="K146" s="7">
        <v>0.92</v>
      </c>
      <c r="L146" s="7" t="s">
        <v>304</v>
      </c>
      <c r="M146" s="34"/>
      <c r="N146" s="2"/>
      <c r="O146" s="2"/>
      <c r="P146" s="2"/>
      <c r="Q146" s="2"/>
      <c r="R146" s="2"/>
      <c r="S146" s="2"/>
      <c r="T146" s="18">
        <v>4.47</v>
      </c>
      <c r="U146" s="18">
        <v>10.281666666666666</v>
      </c>
      <c r="V146" s="2"/>
      <c r="W146" s="16">
        <v>14</v>
      </c>
      <c r="X146" s="2"/>
      <c r="Y146" s="16" t="s">
        <v>530</v>
      </c>
      <c r="Z146" s="2">
        <v>1967</v>
      </c>
      <c r="AA146" s="2"/>
      <c r="AD146" s="18"/>
      <c r="AE146" s="2"/>
      <c r="AF146" s="26"/>
      <c r="AG146" s="2"/>
      <c r="AH146" s="7"/>
      <c r="AI146" s="7"/>
      <c r="AJ146" s="7"/>
      <c r="AK146" s="2"/>
      <c r="AL146" s="2"/>
      <c r="AM146" s="7"/>
    </row>
    <row r="147" spans="2:39" x14ac:dyDescent="0.2">
      <c r="B147" s="2"/>
      <c r="C147" s="2" t="s">
        <v>217</v>
      </c>
      <c r="D147" s="7">
        <v>-0.221</v>
      </c>
      <c r="E147" s="7">
        <v>-0.221</v>
      </c>
      <c r="F147" s="7">
        <v>-3.109</v>
      </c>
      <c r="G147" s="7">
        <v>6.4480000000000004</v>
      </c>
      <c r="H147" s="7">
        <v>5.44</v>
      </c>
      <c r="I147" s="29">
        <v>42</v>
      </c>
      <c r="J147" s="29">
        <v>103</v>
      </c>
      <c r="K147" s="7">
        <v>0</v>
      </c>
      <c r="L147" s="7" t="s">
        <v>304</v>
      </c>
      <c r="M147" s="34"/>
      <c r="N147" s="2"/>
      <c r="O147" s="2"/>
      <c r="P147" s="2"/>
      <c r="Q147" s="2"/>
      <c r="R147" s="2"/>
      <c r="S147" s="2"/>
      <c r="T147" s="18">
        <v>7.21</v>
      </c>
      <c r="U147" s="18">
        <v>14.078805970149253</v>
      </c>
      <c r="V147" s="2"/>
      <c r="W147" s="16">
        <v>10</v>
      </c>
      <c r="X147" s="2"/>
      <c r="Y147" s="16" t="s">
        <v>530</v>
      </c>
      <c r="Z147" s="2" t="s">
        <v>304</v>
      </c>
      <c r="AA147" s="2"/>
      <c r="AD147" s="18"/>
      <c r="AE147" s="2"/>
      <c r="AF147" s="26"/>
      <c r="AG147" s="2"/>
      <c r="AH147" s="7"/>
      <c r="AI147" s="7"/>
      <c r="AJ147" s="7"/>
      <c r="AK147" s="2"/>
      <c r="AL147" s="2"/>
      <c r="AM147" s="7"/>
    </row>
    <row r="148" spans="2:39" x14ac:dyDescent="0.2">
      <c r="B148" s="2"/>
      <c r="C148" s="2" t="s">
        <v>218</v>
      </c>
      <c r="D148" s="7">
        <v>-0.221</v>
      </c>
      <c r="E148" s="7">
        <v>-0.221</v>
      </c>
      <c r="F148" s="7">
        <v>-3.0339999999999998</v>
      </c>
      <c r="G148" s="7">
        <v>6.7329999999999997</v>
      </c>
      <c r="H148" s="7">
        <v>4</v>
      </c>
      <c r="I148" s="29">
        <v>75</v>
      </c>
      <c r="J148" s="29">
        <v>229</v>
      </c>
      <c r="K148" s="7">
        <v>1.25</v>
      </c>
      <c r="L148" s="7">
        <f>-589.7/$B$25</f>
        <v>-6.1118308545369748</v>
      </c>
      <c r="M148" s="34"/>
      <c r="N148" s="2"/>
      <c r="O148" s="2"/>
      <c r="P148" s="2"/>
      <c r="Q148" s="2"/>
      <c r="R148" s="2"/>
      <c r="S148" s="2"/>
      <c r="T148" s="18">
        <v>9.6</v>
      </c>
      <c r="U148" s="18">
        <v>12.442500000000001</v>
      </c>
      <c r="V148" s="2"/>
      <c r="W148" s="16">
        <v>136</v>
      </c>
      <c r="X148" s="2"/>
      <c r="Y148" s="16" t="s">
        <v>531</v>
      </c>
      <c r="Z148" s="2">
        <v>1500</v>
      </c>
      <c r="AA148" s="2"/>
      <c r="AD148" s="18"/>
      <c r="AE148" s="2"/>
      <c r="AF148" s="26"/>
      <c r="AG148" s="2"/>
      <c r="AH148" s="7"/>
      <c r="AI148" s="7"/>
      <c r="AJ148" s="7"/>
      <c r="AK148" s="2"/>
      <c r="AL148" s="2"/>
      <c r="AM148" s="7"/>
    </row>
    <row r="149" spans="2:39" x14ac:dyDescent="0.2">
      <c r="B149" s="2"/>
      <c r="C149" s="2" t="s">
        <v>220</v>
      </c>
      <c r="D149" s="7">
        <v>-0.33800000000000002</v>
      </c>
      <c r="E149" s="7">
        <v>-0.221</v>
      </c>
      <c r="F149" s="7">
        <v>-3.1309999999999998</v>
      </c>
      <c r="G149" s="7">
        <v>6.3639999999999999</v>
      </c>
      <c r="H149" s="7">
        <v>6</v>
      </c>
      <c r="I149" s="29">
        <v>125</v>
      </c>
      <c r="J149" s="29">
        <v>223</v>
      </c>
      <c r="K149" s="7">
        <v>1.33</v>
      </c>
      <c r="L149" s="7">
        <f>-842.9/$B$25</f>
        <v>-8.7360729647095408</v>
      </c>
      <c r="M149" s="34"/>
      <c r="N149" s="2"/>
      <c r="O149" s="2"/>
      <c r="P149" s="2"/>
      <c r="Q149" s="2"/>
      <c r="R149" s="2"/>
      <c r="S149" s="2"/>
      <c r="T149" s="18">
        <v>6.69</v>
      </c>
      <c r="U149" s="18">
        <v>14.393750000000001</v>
      </c>
      <c r="V149" s="2"/>
      <c r="W149" s="16">
        <v>60</v>
      </c>
      <c r="X149" s="2"/>
      <c r="Y149" s="16" t="s">
        <v>532</v>
      </c>
      <c r="Z149" s="2">
        <v>1472</v>
      </c>
      <c r="AA149" s="2"/>
      <c r="AD149" s="18"/>
      <c r="AE149" s="2"/>
      <c r="AF149" s="26"/>
      <c r="AG149" s="2"/>
      <c r="AH149" s="7"/>
      <c r="AI149" s="7"/>
      <c r="AJ149" s="7"/>
      <c r="AK149" s="2"/>
      <c r="AL149" s="2"/>
      <c r="AM149" s="7"/>
    </row>
    <row r="150" spans="2:39" x14ac:dyDescent="0.2">
      <c r="B150" s="2"/>
      <c r="C150" s="2" t="s">
        <v>221</v>
      </c>
      <c r="D150" s="7">
        <v>-0.33800000000000002</v>
      </c>
      <c r="E150" s="7">
        <v>-0.151</v>
      </c>
      <c r="F150" s="7">
        <v>-2.2719999999999998</v>
      </c>
      <c r="G150" s="7">
        <v>7.298</v>
      </c>
      <c r="H150" s="7">
        <v>3</v>
      </c>
      <c r="I150" s="29">
        <v>62</v>
      </c>
      <c r="J150" s="29">
        <v>138</v>
      </c>
      <c r="K150" s="7">
        <v>4.0599999999999996</v>
      </c>
      <c r="L150" s="7">
        <f>-1905.3/$B$25</f>
        <v>-19.747110949888583</v>
      </c>
      <c r="M150" s="34"/>
      <c r="N150" s="2">
        <v>4.3659999999999997</v>
      </c>
      <c r="O150" s="2">
        <v>6</v>
      </c>
      <c r="P150" s="2">
        <v>4</v>
      </c>
      <c r="Q150" s="2">
        <v>0.90900000000000003</v>
      </c>
      <c r="R150" s="2">
        <v>2.2679999999999998</v>
      </c>
      <c r="S150" s="2">
        <v>2.7949999999999999</v>
      </c>
      <c r="T150" s="18">
        <v>4.8899999999999997</v>
      </c>
      <c r="U150" s="18">
        <v>15.329750000000001</v>
      </c>
      <c r="V150" s="2">
        <v>0.67400000000000004</v>
      </c>
      <c r="W150" s="16">
        <v>206</v>
      </c>
      <c r="X150" s="2">
        <v>1</v>
      </c>
      <c r="Y150" s="16" t="s">
        <v>529</v>
      </c>
      <c r="Z150" s="2">
        <v>2438</v>
      </c>
      <c r="AA150" s="2"/>
      <c r="AD150" s="18"/>
      <c r="AE150" s="2"/>
      <c r="AF150" s="26"/>
      <c r="AG150" s="2"/>
      <c r="AH150" s="7"/>
      <c r="AI150" s="7"/>
      <c r="AJ150" s="7"/>
      <c r="AK150" s="2"/>
      <c r="AL150" s="2"/>
      <c r="AM150" s="7"/>
    </row>
    <row r="151" spans="2:39" x14ac:dyDescent="0.2">
      <c r="B151" s="2"/>
      <c r="C151" s="2" t="s">
        <v>223</v>
      </c>
      <c r="D151" s="7">
        <v>-0.28599999999999998</v>
      </c>
      <c r="E151" s="7">
        <v>-0.13700000000000001</v>
      </c>
      <c r="F151" s="7">
        <v>-1.9450000000000001</v>
      </c>
      <c r="G151" s="7">
        <v>5.7519999999999998</v>
      </c>
      <c r="H151" s="7">
        <v>2</v>
      </c>
      <c r="I151" s="29">
        <v>89</v>
      </c>
      <c r="J151" s="29">
        <v>128</v>
      </c>
      <c r="K151" s="7">
        <v>3.47</v>
      </c>
      <c r="L151" s="7" t="s">
        <v>304</v>
      </c>
      <c r="M151" s="34"/>
      <c r="N151" s="2"/>
      <c r="O151" s="2"/>
      <c r="P151" s="2"/>
      <c r="Q151" s="2"/>
      <c r="R151" s="2"/>
      <c r="S151" s="2"/>
      <c r="T151" s="18">
        <v>11.72</v>
      </c>
      <c r="U151" s="18">
        <v>13.39</v>
      </c>
      <c r="V151" s="2"/>
      <c r="W151" s="16">
        <v>225</v>
      </c>
      <c r="X151" s="2"/>
      <c r="Y151" s="16" t="s">
        <v>529</v>
      </c>
      <c r="Z151" s="2" t="s">
        <v>304</v>
      </c>
      <c r="AA151" s="2"/>
      <c r="AD151" s="18"/>
      <c r="AE151" s="2"/>
      <c r="AF151" s="26"/>
      <c r="AG151" s="2"/>
      <c r="AH151" s="7"/>
      <c r="AI151" s="7"/>
      <c r="AJ151" s="7"/>
      <c r="AK151" s="2"/>
      <c r="AL151" s="2"/>
      <c r="AM151" s="7"/>
    </row>
    <row r="152" spans="2:39" x14ac:dyDescent="0.2">
      <c r="B152" s="2"/>
      <c r="C152" s="2" t="s">
        <v>225</v>
      </c>
      <c r="D152" s="7">
        <v>-0.33800000000000002</v>
      </c>
      <c r="E152" s="7">
        <v>-0.223</v>
      </c>
      <c r="F152" s="7">
        <v>-2.3820000000000001</v>
      </c>
      <c r="G152" s="7">
        <v>3.7759999999999998</v>
      </c>
      <c r="H152" s="7">
        <v>2</v>
      </c>
      <c r="I152" s="29">
        <v>41</v>
      </c>
      <c r="J152" s="29">
        <v>130</v>
      </c>
      <c r="K152" s="7">
        <v>0.73</v>
      </c>
      <c r="L152" s="7">
        <f>-350.5/$B$25</f>
        <v>-3.6326890190185002</v>
      </c>
      <c r="M152" s="34"/>
      <c r="N152" s="2">
        <v>1.3520000000000001</v>
      </c>
      <c r="O152" s="2">
        <v>4</v>
      </c>
      <c r="P152" s="2">
        <v>4</v>
      </c>
      <c r="Q152" s="2">
        <v>0.86299999999999999</v>
      </c>
      <c r="R152" s="2">
        <v>2.0019999999999998</v>
      </c>
      <c r="S152" s="2">
        <v>1.7749999999999999</v>
      </c>
      <c r="T152" s="18">
        <v>5.44</v>
      </c>
      <c r="U152" s="18">
        <v>12.43</v>
      </c>
      <c r="V152" s="2">
        <v>0.45200000000000001</v>
      </c>
      <c r="W152" s="16">
        <v>186</v>
      </c>
      <c r="X152" s="2">
        <v>2</v>
      </c>
      <c r="Y152" s="16" t="s">
        <v>533</v>
      </c>
      <c r="Z152" s="2">
        <v>1974</v>
      </c>
      <c r="AA152" s="2"/>
      <c r="AD152" s="18"/>
      <c r="AF152" s="2"/>
    </row>
    <row r="153" spans="2:39" x14ac:dyDescent="0.2">
      <c r="B153" s="2"/>
      <c r="C153" s="2" t="s">
        <v>227</v>
      </c>
      <c r="D153" s="7">
        <v>-0.151</v>
      </c>
      <c r="E153" s="7">
        <v>-0.151</v>
      </c>
      <c r="F153" s="7">
        <v>-1.6870000000000001</v>
      </c>
      <c r="G153" s="7">
        <v>6.891</v>
      </c>
      <c r="H153" s="7" t="s">
        <v>304</v>
      </c>
      <c r="I153" s="29">
        <v>55</v>
      </c>
      <c r="J153" s="29">
        <v>134</v>
      </c>
      <c r="K153" s="7">
        <v>0</v>
      </c>
      <c r="L153" s="7" t="s">
        <v>304</v>
      </c>
      <c r="M153" s="34"/>
      <c r="N153" s="2"/>
      <c r="O153" s="2"/>
      <c r="P153" s="2"/>
      <c r="Q153" s="2"/>
      <c r="R153" s="2"/>
      <c r="S153" s="2"/>
      <c r="T153" s="18">
        <v>6.6</v>
      </c>
      <c r="U153" s="18">
        <v>18.2225</v>
      </c>
      <c r="V153" s="2"/>
      <c r="W153" s="16">
        <v>155</v>
      </c>
      <c r="X153" s="2"/>
      <c r="Y153" s="16" t="s">
        <v>528</v>
      </c>
      <c r="Z153" s="2" t="s">
        <v>304</v>
      </c>
      <c r="AA153" s="2"/>
      <c r="AD153" s="18"/>
      <c r="AF153" s="2"/>
    </row>
    <row r="154" spans="2:39" x14ac:dyDescent="0.2">
      <c r="B154" s="2"/>
      <c r="C154" s="2" t="s">
        <v>229</v>
      </c>
      <c r="D154" s="7">
        <v>-0.33800000000000002</v>
      </c>
      <c r="E154" s="7">
        <v>-0.16200000000000001</v>
      </c>
      <c r="F154" s="7">
        <v>-2.5059999999999998</v>
      </c>
      <c r="G154" s="7">
        <v>7.6539999999999999</v>
      </c>
      <c r="H154" s="7">
        <v>4</v>
      </c>
      <c r="I154" s="29">
        <v>85</v>
      </c>
      <c r="J154" s="29">
        <v>183</v>
      </c>
      <c r="K154" s="7">
        <v>3.47</v>
      </c>
      <c r="L154" s="7">
        <f>-1100.6/$B$25</f>
        <v>-11.406954448878063</v>
      </c>
      <c r="M154" s="34"/>
      <c r="N154" s="2">
        <v>6.2309999999999999</v>
      </c>
      <c r="O154" s="2">
        <v>7</v>
      </c>
      <c r="P154" s="2">
        <v>4</v>
      </c>
      <c r="Q154" s="2">
        <v>0.89900000000000002</v>
      </c>
      <c r="R154" s="2">
        <v>2.077</v>
      </c>
      <c r="S154" s="2">
        <v>3.6019999999999999</v>
      </c>
      <c r="T154" s="18">
        <v>5.56</v>
      </c>
      <c r="U154" s="18">
        <v>12.259166666666667</v>
      </c>
      <c r="V154" s="2">
        <v>0.47899999999999998</v>
      </c>
      <c r="W154" s="16">
        <v>14</v>
      </c>
      <c r="X154" s="2">
        <v>6</v>
      </c>
      <c r="Y154" s="16" t="s">
        <v>530</v>
      </c>
      <c r="Z154" s="2">
        <v>2709</v>
      </c>
      <c r="AA154" s="2"/>
      <c r="AD154" s="18"/>
      <c r="AF154" s="2"/>
    </row>
    <row r="155" spans="2:39" x14ac:dyDescent="0.2">
      <c r="B155" s="2"/>
      <c r="C155" s="2"/>
      <c r="D155" s="7"/>
      <c r="E155" s="7"/>
      <c r="F155" s="7"/>
      <c r="G155" s="7"/>
      <c r="H155" s="7"/>
      <c r="K155" s="2"/>
      <c r="L155" s="7"/>
      <c r="M155" s="34"/>
      <c r="N155" s="2"/>
      <c r="O155" s="2"/>
      <c r="P155" s="2"/>
      <c r="Q155" s="2"/>
      <c r="R155" s="2"/>
      <c r="S155" s="2"/>
      <c r="T155" s="2"/>
      <c r="U155" s="2"/>
      <c r="V155" s="2"/>
      <c r="X155" s="2"/>
      <c r="Z155" s="2" t="s">
        <v>456</v>
      </c>
      <c r="AA155" s="2"/>
      <c r="AD155" s="18"/>
      <c r="AF155" s="2"/>
    </row>
    <row r="156" spans="2:39" x14ac:dyDescent="0.2">
      <c r="Z156" s="2"/>
      <c r="AA156" s="2"/>
      <c r="AF156" s="2"/>
    </row>
    <row r="157" spans="2:39" x14ac:dyDescent="0.2">
      <c r="Z157" s="2"/>
      <c r="AA157" s="2"/>
      <c r="AF157" s="2"/>
    </row>
    <row r="158" spans="2:39" x14ac:dyDescent="0.2">
      <c r="Z158" s="2"/>
      <c r="AA158" s="2"/>
      <c r="AF158" s="2"/>
    </row>
    <row r="159" spans="2:39" x14ac:dyDescent="0.2">
      <c r="Z159" s="2"/>
      <c r="AA159" s="2"/>
      <c r="AF159" s="2"/>
    </row>
    <row r="160" spans="2:39" x14ac:dyDescent="0.2">
      <c r="Z160" s="2"/>
      <c r="AA160" s="2"/>
      <c r="AF160" s="2"/>
    </row>
    <row r="161" spans="26:32" x14ac:dyDescent="0.2">
      <c r="Z161" s="2"/>
      <c r="AA161" s="2"/>
      <c r="AF161" s="2"/>
    </row>
    <row r="162" spans="26:32" x14ac:dyDescent="0.2">
      <c r="Z162" s="2"/>
      <c r="AA162" s="2"/>
      <c r="AF162" s="2"/>
    </row>
    <row r="163" spans="26:32" x14ac:dyDescent="0.2">
      <c r="Z163" s="2"/>
      <c r="AA163" s="2"/>
      <c r="AF163" s="2"/>
    </row>
    <row r="164" spans="26:32" x14ac:dyDescent="0.2">
      <c r="Z164" s="2"/>
      <c r="AA164" s="2"/>
      <c r="AF164" s="2"/>
    </row>
    <row r="165" spans="26:32" x14ac:dyDescent="0.2">
      <c r="Z165" s="2"/>
      <c r="AA165" s="2"/>
      <c r="AF165" s="2"/>
    </row>
    <row r="166" spans="26:32" x14ac:dyDescent="0.2">
      <c r="Z166" s="2"/>
      <c r="AA166" s="2"/>
      <c r="AF166" s="2"/>
    </row>
    <row r="167" spans="26:32" x14ac:dyDescent="0.2">
      <c r="Z167" s="2"/>
      <c r="AA167" s="2"/>
      <c r="AF167" s="2"/>
    </row>
    <row r="168" spans="26:32" x14ac:dyDescent="0.2">
      <c r="Z168" s="2"/>
      <c r="AA168" s="2"/>
      <c r="AF168" s="2"/>
    </row>
    <row r="169" spans="26:32" x14ac:dyDescent="0.2">
      <c r="Z169" s="2"/>
      <c r="AA169" s="2"/>
      <c r="AF169" s="2"/>
    </row>
    <row r="170" spans="26:32" x14ac:dyDescent="0.2">
      <c r="Z170" s="2"/>
      <c r="AA170" s="2"/>
      <c r="AF170" s="2"/>
    </row>
    <row r="171" spans="26:32" x14ac:dyDescent="0.2">
      <c r="Z171" s="2"/>
      <c r="AA171" s="2"/>
      <c r="AF171" s="2"/>
    </row>
    <row r="172" spans="26:32" x14ac:dyDescent="0.2">
      <c r="Z172" s="2"/>
      <c r="AA172" s="2"/>
      <c r="AF172" s="2"/>
    </row>
    <row r="173" spans="26:32" x14ac:dyDescent="0.2">
      <c r="Z173" s="2"/>
      <c r="AA173" s="2"/>
      <c r="AF173" s="2"/>
    </row>
    <row r="174" spans="26:32" x14ac:dyDescent="0.2">
      <c r="Z174" s="2"/>
      <c r="AA174" s="2"/>
      <c r="AF174" s="2"/>
    </row>
    <row r="175" spans="26:32" x14ac:dyDescent="0.2">
      <c r="Z175" s="2"/>
      <c r="AA175" s="2"/>
      <c r="AF175" s="2"/>
    </row>
    <row r="176" spans="26:32" x14ac:dyDescent="0.2">
      <c r="Z176" s="2"/>
      <c r="AA176" s="2"/>
      <c r="AF176" s="2"/>
    </row>
    <row r="177" spans="26:32" x14ac:dyDescent="0.2">
      <c r="Z177" s="2"/>
      <c r="AA177" s="2"/>
      <c r="AF177" s="2"/>
    </row>
    <row r="178" spans="26:32" x14ac:dyDescent="0.2">
      <c r="Z178" s="2"/>
      <c r="AA178" s="2"/>
      <c r="AF178" s="2"/>
    </row>
    <row r="179" spans="26:32" x14ac:dyDescent="0.2">
      <c r="Z179" s="2"/>
      <c r="AA179" s="2"/>
      <c r="AF179" s="2"/>
    </row>
    <row r="180" spans="26:32" x14ac:dyDescent="0.2">
      <c r="Z180" s="2"/>
      <c r="AA180" s="2"/>
      <c r="AF180" s="2"/>
    </row>
    <row r="181" spans="26:32" x14ac:dyDescent="0.2">
      <c r="Z181" s="2"/>
      <c r="AA181" s="2"/>
      <c r="AF181" s="2"/>
    </row>
    <row r="182" spans="26:32" x14ac:dyDescent="0.2">
      <c r="Z182" s="2"/>
      <c r="AA182" s="2"/>
      <c r="AF182" s="2"/>
    </row>
    <row r="183" spans="26:32" x14ac:dyDescent="0.2">
      <c r="Z183" s="2"/>
      <c r="AA183" s="2"/>
      <c r="AF183" s="2"/>
    </row>
    <row r="184" spans="26:32" x14ac:dyDescent="0.2">
      <c r="Z184" s="2"/>
      <c r="AA184" s="2"/>
      <c r="AF184" s="2"/>
    </row>
    <row r="185" spans="26:32" x14ac:dyDescent="0.2">
      <c r="Z185" s="2"/>
      <c r="AA185" s="2"/>
      <c r="AF185" s="2"/>
    </row>
    <row r="186" spans="26:32" x14ac:dyDescent="0.2">
      <c r="Z186" s="2"/>
      <c r="AA186" s="2"/>
      <c r="AF186" s="2"/>
    </row>
    <row r="187" spans="26:32" x14ac:dyDescent="0.2">
      <c r="Z187" s="2"/>
      <c r="AA187" s="2"/>
      <c r="AF187" s="2"/>
    </row>
    <row r="188" spans="26:32" x14ac:dyDescent="0.2">
      <c r="Z188" s="2"/>
      <c r="AA188" s="2"/>
      <c r="AF188" s="2"/>
    </row>
    <row r="189" spans="26:32" x14ac:dyDescent="0.2">
      <c r="Z189" s="2"/>
      <c r="AA189" s="2"/>
      <c r="AF189" s="2"/>
    </row>
    <row r="190" spans="26:32" x14ac:dyDescent="0.2">
      <c r="Z190" s="2"/>
      <c r="AA190" s="2"/>
      <c r="AF190" s="2"/>
    </row>
    <row r="191" spans="26:32" x14ac:dyDescent="0.2">
      <c r="Z191" s="2"/>
      <c r="AA191" s="2"/>
      <c r="AF191" s="2"/>
    </row>
    <row r="192" spans="26:32" x14ac:dyDescent="0.2">
      <c r="Z192" s="2"/>
      <c r="AA192" s="2"/>
      <c r="AF192" s="2"/>
    </row>
    <row r="193" spans="26:32" x14ac:dyDescent="0.2">
      <c r="Z193" s="2"/>
      <c r="AA193" s="2"/>
      <c r="AF193" s="2"/>
    </row>
    <row r="194" spans="26:32" x14ac:dyDescent="0.2">
      <c r="Z194" s="2"/>
      <c r="AA194" s="2"/>
      <c r="AF194" s="2"/>
    </row>
    <row r="195" spans="26:32" x14ac:dyDescent="0.2">
      <c r="Z195" s="2"/>
      <c r="AA195" s="2"/>
      <c r="AF195" s="2"/>
    </row>
    <row r="196" spans="26:32" x14ac:dyDescent="0.2">
      <c r="Z196" s="2"/>
      <c r="AA196" s="2"/>
      <c r="AF196" s="2"/>
    </row>
    <row r="197" spans="26:32" x14ac:dyDescent="0.2">
      <c r="Z197" s="2"/>
      <c r="AA197" s="2"/>
      <c r="AF197" s="2"/>
    </row>
    <row r="198" spans="26:32" x14ac:dyDescent="0.2">
      <c r="Z198" s="2"/>
      <c r="AA198" s="2"/>
      <c r="AF198" s="2"/>
    </row>
    <row r="199" spans="26:32" x14ac:dyDescent="0.2">
      <c r="Z199" s="2"/>
      <c r="AA199" s="2"/>
      <c r="AF199" s="2"/>
    </row>
    <row r="200" spans="26:32" x14ac:dyDescent="0.2">
      <c r="Z200" s="2"/>
      <c r="AA200" s="2"/>
      <c r="AF200" s="2"/>
    </row>
    <row r="201" spans="26:32" x14ac:dyDescent="0.2">
      <c r="Z201" s="2"/>
      <c r="AA201" s="2"/>
      <c r="AF201" s="2"/>
    </row>
    <row r="202" spans="26:32" x14ac:dyDescent="0.2">
      <c r="Z202" s="2"/>
      <c r="AA202" s="2"/>
      <c r="AF202" s="2"/>
    </row>
    <row r="203" spans="26:32" x14ac:dyDescent="0.2">
      <c r="Z203" s="2"/>
      <c r="AA203" s="2"/>
      <c r="AF203" s="2"/>
    </row>
    <row r="204" spans="26:32" x14ac:dyDescent="0.2">
      <c r="Z204" s="2"/>
      <c r="AA204" s="2"/>
      <c r="AF204" s="2"/>
    </row>
    <row r="205" spans="26:32" x14ac:dyDescent="0.2">
      <c r="Z205" s="2"/>
      <c r="AA205" s="2"/>
      <c r="AF205" s="2"/>
    </row>
    <row r="206" spans="26:32" x14ac:dyDescent="0.2">
      <c r="Z206" s="2"/>
      <c r="AA206" s="2"/>
      <c r="AF206" s="2"/>
    </row>
    <row r="207" spans="26:32" x14ac:dyDescent="0.2">
      <c r="Z207" s="2"/>
      <c r="AA207" s="2"/>
      <c r="AF207" s="2"/>
    </row>
    <row r="208" spans="26:32" x14ac:dyDescent="0.2">
      <c r="Z208" s="2"/>
      <c r="AA208" s="2"/>
      <c r="AF208" s="2"/>
    </row>
    <row r="209" spans="26:32" x14ac:dyDescent="0.2">
      <c r="Z209" s="2"/>
      <c r="AA209" s="2"/>
      <c r="AF209" s="2"/>
    </row>
    <row r="210" spans="26:32" x14ac:dyDescent="0.2">
      <c r="Z210" s="2"/>
      <c r="AA210" s="2"/>
      <c r="AF210" s="2"/>
    </row>
    <row r="211" spans="26:32" x14ac:dyDescent="0.2">
      <c r="Z211" s="2"/>
      <c r="AA211" s="2"/>
      <c r="AF211" s="2"/>
    </row>
    <row r="212" spans="26:32" x14ac:dyDescent="0.2">
      <c r="Z212" s="2"/>
      <c r="AA212" s="2"/>
      <c r="AF212" s="2"/>
    </row>
    <row r="213" spans="26:32" x14ac:dyDescent="0.2">
      <c r="Z213" s="2"/>
      <c r="AA213" s="2"/>
      <c r="AF213" s="2"/>
    </row>
    <row r="214" spans="26:32" x14ac:dyDescent="0.2">
      <c r="Z214" s="2"/>
      <c r="AA214" s="2"/>
      <c r="AF214" s="2"/>
    </row>
    <row r="215" spans="26:32" x14ac:dyDescent="0.2">
      <c r="Z215" s="2"/>
      <c r="AA215" s="2"/>
      <c r="AF215" s="2"/>
    </row>
    <row r="216" spans="26:32" x14ac:dyDescent="0.2">
      <c r="Z216" s="2"/>
      <c r="AA216" s="2"/>
      <c r="AF216" s="2"/>
    </row>
    <row r="217" spans="26:32" x14ac:dyDescent="0.2">
      <c r="Z217" s="2"/>
      <c r="AA217" s="2"/>
      <c r="AF217" s="2"/>
    </row>
    <row r="218" spans="26:32" x14ac:dyDescent="0.2">
      <c r="Z218" s="2"/>
      <c r="AA218" s="2"/>
      <c r="AF218" s="2"/>
    </row>
    <row r="219" spans="26:32" x14ac:dyDescent="0.2">
      <c r="Z219" s="2"/>
      <c r="AA219" s="2"/>
      <c r="AF219" s="2"/>
    </row>
    <row r="220" spans="26:32" x14ac:dyDescent="0.2">
      <c r="Z220" s="2"/>
      <c r="AA220" s="2"/>
      <c r="AF220" s="2"/>
    </row>
    <row r="221" spans="26:32" x14ac:dyDescent="0.2">
      <c r="Z221" s="2"/>
      <c r="AA221" s="2"/>
      <c r="AF221" s="2"/>
    </row>
    <row r="222" spans="26:32" x14ac:dyDescent="0.2">
      <c r="Z222" s="2"/>
      <c r="AA222" s="2"/>
      <c r="AF222" s="2"/>
    </row>
    <row r="223" spans="26:32" x14ac:dyDescent="0.2">
      <c r="Z223" s="2"/>
      <c r="AA223" s="2"/>
      <c r="AF223" s="2"/>
    </row>
    <row r="224" spans="26:32" x14ac:dyDescent="0.2">
      <c r="Z224" s="2"/>
      <c r="AA224" s="2"/>
      <c r="AF224" s="2"/>
    </row>
    <row r="225" spans="26:32" x14ac:dyDescent="0.2">
      <c r="Z225" s="2"/>
      <c r="AA225" s="2"/>
      <c r="AF225" s="2"/>
    </row>
    <row r="226" spans="26:32" x14ac:dyDescent="0.2">
      <c r="Z226" s="2"/>
      <c r="AA226" s="2"/>
      <c r="AF226" s="2"/>
    </row>
    <row r="227" spans="26:32" x14ac:dyDescent="0.2">
      <c r="Z227" s="2"/>
      <c r="AA227" s="2"/>
      <c r="AF227" s="2"/>
    </row>
    <row r="228" spans="26:32" x14ac:dyDescent="0.2">
      <c r="Z228" s="2"/>
      <c r="AA228" s="2"/>
      <c r="AF228" s="2"/>
    </row>
    <row r="229" spans="26:32" x14ac:dyDescent="0.2">
      <c r="Z229" s="2"/>
      <c r="AA229" s="2"/>
      <c r="AF229" s="2"/>
    </row>
    <row r="230" spans="26:32" x14ac:dyDescent="0.2">
      <c r="Z230" s="2"/>
      <c r="AA230" s="2"/>
      <c r="AF230" s="2"/>
    </row>
    <row r="231" spans="26:32" x14ac:dyDescent="0.2">
      <c r="Z231" s="2"/>
      <c r="AA231" s="2"/>
      <c r="AF231" s="2"/>
    </row>
    <row r="232" spans="26:32" x14ac:dyDescent="0.2">
      <c r="Z232" s="2"/>
      <c r="AA232" s="2"/>
      <c r="AF232" s="2"/>
    </row>
    <row r="233" spans="26:32" x14ac:dyDescent="0.2">
      <c r="Z233" s="2"/>
      <c r="AA233" s="2"/>
      <c r="AF233" s="2"/>
    </row>
    <row r="234" spans="26:32" x14ac:dyDescent="0.2">
      <c r="Z234" s="2"/>
      <c r="AA234" s="2"/>
      <c r="AF234" s="2"/>
    </row>
    <row r="235" spans="26:32" x14ac:dyDescent="0.2">
      <c r="Z235" s="2"/>
      <c r="AA235" s="2"/>
      <c r="AF235" s="2"/>
    </row>
    <row r="236" spans="26:32" x14ac:dyDescent="0.2">
      <c r="Z236" s="2"/>
      <c r="AA236" s="2"/>
      <c r="AF236" s="2"/>
    </row>
    <row r="237" spans="26:32" x14ac:dyDescent="0.2">
      <c r="Z237" s="2"/>
      <c r="AA237" s="2"/>
      <c r="AF237" s="2"/>
    </row>
    <row r="238" spans="26:32" x14ac:dyDescent="0.2">
      <c r="Z238" s="2"/>
      <c r="AA238" s="2"/>
      <c r="AF238" s="2"/>
    </row>
    <row r="239" spans="26:32" x14ac:dyDescent="0.2">
      <c r="Z239" s="2"/>
      <c r="AA239" s="2"/>
      <c r="AF239" s="2"/>
    </row>
    <row r="240" spans="26:32" x14ac:dyDescent="0.2">
      <c r="Z240" s="2"/>
      <c r="AA240" s="2"/>
      <c r="AF240" s="2"/>
    </row>
    <row r="241" spans="26:32" x14ac:dyDescent="0.2">
      <c r="Z241" s="2"/>
      <c r="AA241" s="2"/>
      <c r="AF241" s="2"/>
    </row>
    <row r="242" spans="26:32" x14ac:dyDescent="0.2">
      <c r="Z242" s="2"/>
      <c r="AA242" s="2"/>
      <c r="AF242" s="2"/>
    </row>
    <row r="243" spans="26:32" x14ac:dyDescent="0.2">
      <c r="Z243" s="2"/>
      <c r="AA243" s="2"/>
      <c r="AF243" s="2"/>
    </row>
    <row r="244" spans="26:32" x14ac:dyDescent="0.2">
      <c r="Z244" s="2"/>
      <c r="AA244" s="2"/>
      <c r="AF244" s="2"/>
    </row>
    <row r="245" spans="26:32" x14ac:dyDescent="0.2">
      <c r="Z245" s="2"/>
      <c r="AA245" s="2"/>
      <c r="AF245" s="2"/>
    </row>
    <row r="246" spans="26:32" x14ac:dyDescent="0.2">
      <c r="Z246" s="2"/>
      <c r="AA246" s="2"/>
      <c r="AF246" s="2"/>
    </row>
    <row r="247" spans="26:32" x14ac:dyDescent="0.2">
      <c r="Z247" s="2"/>
      <c r="AA247" s="2"/>
      <c r="AF247" s="2"/>
    </row>
    <row r="248" spans="26:32" x14ac:dyDescent="0.2">
      <c r="Z248" s="2"/>
      <c r="AA248" s="2"/>
      <c r="AF248" s="2"/>
    </row>
    <row r="249" spans="26:32" x14ac:dyDescent="0.2">
      <c r="Z249" s="2"/>
      <c r="AA249" s="2"/>
      <c r="AF249" s="2"/>
    </row>
    <row r="250" spans="26:32" x14ac:dyDescent="0.2">
      <c r="Z250" s="2"/>
      <c r="AA250" s="2"/>
      <c r="AF250" s="2"/>
    </row>
    <row r="251" spans="26:32" x14ac:dyDescent="0.2">
      <c r="Z251" s="2"/>
      <c r="AA251" s="2"/>
      <c r="AF251" s="2"/>
    </row>
    <row r="252" spans="26:32" x14ac:dyDescent="0.2">
      <c r="Z252" s="2"/>
      <c r="AA252" s="2"/>
      <c r="AF252" s="2"/>
    </row>
    <row r="253" spans="26:32" x14ac:dyDescent="0.2">
      <c r="Z253" s="2"/>
      <c r="AA253" s="2"/>
      <c r="AF253" s="2"/>
    </row>
    <row r="254" spans="26:32" x14ac:dyDescent="0.2">
      <c r="Z254" s="2"/>
      <c r="AA254" s="2"/>
      <c r="AF254" s="2"/>
    </row>
    <row r="255" spans="26:32" x14ac:dyDescent="0.2">
      <c r="Z255" s="2"/>
      <c r="AA255" s="2"/>
      <c r="AF255" s="2"/>
    </row>
    <row r="256" spans="26:32" x14ac:dyDescent="0.2">
      <c r="Z256" s="2"/>
      <c r="AA256" s="2"/>
      <c r="AF256" s="2"/>
    </row>
    <row r="257" spans="26:32" x14ac:dyDescent="0.2">
      <c r="Z257" s="2"/>
      <c r="AA257" s="2"/>
      <c r="AF257" s="2"/>
    </row>
    <row r="258" spans="26:32" x14ac:dyDescent="0.2">
      <c r="Z258" s="2"/>
      <c r="AA258" s="2"/>
      <c r="AF258" s="2"/>
    </row>
    <row r="259" spans="26:32" x14ac:dyDescent="0.2">
      <c r="Z259" s="2"/>
      <c r="AA259" s="2"/>
      <c r="AF259" s="2"/>
    </row>
    <row r="260" spans="26:32" x14ac:dyDescent="0.2">
      <c r="Z260" s="2"/>
      <c r="AA260" s="2"/>
      <c r="AF260" s="2"/>
    </row>
    <row r="261" spans="26:32" x14ac:dyDescent="0.2">
      <c r="Z261" s="2"/>
      <c r="AA261" s="2"/>
      <c r="AF261" s="2"/>
    </row>
    <row r="262" spans="26:32" x14ac:dyDescent="0.2">
      <c r="Z262" s="2"/>
      <c r="AA262" s="2"/>
      <c r="AF262" s="2"/>
    </row>
    <row r="263" spans="26:32" x14ac:dyDescent="0.2">
      <c r="Z263" s="2"/>
      <c r="AA263" s="2"/>
      <c r="AF263" s="2"/>
    </row>
    <row r="264" spans="26:32" x14ac:dyDescent="0.2">
      <c r="Z264" s="2"/>
      <c r="AA264" s="2"/>
      <c r="AF264" s="2"/>
    </row>
    <row r="265" spans="26:32" x14ac:dyDescent="0.2">
      <c r="Z265" s="2"/>
      <c r="AA265" s="2"/>
      <c r="AF265" s="2"/>
    </row>
    <row r="266" spans="26:32" x14ac:dyDescent="0.2">
      <c r="Z266" s="2"/>
      <c r="AA266" s="2"/>
      <c r="AF266" s="2"/>
    </row>
    <row r="267" spans="26:32" x14ac:dyDescent="0.2">
      <c r="Z267" s="2"/>
      <c r="AA267" s="2"/>
      <c r="AF267" s="2"/>
    </row>
    <row r="268" spans="26:32" x14ac:dyDescent="0.2">
      <c r="Z268" s="2"/>
      <c r="AA268" s="2"/>
      <c r="AF268" s="2"/>
    </row>
    <row r="269" spans="26:32" x14ac:dyDescent="0.2">
      <c r="Z269" s="2"/>
      <c r="AA269" s="2"/>
      <c r="AF269" s="2"/>
    </row>
    <row r="270" spans="26:32" x14ac:dyDescent="0.2">
      <c r="Z270" s="2"/>
      <c r="AA270" s="2"/>
      <c r="AF270" s="2"/>
    </row>
    <row r="271" spans="26:32" x14ac:dyDescent="0.2">
      <c r="Z271" s="2"/>
      <c r="AA271" s="2"/>
      <c r="AF271" s="2"/>
    </row>
    <row r="272" spans="26:32" x14ac:dyDescent="0.2">
      <c r="Z272" s="2"/>
      <c r="AA272" s="2"/>
      <c r="AF272" s="2"/>
    </row>
    <row r="273" spans="26:32" x14ac:dyDescent="0.2">
      <c r="Z273" s="2"/>
      <c r="AA273" s="2"/>
      <c r="AF273" s="2"/>
    </row>
    <row r="274" spans="26:32" x14ac:dyDescent="0.2">
      <c r="Z274" s="2"/>
      <c r="AA274" s="2"/>
      <c r="AF274" s="2"/>
    </row>
    <row r="275" spans="26:32" x14ac:dyDescent="0.2">
      <c r="Z275" s="2"/>
      <c r="AA275" s="2"/>
      <c r="AF275" s="2"/>
    </row>
    <row r="276" spans="26:32" x14ac:dyDescent="0.2">
      <c r="Z276" s="2"/>
      <c r="AA276" s="2"/>
      <c r="AF276" s="2"/>
    </row>
    <row r="277" spans="26:32" x14ac:dyDescent="0.2">
      <c r="Z277" s="2"/>
      <c r="AA277" s="2"/>
      <c r="AF277" s="2"/>
    </row>
    <row r="278" spans="26:32" x14ac:dyDescent="0.2">
      <c r="Z278" s="2"/>
      <c r="AA278" s="2"/>
      <c r="AF278" s="2"/>
    </row>
    <row r="279" spans="26:32" x14ac:dyDescent="0.2">
      <c r="Z279" s="2"/>
      <c r="AA279" s="2"/>
      <c r="AF279" s="2"/>
    </row>
    <row r="280" spans="26:32" x14ac:dyDescent="0.2">
      <c r="Z280" s="2"/>
      <c r="AA280" s="2"/>
      <c r="AF280" s="2"/>
    </row>
    <row r="281" spans="26:32" x14ac:dyDescent="0.2">
      <c r="Z281" s="2"/>
      <c r="AA281" s="2"/>
      <c r="AF281" s="2"/>
    </row>
    <row r="282" spans="26:32" x14ac:dyDescent="0.2">
      <c r="Z282" s="2"/>
      <c r="AA282" s="2"/>
      <c r="AF282" s="2"/>
    </row>
    <row r="283" spans="26:32" x14ac:dyDescent="0.2">
      <c r="Z283" s="2"/>
      <c r="AA283" s="2"/>
      <c r="AF283" s="2"/>
    </row>
    <row r="284" spans="26:32" x14ac:dyDescent="0.2">
      <c r="Z284" s="2"/>
      <c r="AA284" s="2"/>
      <c r="AF284" s="2"/>
    </row>
    <row r="285" spans="26:32" x14ac:dyDescent="0.2">
      <c r="Z285" s="2"/>
      <c r="AA285" s="2"/>
      <c r="AF285" s="2"/>
    </row>
    <row r="286" spans="26:32" x14ac:dyDescent="0.2">
      <c r="Z286" s="2"/>
      <c r="AA286" s="2"/>
      <c r="AF286" s="2"/>
    </row>
    <row r="287" spans="26:32" x14ac:dyDescent="0.2">
      <c r="Z287" s="2"/>
      <c r="AA287" s="2"/>
      <c r="AF287" s="2"/>
    </row>
    <row r="288" spans="26:32" x14ac:dyDescent="0.2">
      <c r="Z288" s="2"/>
      <c r="AA288" s="2"/>
      <c r="AF288" s="2"/>
    </row>
    <row r="289" spans="26:32" x14ac:dyDescent="0.2">
      <c r="Z289" s="2"/>
      <c r="AA289" s="2"/>
      <c r="AF289" s="2"/>
    </row>
    <row r="290" spans="26:32" x14ac:dyDescent="0.2">
      <c r="Z290" s="2"/>
      <c r="AA290" s="2"/>
      <c r="AF290" s="2"/>
    </row>
    <row r="291" spans="26:32" x14ac:dyDescent="0.2">
      <c r="Z291" s="2"/>
      <c r="AA291" s="2"/>
      <c r="AF291" s="2"/>
    </row>
    <row r="292" spans="26:32" x14ac:dyDescent="0.2">
      <c r="Z292" s="2"/>
      <c r="AA292" s="2"/>
      <c r="AF292" s="2"/>
    </row>
    <row r="293" spans="26:32" x14ac:dyDescent="0.2">
      <c r="Z293" s="2"/>
      <c r="AA293" s="2"/>
      <c r="AF293" s="2"/>
    </row>
    <row r="294" spans="26:32" x14ac:dyDescent="0.2">
      <c r="Z294" s="2"/>
      <c r="AA294" s="2"/>
      <c r="AF294" s="2"/>
    </row>
    <row r="295" spans="26:32" x14ac:dyDescent="0.2">
      <c r="Z295" s="2"/>
      <c r="AA295" s="2"/>
      <c r="AF295" s="2"/>
    </row>
    <row r="296" spans="26:32" x14ac:dyDescent="0.2">
      <c r="Z296" s="2"/>
      <c r="AA296" s="2"/>
      <c r="AF296" s="2"/>
    </row>
    <row r="297" spans="26:32" x14ac:dyDescent="0.2">
      <c r="Z297" s="2"/>
      <c r="AA297" s="2"/>
      <c r="AF297" s="2"/>
    </row>
    <row r="298" spans="26:32" x14ac:dyDescent="0.2">
      <c r="Z298" s="2"/>
      <c r="AA298" s="2"/>
      <c r="AF298" s="2"/>
    </row>
  </sheetData>
  <hyperlinks>
    <hyperlink ref="M2" r:id="rId1" display="https://doi.org/10.1063/1.4825256" xr:uid="{91595716-A2E0-4BC0-8B93-ACAC8CC75134}"/>
    <hyperlink ref="M10" r:id="rId2" tooltip="Persistent link using digital object identifier" display="https://doi.org/10.1016/0022-5088(86)90046-9" xr:uid="{E92248BE-7DCB-4ABD-8A30-6B627058940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X298"/>
  <sheetViews>
    <sheetView workbookViewId="0">
      <selection activeCell="I123" sqref="I123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4" width="14" style="1" customWidth="1"/>
    <col min="25" max="16384" width="9.140625" style="1"/>
  </cols>
  <sheetData>
    <row r="1" spans="1:24" s="8" customFormat="1" ht="13.5" customHeight="1" x14ac:dyDescent="0.2">
      <c r="A1" s="5" t="s">
        <v>322</v>
      </c>
      <c r="B1" s="5" t="s">
        <v>321</v>
      </c>
      <c r="C1" s="5" t="s">
        <v>329</v>
      </c>
      <c r="D1" s="5" t="s">
        <v>330</v>
      </c>
      <c r="E1" s="5" t="s">
        <v>318</v>
      </c>
      <c r="F1" s="12" t="s">
        <v>312</v>
      </c>
      <c r="G1" s="12" t="s">
        <v>313</v>
      </c>
      <c r="H1" s="12" t="s">
        <v>314</v>
      </c>
      <c r="I1" s="5" t="s">
        <v>331</v>
      </c>
      <c r="J1" s="3" t="s">
        <v>328</v>
      </c>
      <c r="K1" s="3" t="s">
        <v>350</v>
      </c>
      <c r="L1" s="3" t="s">
        <v>355</v>
      </c>
      <c r="M1" s="3" t="s">
        <v>346</v>
      </c>
      <c r="N1" s="3" t="s">
        <v>420</v>
      </c>
      <c r="O1" s="3" t="s">
        <v>421</v>
      </c>
      <c r="P1" s="3" t="s">
        <v>428</v>
      </c>
      <c r="Q1" s="5" t="s">
        <v>347</v>
      </c>
      <c r="R1" s="5" t="s">
        <v>419</v>
      </c>
      <c r="S1" s="6" t="s">
        <v>354</v>
      </c>
      <c r="T1" s="5" t="str">
        <f>"bv"&amp;"e"</f>
        <v>bve</v>
      </c>
      <c r="U1" s="5" t="s">
        <v>457</v>
      </c>
      <c r="V1" s="5" t="s">
        <v>319</v>
      </c>
      <c r="W1" s="5" t="s">
        <v>349</v>
      </c>
      <c r="X1" s="5" t="s">
        <v>320</v>
      </c>
    </row>
    <row r="2" spans="1:24" x14ac:dyDescent="0.2">
      <c r="A2" s="2">
        <v>1</v>
      </c>
      <c r="B2" s="2" t="s">
        <v>323</v>
      </c>
      <c r="C2" s="2" t="s">
        <v>0</v>
      </c>
      <c r="D2" s="2" t="s">
        <v>1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326</v>
      </c>
      <c r="J2" s="2" t="s">
        <v>0</v>
      </c>
      <c r="K2" s="2">
        <v>1977</v>
      </c>
      <c r="L2" s="2" t="s">
        <v>368</v>
      </c>
      <c r="M2" s="2"/>
      <c r="N2" s="2"/>
      <c r="O2" s="2"/>
      <c r="P2" s="2"/>
      <c r="Q2" s="2"/>
      <c r="R2" s="2"/>
      <c r="S2" s="9"/>
      <c r="T2" s="7" t="s">
        <v>304</v>
      </c>
      <c r="U2" s="7"/>
      <c r="V2" s="2"/>
      <c r="W2" s="2"/>
      <c r="X2" s="2"/>
    </row>
    <row r="3" spans="1:24" x14ac:dyDescent="0.2">
      <c r="A3" s="2">
        <v>2</v>
      </c>
      <c r="B3" s="2" t="s">
        <v>315</v>
      </c>
      <c r="C3" s="2" t="s">
        <v>5</v>
      </c>
      <c r="D3" s="2" t="s">
        <v>2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326</v>
      </c>
      <c r="J3" s="2" t="s">
        <v>5</v>
      </c>
      <c r="K3" s="2">
        <v>100</v>
      </c>
      <c r="L3" s="2" t="s">
        <v>404</v>
      </c>
      <c r="M3" s="2"/>
      <c r="N3" s="2"/>
      <c r="O3" s="2"/>
      <c r="P3" s="2"/>
      <c r="Q3" s="2"/>
      <c r="R3" s="2"/>
      <c r="S3" s="9"/>
      <c r="T3" s="7" t="s">
        <v>304</v>
      </c>
      <c r="U3" s="7"/>
      <c r="V3" s="2"/>
      <c r="W3" s="2"/>
      <c r="X3" s="2"/>
    </row>
    <row r="4" spans="1:24" x14ac:dyDescent="0.2">
      <c r="A4" s="2">
        <v>3</v>
      </c>
      <c r="B4" s="2" t="s">
        <v>316</v>
      </c>
      <c r="C4" s="2" t="s">
        <v>4</v>
      </c>
      <c r="D4" s="2" t="s">
        <v>5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326</v>
      </c>
      <c r="J4" s="2" t="s">
        <v>4</v>
      </c>
      <c r="K4" s="2"/>
      <c r="L4" s="2"/>
      <c r="M4" s="2"/>
      <c r="N4" s="2"/>
      <c r="O4" s="2"/>
      <c r="P4" s="2"/>
      <c r="Q4" s="2"/>
      <c r="R4" s="2"/>
      <c r="S4" s="9"/>
      <c r="T4" s="7" t="s">
        <v>304</v>
      </c>
      <c r="U4" s="7"/>
      <c r="V4" s="2"/>
      <c r="W4" s="2"/>
      <c r="X4" s="2"/>
    </row>
    <row r="5" spans="1:24" x14ac:dyDescent="0.2">
      <c r="A5" s="2">
        <v>4</v>
      </c>
      <c r="B5" s="2" t="s">
        <v>317</v>
      </c>
      <c r="C5" s="2" t="s">
        <v>5</v>
      </c>
      <c r="D5" s="2" t="s">
        <v>3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326</v>
      </c>
      <c r="J5" s="2" t="s">
        <v>2</v>
      </c>
      <c r="K5" s="2">
        <v>200</v>
      </c>
      <c r="L5" s="2" t="s">
        <v>404</v>
      </c>
      <c r="M5" s="2">
        <v>60</v>
      </c>
      <c r="N5" s="2">
        <v>112.5</v>
      </c>
      <c r="O5" s="2">
        <v>191.3</v>
      </c>
      <c r="P5" s="2" t="s">
        <v>304</v>
      </c>
      <c r="Q5" s="2" t="s">
        <v>304</v>
      </c>
      <c r="R5" s="2" t="s">
        <v>423</v>
      </c>
      <c r="S5" s="2" t="s">
        <v>422</v>
      </c>
      <c r="T5" s="7" t="s">
        <v>304</v>
      </c>
      <c r="U5" s="7"/>
      <c r="V5" s="2"/>
      <c r="W5" s="2"/>
      <c r="X5" s="2"/>
    </row>
    <row r="6" spans="1:24" x14ac:dyDescent="0.2">
      <c r="A6" s="2">
        <v>5</v>
      </c>
      <c r="B6" s="2" t="s">
        <v>332</v>
      </c>
      <c r="C6" s="2" t="s">
        <v>4</v>
      </c>
      <c r="D6" s="2" t="s">
        <v>2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326</v>
      </c>
      <c r="J6" s="2" t="s">
        <v>6</v>
      </c>
      <c r="K6" s="2">
        <v>2053</v>
      </c>
      <c r="L6" s="2" t="s">
        <v>361</v>
      </c>
      <c r="M6" s="2"/>
      <c r="N6" s="2"/>
      <c r="O6" s="2"/>
      <c r="P6" s="2"/>
      <c r="Q6" s="2"/>
      <c r="R6" s="2"/>
      <c r="S6" s="9"/>
      <c r="T6" s="7">
        <v>4.2680875</v>
      </c>
      <c r="U6" s="7"/>
      <c r="V6" s="2">
        <v>100</v>
      </c>
      <c r="W6" s="2"/>
      <c r="X6" s="2">
        <v>6.57</v>
      </c>
    </row>
    <row r="7" spans="1:24" x14ac:dyDescent="0.2">
      <c r="A7" s="2">
        <v>6</v>
      </c>
      <c r="B7" s="2" t="s">
        <v>324</v>
      </c>
      <c r="C7" s="2" t="s">
        <v>2</v>
      </c>
      <c r="D7" s="2" t="s">
        <v>3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326</v>
      </c>
      <c r="J7" s="2" t="s">
        <v>10</v>
      </c>
      <c r="K7" s="2">
        <v>315</v>
      </c>
      <c r="L7" s="9" t="s">
        <v>369</v>
      </c>
      <c r="M7" s="2"/>
      <c r="N7" s="2"/>
      <c r="O7" s="2"/>
      <c r="P7" s="2"/>
      <c r="Q7" s="2"/>
      <c r="R7" s="2"/>
      <c r="S7" s="9"/>
      <c r="T7" s="7" t="s">
        <v>304</v>
      </c>
      <c r="U7" s="7"/>
      <c r="V7" s="2"/>
      <c r="W7" s="2"/>
      <c r="X7" s="2"/>
    </row>
    <row r="8" spans="1:24" x14ac:dyDescent="0.2">
      <c r="A8" s="2">
        <v>7</v>
      </c>
      <c r="B8" s="2" t="s">
        <v>353</v>
      </c>
      <c r="C8" s="2" t="s">
        <v>4</v>
      </c>
      <c r="D8" s="2" t="s">
        <v>3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326</v>
      </c>
      <c r="J8" s="19" t="s">
        <v>8</v>
      </c>
      <c r="K8" s="20">
        <v>312</v>
      </c>
      <c r="L8" s="2" t="s">
        <v>369</v>
      </c>
      <c r="M8" s="2"/>
      <c r="N8" s="2"/>
      <c r="O8" s="2"/>
      <c r="P8" s="2"/>
      <c r="Q8" s="2"/>
      <c r="R8" s="2"/>
      <c r="S8" s="9"/>
      <c r="T8" s="7" t="s">
        <v>304</v>
      </c>
      <c r="U8" s="7"/>
      <c r="V8" s="13" t="s">
        <v>337</v>
      </c>
      <c r="W8" s="13"/>
      <c r="X8" s="2">
        <v>1.1299999999999999</v>
      </c>
    </row>
    <row r="9" spans="1:24" x14ac:dyDescent="0.2">
      <c r="A9" s="2">
        <v>8</v>
      </c>
      <c r="B9" s="2" t="s">
        <v>351</v>
      </c>
      <c r="C9" s="2" t="s">
        <v>6</v>
      </c>
      <c r="D9" s="2" t="s">
        <v>7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326</v>
      </c>
      <c r="J9" s="2" t="s">
        <v>11</v>
      </c>
      <c r="K9" s="2">
        <v>150</v>
      </c>
      <c r="L9" s="2" t="s">
        <v>380</v>
      </c>
      <c r="M9" s="2"/>
      <c r="N9" s="2"/>
      <c r="O9" s="2"/>
      <c r="P9" s="2"/>
      <c r="Q9" s="2"/>
      <c r="R9" s="2"/>
      <c r="S9" s="9"/>
      <c r="T9" s="7" t="s">
        <v>304</v>
      </c>
      <c r="U9" s="7"/>
      <c r="V9" s="2"/>
      <c r="W9" s="2"/>
      <c r="X9" s="2"/>
    </row>
    <row r="10" spans="1:24" x14ac:dyDescent="0.2">
      <c r="A10" s="2">
        <v>9</v>
      </c>
      <c r="B10" s="2" t="s">
        <v>352</v>
      </c>
      <c r="C10" s="2" t="s">
        <v>10</v>
      </c>
      <c r="D10" s="2" t="s">
        <v>8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326</v>
      </c>
      <c r="J10" s="2" t="s">
        <v>13</v>
      </c>
      <c r="K10" s="2">
        <v>450</v>
      </c>
      <c r="L10" s="2" t="s">
        <v>362</v>
      </c>
      <c r="M10" s="2"/>
      <c r="N10" s="2"/>
      <c r="O10" s="2"/>
      <c r="P10" s="2"/>
      <c r="Q10" s="2"/>
      <c r="R10" s="2"/>
      <c r="S10" s="9"/>
      <c r="T10" s="7" t="s">
        <v>304</v>
      </c>
      <c r="U10" s="7"/>
      <c r="V10" s="2"/>
      <c r="W10" s="2"/>
      <c r="X10" s="2"/>
    </row>
    <row r="11" spans="1:24" x14ac:dyDescent="0.2">
      <c r="A11" s="2">
        <v>10</v>
      </c>
      <c r="B11" s="2" t="s">
        <v>348</v>
      </c>
      <c r="C11" s="2" t="s">
        <v>10</v>
      </c>
      <c r="D11" s="2" t="s">
        <v>9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326</v>
      </c>
      <c r="J11" s="2" t="s">
        <v>14</v>
      </c>
      <c r="K11" s="2">
        <v>2000</v>
      </c>
      <c r="L11" s="2" t="s">
        <v>356</v>
      </c>
      <c r="M11" s="2"/>
      <c r="N11" s="2"/>
      <c r="O11" s="2"/>
      <c r="P11" s="2"/>
      <c r="Q11" s="2"/>
      <c r="R11" s="2"/>
      <c r="S11" s="9"/>
      <c r="T11" s="7" t="s">
        <v>304</v>
      </c>
      <c r="U11" s="7"/>
      <c r="V11" s="2"/>
      <c r="W11" s="2"/>
      <c r="X11" s="2"/>
    </row>
    <row r="12" spans="1:24" x14ac:dyDescent="0.2">
      <c r="A12" s="2">
        <v>11</v>
      </c>
      <c r="B12" s="2" t="s">
        <v>325</v>
      </c>
      <c r="C12" s="2" t="s">
        <v>8</v>
      </c>
      <c r="D12" s="2" t="s">
        <v>9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327</v>
      </c>
      <c r="J12" s="19" t="s">
        <v>18</v>
      </c>
      <c r="K12" s="20">
        <v>450</v>
      </c>
      <c r="L12" s="9" t="s">
        <v>370</v>
      </c>
      <c r="M12" s="2"/>
      <c r="N12" s="2"/>
      <c r="O12" s="2"/>
      <c r="P12" s="2"/>
      <c r="Q12" s="2"/>
      <c r="R12" s="2"/>
      <c r="S12" s="9"/>
      <c r="T12" s="7" t="s">
        <v>304</v>
      </c>
      <c r="U12" s="7"/>
      <c r="V12" s="2"/>
      <c r="W12" s="2"/>
      <c r="X12" s="2"/>
    </row>
    <row r="13" spans="1:24" x14ac:dyDescent="0.2">
      <c r="B13" s="2" t="s">
        <v>338</v>
      </c>
      <c r="C13" s="2" t="s">
        <v>11</v>
      </c>
      <c r="D13" s="2" t="s">
        <v>12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326</v>
      </c>
      <c r="J13" s="2" t="s">
        <v>16</v>
      </c>
      <c r="K13" s="2">
        <v>1972</v>
      </c>
      <c r="L13" s="9" t="s">
        <v>362</v>
      </c>
      <c r="M13" s="2"/>
      <c r="N13" s="2"/>
      <c r="O13" s="2"/>
      <c r="P13" s="2"/>
      <c r="Q13" s="2"/>
      <c r="R13" s="2"/>
      <c r="S13" s="9"/>
      <c r="T13" s="7" t="s">
        <v>304</v>
      </c>
      <c r="U13" s="7"/>
      <c r="V13" s="2">
        <v>100</v>
      </c>
      <c r="W13" s="2"/>
      <c r="X13" s="2">
        <v>5.09</v>
      </c>
    </row>
    <row r="14" spans="1:24" x14ac:dyDescent="0.2">
      <c r="B14" s="2"/>
      <c r="C14" s="2" t="s">
        <v>13</v>
      </c>
      <c r="D14" s="2" t="s">
        <v>14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326</v>
      </c>
      <c r="J14" s="2" t="s">
        <v>19</v>
      </c>
      <c r="K14" s="2">
        <v>2577</v>
      </c>
      <c r="L14" s="9" t="s">
        <v>362</v>
      </c>
      <c r="M14" s="2"/>
      <c r="N14" s="2"/>
      <c r="O14" s="2"/>
      <c r="P14" s="2"/>
      <c r="Q14" s="2"/>
      <c r="R14" s="2"/>
      <c r="S14" s="9"/>
      <c r="T14" s="7" t="s">
        <v>304</v>
      </c>
      <c r="U14" s="7"/>
      <c r="V14" s="2">
        <v>100</v>
      </c>
      <c r="W14" s="2"/>
      <c r="X14" s="2">
        <v>7.18</v>
      </c>
    </row>
    <row r="15" spans="1:24" x14ac:dyDescent="0.2">
      <c r="B15" s="2"/>
      <c r="C15" s="2" t="s">
        <v>13</v>
      </c>
      <c r="D15" s="2" t="s">
        <v>15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326</v>
      </c>
      <c r="J15" s="16" t="s">
        <v>23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304</v>
      </c>
      <c r="U15" s="7"/>
      <c r="V15" s="2"/>
      <c r="W15" s="2"/>
      <c r="X15" s="2"/>
    </row>
    <row r="16" spans="1:24" x14ac:dyDescent="0.2">
      <c r="A16" s="2" t="s">
        <v>334</v>
      </c>
      <c r="B16" s="2"/>
      <c r="C16" s="2" t="s">
        <v>14</v>
      </c>
      <c r="D16" s="2" t="s">
        <v>15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326</v>
      </c>
      <c r="J16" s="2" t="s">
        <v>24</v>
      </c>
      <c r="K16" s="2">
        <v>305</v>
      </c>
      <c r="L16" s="2" t="s">
        <v>371</v>
      </c>
      <c r="M16" s="2"/>
      <c r="N16" s="2"/>
      <c r="O16" s="2"/>
      <c r="P16" s="2"/>
      <c r="Q16" s="2"/>
      <c r="R16" s="2"/>
      <c r="S16" s="9"/>
      <c r="T16" s="7" t="s">
        <v>304</v>
      </c>
      <c r="U16" s="7"/>
      <c r="V16" s="2"/>
      <c r="W16" s="2"/>
      <c r="X16" s="2"/>
    </row>
    <row r="17" spans="2:24" x14ac:dyDescent="0.2">
      <c r="B17" s="2" t="str">
        <f>"bv"&amp;"e"</f>
        <v>bve</v>
      </c>
      <c r="C17" s="2" t="s">
        <v>18</v>
      </c>
      <c r="D17" s="2" t="s">
        <v>16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326</v>
      </c>
      <c r="J17" s="15" t="s">
        <v>21</v>
      </c>
      <c r="K17" s="2">
        <v>817</v>
      </c>
      <c r="L17" s="2" t="s">
        <v>371</v>
      </c>
      <c r="M17" s="2">
        <v>277</v>
      </c>
      <c r="N17" s="2">
        <v>477</v>
      </c>
      <c r="O17" s="2" t="s">
        <v>304</v>
      </c>
      <c r="P17" s="2" t="s">
        <v>304</v>
      </c>
      <c r="Q17" s="2" t="s">
        <v>441</v>
      </c>
      <c r="R17" s="2"/>
      <c r="S17" s="10" t="s">
        <v>442</v>
      </c>
      <c r="T17" s="7" t="s">
        <v>304</v>
      </c>
      <c r="U17" s="7"/>
      <c r="V17" s="13" t="s">
        <v>337</v>
      </c>
      <c r="W17" s="13"/>
      <c r="X17" s="2">
        <v>3.12</v>
      </c>
    </row>
    <row r="18" spans="2:24" x14ac:dyDescent="0.2">
      <c r="B18" s="2" t="s">
        <v>333</v>
      </c>
      <c r="C18" s="2" t="s">
        <v>18</v>
      </c>
      <c r="D18" s="2" t="s">
        <v>17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327</v>
      </c>
      <c r="J18" s="2" t="s">
        <v>25</v>
      </c>
      <c r="K18" s="2">
        <v>2898</v>
      </c>
      <c r="L18" s="2" t="s">
        <v>362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7"/>
      <c r="V18" s="2">
        <v>100</v>
      </c>
      <c r="W18" s="2"/>
      <c r="X18" s="2">
        <v>6.17</v>
      </c>
    </row>
    <row r="19" spans="2:24" ht="25.5" x14ac:dyDescent="0.2">
      <c r="B19" s="137" t="s">
        <v>335</v>
      </c>
      <c r="C19" s="2" t="s">
        <v>16</v>
      </c>
      <c r="D19" s="2" t="s">
        <v>17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326</v>
      </c>
      <c r="J19" s="15" t="s">
        <v>27</v>
      </c>
      <c r="K19" s="2">
        <v>1430</v>
      </c>
      <c r="L19" s="9" t="s">
        <v>357</v>
      </c>
      <c r="M19" s="2">
        <v>95</v>
      </c>
      <c r="N19" s="2" t="s">
        <v>304</v>
      </c>
      <c r="O19" s="2" t="s">
        <v>304</v>
      </c>
      <c r="P19" s="2" t="s">
        <v>304</v>
      </c>
      <c r="Q19" s="2" t="s">
        <v>343</v>
      </c>
      <c r="R19" s="2" t="s">
        <v>304</v>
      </c>
      <c r="S19" s="9" t="s">
        <v>342</v>
      </c>
      <c r="T19" s="7">
        <v>0.76808749999999826</v>
      </c>
      <c r="U19" s="7"/>
      <c r="V19" s="2">
        <v>100</v>
      </c>
      <c r="W19" s="2"/>
      <c r="X19" s="2">
        <v>2.76</v>
      </c>
    </row>
    <row r="20" spans="2:24" x14ac:dyDescent="0.2">
      <c r="B20" s="137"/>
      <c r="C20" s="2" t="s">
        <v>19</v>
      </c>
      <c r="D20" s="2" t="s">
        <v>20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326</v>
      </c>
      <c r="J20" s="2" t="s">
        <v>35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304</v>
      </c>
      <c r="U20" s="7"/>
      <c r="V20" s="2"/>
      <c r="W20" s="2"/>
      <c r="X20" s="2"/>
    </row>
    <row r="21" spans="2:24" x14ac:dyDescent="0.2">
      <c r="B21" s="137"/>
      <c r="C21" s="2" t="s">
        <v>23</v>
      </c>
      <c r="D21" s="2" t="s">
        <v>21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326</v>
      </c>
      <c r="J21" s="2" t="s">
        <v>36</v>
      </c>
      <c r="K21" s="2">
        <v>2400</v>
      </c>
      <c r="L21" s="2" t="s">
        <v>372</v>
      </c>
      <c r="M21" s="2">
        <v>327</v>
      </c>
      <c r="N21" s="2">
        <v>527</v>
      </c>
      <c r="O21" s="2">
        <v>827</v>
      </c>
      <c r="P21" s="2" t="s">
        <v>304</v>
      </c>
      <c r="Q21" s="2" t="s">
        <v>443</v>
      </c>
      <c r="R21" s="2" t="s">
        <v>423</v>
      </c>
      <c r="S21" s="10" t="s">
        <v>444</v>
      </c>
      <c r="T21" s="7" t="s">
        <v>304</v>
      </c>
      <c r="U21" s="7"/>
      <c r="V21" s="2">
        <v>111</v>
      </c>
      <c r="W21" s="2"/>
      <c r="X21" s="2">
        <v>2.87</v>
      </c>
    </row>
    <row r="22" spans="2:24" x14ac:dyDescent="0.2">
      <c r="B22" s="2"/>
      <c r="C22" s="2" t="s">
        <v>24</v>
      </c>
      <c r="D22" s="2" t="s">
        <v>21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326</v>
      </c>
      <c r="J22" s="2" t="s">
        <v>29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304</v>
      </c>
      <c r="U22" s="7"/>
      <c r="V22" s="2"/>
      <c r="W22" s="2"/>
      <c r="X22" s="2"/>
    </row>
    <row r="23" spans="2:24" x14ac:dyDescent="0.2">
      <c r="B23" s="2" t="s">
        <v>320</v>
      </c>
      <c r="C23" s="2" t="s">
        <v>21</v>
      </c>
      <c r="D23" s="2" t="s">
        <v>22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327</v>
      </c>
      <c r="J23" s="2" t="s">
        <v>30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304</v>
      </c>
      <c r="U23" s="7"/>
      <c r="V23" s="2"/>
      <c r="W23" s="2"/>
      <c r="X23" s="2"/>
    </row>
    <row r="24" spans="2:24" x14ac:dyDescent="0.2">
      <c r="B24" s="2" t="s">
        <v>336</v>
      </c>
      <c r="C24" s="2" t="s">
        <v>24</v>
      </c>
      <c r="D24" s="2" t="s">
        <v>23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326</v>
      </c>
      <c r="J24" s="2" t="s">
        <v>31</v>
      </c>
      <c r="K24" s="2">
        <v>2210</v>
      </c>
      <c r="L24" s="2" t="s">
        <v>372</v>
      </c>
      <c r="M24" s="2"/>
      <c r="N24" s="2"/>
      <c r="O24" s="2"/>
      <c r="P24" s="2"/>
      <c r="Q24" s="2"/>
      <c r="R24" s="2"/>
      <c r="S24" s="9"/>
      <c r="T24" s="7" t="s">
        <v>304</v>
      </c>
      <c r="U24" s="7"/>
      <c r="V24" s="2"/>
      <c r="W24" s="2"/>
      <c r="X24" s="2"/>
    </row>
    <row r="25" spans="2:24" x14ac:dyDescent="0.2">
      <c r="B25" s="2"/>
      <c r="C25" s="2" t="s">
        <v>23</v>
      </c>
      <c r="D25" s="2" t="s">
        <v>22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327</v>
      </c>
      <c r="J25" s="2" t="s">
        <v>33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304</v>
      </c>
      <c r="U25" s="7"/>
      <c r="V25" s="2"/>
      <c r="W25" s="2"/>
      <c r="X25" s="2"/>
    </row>
    <row r="26" spans="2:24" x14ac:dyDescent="0.2">
      <c r="B26" s="2"/>
      <c r="C26" s="2" t="s">
        <v>24</v>
      </c>
      <c r="D26" s="2" t="s">
        <v>22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326</v>
      </c>
      <c r="J26" s="2" t="s">
        <v>32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304</v>
      </c>
      <c r="U26" s="7"/>
      <c r="V26" s="2"/>
      <c r="W26" s="2"/>
      <c r="X26" s="2"/>
    </row>
    <row r="27" spans="2:24" x14ac:dyDescent="0.2">
      <c r="B27" s="2"/>
      <c r="C27" s="2" t="s">
        <v>25</v>
      </c>
      <c r="D27" s="2" t="s">
        <v>26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326</v>
      </c>
      <c r="J27" s="2" t="s">
        <v>40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304</v>
      </c>
      <c r="U27" s="7"/>
      <c r="V27" s="2"/>
      <c r="W27" s="2"/>
      <c r="X27" s="2"/>
    </row>
    <row r="28" spans="2:24" x14ac:dyDescent="0.2">
      <c r="B28" s="2"/>
      <c r="C28" s="2" t="s">
        <v>27</v>
      </c>
      <c r="D28" s="2" t="s">
        <v>28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327</v>
      </c>
      <c r="J28" s="15" t="s">
        <v>37</v>
      </c>
      <c r="K28" s="2">
        <v>900</v>
      </c>
      <c r="L28" s="2" t="s">
        <v>375</v>
      </c>
      <c r="M28" s="2"/>
      <c r="N28" s="2"/>
      <c r="O28" s="2"/>
      <c r="P28" s="2"/>
      <c r="Q28" s="2"/>
      <c r="R28" s="2"/>
      <c r="S28" s="9"/>
      <c r="T28" s="7" t="s">
        <v>304</v>
      </c>
      <c r="U28" s="7"/>
      <c r="V28" s="2"/>
      <c r="W28" s="2"/>
      <c r="X28" s="2"/>
    </row>
    <row r="29" spans="2:24" x14ac:dyDescent="0.2">
      <c r="B29" s="2"/>
      <c r="C29" s="2" t="s">
        <v>35</v>
      </c>
      <c r="D29" s="2" t="s">
        <v>30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326</v>
      </c>
      <c r="J29" s="15" t="s">
        <v>38</v>
      </c>
      <c r="K29" s="2">
        <v>1830</v>
      </c>
      <c r="L29" s="2" t="s">
        <v>374</v>
      </c>
      <c r="M29" s="2">
        <v>364</v>
      </c>
      <c r="N29" s="2" t="s">
        <v>304</v>
      </c>
      <c r="O29" s="2" t="s">
        <v>304</v>
      </c>
      <c r="P29" s="2" t="s">
        <v>304</v>
      </c>
      <c r="Q29" s="2" t="s">
        <v>425</v>
      </c>
      <c r="R29" s="2" t="s">
        <v>424</v>
      </c>
      <c r="S29" s="9" t="s">
        <v>344</v>
      </c>
      <c r="T29" s="7">
        <v>1.268087499999998</v>
      </c>
      <c r="U29" s="7"/>
      <c r="V29" s="2"/>
      <c r="W29" s="2"/>
      <c r="X29" s="2"/>
    </row>
    <row r="30" spans="2:24" x14ac:dyDescent="0.2">
      <c r="B30" s="2"/>
      <c r="C30" s="2" t="s">
        <v>35</v>
      </c>
      <c r="D30" s="2" t="s">
        <v>29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326</v>
      </c>
      <c r="J30" s="19" t="s">
        <v>43</v>
      </c>
      <c r="K30" s="20">
        <v>300</v>
      </c>
      <c r="L30" s="2"/>
      <c r="M30" s="2"/>
      <c r="N30" s="2"/>
      <c r="O30" s="2"/>
      <c r="P30" s="2"/>
      <c r="Q30" s="2"/>
      <c r="R30" s="2"/>
      <c r="S30" s="9"/>
      <c r="T30" s="7" t="s">
        <v>304</v>
      </c>
      <c r="U30" s="7"/>
      <c r="V30" s="2"/>
      <c r="W30" s="2"/>
      <c r="X30" s="2"/>
    </row>
    <row r="31" spans="2:24" ht="25.5" x14ac:dyDescent="0.2">
      <c r="B31" s="2"/>
      <c r="C31" s="2" t="s">
        <v>35</v>
      </c>
      <c r="D31" s="2" t="s">
        <v>31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326</v>
      </c>
      <c r="J31" s="19" t="s">
        <v>44</v>
      </c>
      <c r="K31" s="20">
        <v>400</v>
      </c>
      <c r="L31" s="9" t="s">
        <v>373</v>
      </c>
      <c r="M31" s="2"/>
      <c r="N31" s="2"/>
      <c r="O31" s="2"/>
      <c r="P31" s="2"/>
      <c r="Q31" s="2"/>
      <c r="R31" s="2"/>
      <c r="S31" s="9"/>
      <c r="T31" s="7" t="s">
        <v>304</v>
      </c>
      <c r="U31" s="7"/>
      <c r="V31" s="2"/>
      <c r="W31" s="2"/>
      <c r="X31" s="2"/>
    </row>
    <row r="32" spans="2:24" ht="25.5" x14ac:dyDescent="0.2">
      <c r="B32" s="2"/>
      <c r="C32" s="2" t="s">
        <v>36</v>
      </c>
      <c r="D32" s="2" t="s">
        <v>35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326</v>
      </c>
      <c r="J32" s="2" t="s">
        <v>41</v>
      </c>
      <c r="K32" s="2">
        <v>2329</v>
      </c>
      <c r="L32" s="2" t="s">
        <v>363</v>
      </c>
      <c r="M32" s="2">
        <v>197</v>
      </c>
      <c r="N32" s="2">
        <v>275</v>
      </c>
      <c r="O32" s="2" t="s">
        <v>304</v>
      </c>
      <c r="P32" s="2" t="s">
        <v>304</v>
      </c>
      <c r="Q32" s="2" t="s">
        <v>445</v>
      </c>
      <c r="R32" s="2" t="s">
        <v>423</v>
      </c>
      <c r="S32" s="10" t="s">
        <v>446</v>
      </c>
      <c r="T32" s="7" t="s">
        <v>304</v>
      </c>
      <c r="U32" s="7"/>
      <c r="V32" s="2"/>
      <c r="W32" s="2"/>
      <c r="X32" s="2"/>
    </row>
    <row r="33" spans="2:24" x14ac:dyDescent="0.2">
      <c r="B33" s="2"/>
      <c r="C33" s="2" t="s">
        <v>35</v>
      </c>
      <c r="D33" s="2" t="s">
        <v>32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326</v>
      </c>
      <c r="J33" s="21" t="s">
        <v>49</v>
      </c>
      <c r="K33" s="22">
        <v>590</v>
      </c>
      <c r="L33" s="9" t="s">
        <v>358</v>
      </c>
      <c r="M33" s="2"/>
      <c r="N33" s="2"/>
      <c r="O33" s="2"/>
      <c r="P33" s="2"/>
      <c r="Q33" s="2"/>
      <c r="R33" s="2"/>
      <c r="S33" s="9"/>
      <c r="T33" s="7" t="s">
        <v>304</v>
      </c>
      <c r="U33" s="7"/>
      <c r="V33" s="2"/>
      <c r="W33" s="2"/>
      <c r="X33" s="2"/>
    </row>
    <row r="34" spans="2:24" x14ac:dyDescent="0.2">
      <c r="B34" s="2"/>
      <c r="C34" s="2" t="s">
        <v>35</v>
      </c>
      <c r="D34" s="2" t="s">
        <v>33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326</v>
      </c>
      <c r="J34" s="21" t="s">
        <v>47</v>
      </c>
      <c r="K34" s="22">
        <v>490</v>
      </c>
      <c r="L34" s="9" t="s">
        <v>372</v>
      </c>
      <c r="M34" s="2"/>
      <c r="N34" s="2"/>
      <c r="O34" s="2"/>
      <c r="P34" s="2"/>
      <c r="Q34" s="2"/>
      <c r="R34" s="2"/>
      <c r="S34" s="9"/>
      <c r="T34" s="7" t="s">
        <v>304</v>
      </c>
      <c r="U34" s="7"/>
      <c r="V34" s="2"/>
      <c r="W34" s="2"/>
      <c r="X34" s="2"/>
    </row>
    <row r="35" spans="2:24" x14ac:dyDescent="0.2">
      <c r="B35" s="2"/>
      <c r="C35" s="2" t="s">
        <v>35</v>
      </c>
      <c r="D35" s="2" t="s">
        <v>34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326</v>
      </c>
      <c r="J35" s="2" t="s">
        <v>50</v>
      </c>
      <c r="K35" s="2">
        <v>432</v>
      </c>
      <c r="L35" s="2" t="s">
        <v>372</v>
      </c>
      <c r="M35" s="2"/>
      <c r="N35" s="2"/>
      <c r="O35" s="2"/>
      <c r="P35" s="2"/>
      <c r="Q35" s="2"/>
      <c r="R35" s="2"/>
      <c r="S35" s="9"/>
      <c r="T35" s="7" t="s">
        <v>304</v>
      </c>
      <c r="U35" s="7"/>
      <c r="V35" s="2"/>
      <c r="W35" s="2"/>
      <c r="X35" s="2"/>
    </row>
    <row r="36" spans="2:24" x14ac:dyDescent="0.2">
      <c r="B36" s="2"/>
      <c r="C36" s="2" t="s">
        <v>29</v>
      </c>
      <c r="D36" s="2" t="s">
        <v>30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326</v>
      </c>
      <c r="J36" s="21" t="s">
        <v>48</v>
      </c>
      <c r="K36" s="22">
        <v>164</v>
      </c>
      <c r="L36" s="9" t="s">
        <v>358</v>
      </c>
      <c r="M36" s="2"/>
      <c r="N36" s="2"/>
      <c r="O36" s="2"/>
      <c r="P36" s="2"/>
      <c r="Q36" s="2"/>
      <c r="R36" s="2"/>
      <c r="S36" s="9"/>
      <c r="T36" s="7" t="s">
        <v>304</v>
      </c>
      <c r="U36" s="7"/>
      <c r="V36" s="2"/>
      <c r="W36" s="2"/>
      <c r="X36" s="2"/>
    </row>
    <row r="37" spans="2:24" x14ac:dyDescent="0.2">
      <c r="B37" s="2"/>
      <c r="C37" s="2" t="s">
        <v>30</v>
      </c>
      <c r="D37" s="2" t="s">
        <v>31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326</v>
      </c>
      <c r="J37" s="2" t="s">
        <v>45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304</v>
      </c>
      <c r="U37" s="7"/>
      <c r="V37" s="2"/>
      <c r="W37" s="2"/>
      <c r="X37" s="2"/>
    </row>
    <row r="38" spans="2:24" x14ac:dyDescent="0.2">
      <c r="B38" s="2"/>
      <c r="C38" s="2" t="s">
        <v>36</v>
      </c>
      <c r="D38" s="2" t="s">
        <v>30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326</v>
      </c>
      <c r="J38" s="2" t="s">
        <v>54</v>
      </c>
      <c r="K38" s="2">
        <v>1446</v>
      </c>
      <c r="L38" s="2" t="s">
        <v>364</v>
      </c>
      <c r="M38" s="2">
        <v>280</v>
      </c>
      <c r="N38" s="2">
        <v>244</v>
      </c>
      <c r="O38" s="2" t="s">
        <v>304</v>
      </c>
      <c r="P38" s="2" t="s">
        <v>304</v>
      </c>
      <c r="Q38" s="2" t="s">
        <v>448</v>
      </c>
      <c r="R38" s="2"/>
      <c r="S38" s="14" t="s">
        <v>449</v>
      </c>
      <c r="T38" s="7" t="s">
        <v>304</v>
      </c>
      <c r="U38" s="7"/>
      <c r="V38" s="2"/>
      <c r="W38" s="2"/>
      <c r="X38" s="2"/>
    </row>
    <row r="39" spans="2:24" x14ac:dyDescent="0.2">
      <c r="B39" s="2"/>
      <c r="C39" s="2" t="s">
        <v>30</v>
      </c>
      <c r="D39" s="2" t="s">
        <v>32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326</v>
      </c>
      <c r="J39" s="2" t="s">
        <v>53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304</v>
      </c>
      <c r="U39" s="7"/>
      <c r="V39" s="2"/>
      <c r="W39" s="2"/>
      <c r="X39" s="2"/>
    </row>
    <row r="40" spans="2:24" x14ac:dyDescent="0.2">
      <c r="B40" s="2"/>
      <c r="C40" s="2" t="s">
        <v>30</v>
      </c>
      <c r="D40" s="2" t="s">
        <v>33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326</v>
      </c>
      <c r="J40" s="2" t="s">
        <v>51</v>
      </c>
      <c r="K40" s="2">
        <v>1235</v>
      </c>
      <c r="L40" s="9" t="s">
        <v>376</v>
      </c>
      <c r="M40" s="2">
        <v>200</v>
      </c>
      <c r="N40" s="2">
        <v>255</v>
      </c>
      <c r="O40" s="2" t="s">
        <v>304</v>
      </c>
      <c r="P40" s="2" t="s">
        <v>304</v>
      </c>
      <c r="Q40" s="2" t="s">
        <v>447</v>
      </c>
      <c r="R40" s="2" t="s">
        <v>304</v>
      </c>
      <c r="S40" s="14" t="s">
        <v>449</v>
      </c>
      <c r="T40" s="7">
        <v>1.268087499999998</v>
      </c>
      <c r="U40" s="7"/>
      <c r="V40" s="2">
        <v>111</v>
      </c>
      <c r="W40" s="2"/>
      <c r="X40" s="2">
        <v>2.2799999999999998</v>
      </c>
    </row>
    <row r="41" spans="2:24" x14ac:dyDescent="0.2">
      <c r="B41" s="2"/>
      <c r="C41" s="2" t="s">
        <v>30</v>
      </c>
      <c r="D41" s="2" t="s">
        <v>34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326</v>
      </c>
      <c r="J41" s="2" t="s">
        <v>55</v>
      </c>
      <c r="K41" s="2">
        <v>2228</v>
      </c>
      <c r="L41" s="9" t="s">
        <v>377</v>
      </c>
      <c r="M41" s="2"/>
      <c r="N41" s="2"/>
      <c r="O41" s="2"/>
      <c r="P41" s="2"/>
      <c r="Q41" s="2"/>
      <c r="R41" s="2"/>
      <c r="S41" s="9"/>
      <c r="T41" s="7" t="s">
        <v>304</v>
      </c>
      <c r="U41" s="7"/>
      <c r="V41" s="2"/>
      <c r="W41" s="2"/>
      <c r="X41" s="2"/>
    </row>
    <row r="42" spans="2:24" x14ac:dyDescent="0.2">
      <c r="B42" s="2"/>
      <c r="C42" s="2" t="s">
        <v>29</v>
      </c>
      <c r="D42" s="2" t="s">
        <v>31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326</v>
      </c>
      <c r="J42" s="2" t="s">
        <v>57</v>
      </c>
      <c r="K42" s="2">
        <v>2344</v>
      </c>
      <c r="L42" s="9" t="s">
        <v>377</v>
      </c>
      <c r="M42" s="2"/>
      <c r="N42" s="2"/>
      <c r="O42" s="2"/>
      <c r="P42" s="2"/>
      <c r="Q42" s="2"/>
      <c r="R42" s="2"/>
      <c r="S42" s="9"/>
      <c r="T42" s="7" t="s">
        <v>304</v>
      </c>
      <c r="U42" s="7"/>
      <c r="V42" s="2"/>
      <c r="W42" s="2"/>
      <c r="X42" s="2"/>
    </row>
    <row r="43" spans="2:24" x14ac:dyDescent="0.2">
      <c r="B43" s="2"/>
      <c r="C43" s="2" t="s">
        <v>36</v>
      </c>
      <c r="D43" s="2" t="s">
        <v>29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326</v>
      </c>
      <c r="J43" s="15" t="s">
        <v>59</v>
      </c>
      <c r="K43" s="2">
        <v>2291</v>
      </c>
      <c r="L43" s="9" t="s">
        <v>377</v>
      </c>
      <c r="M43" s="2"/>
      <c r="N43" s="2"/>
      <c r="O43" s="2"/>
      <c r="P43" s="2"/>
      <c r="Q43" s="2"/>
      <c r="R43" s="2"/>
      <c r="S43" s="9"/>
      <c r="T43" s="7" t="s">
        <v>304</v>
      </c>
      <c r="U43" s="7"/>
      <c r="V43" s="2"/>
      <c r="W43" s="2"/>
      <c r="X43" s="2"/>
    </row>
    <row r="44" spans="2:24" x14ac:dyDescent="0.2">
      <c r="B44" s="2"/>
      <c r="C44" s="2" t="s">
        <v>29</v>
      </c>
      <c r="D44" s="2" t="s">
        <v>32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326</v>
      </c>
      <c r="J44" s="2" t="s">
        <v>60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304</v>
      </c>
      <c r="U44" s="7"/>
      <c r="V44" s="2"/>
      <c r="W44" s="2"/>
      <c r="X44" s="2"/>
    </row>
    <row r="45" spans="2:24" x14ac:dyDescent="0.2">
      <c r="B45" s="2"/>
      <c r="C45" s="2" t="s">
        <v>29</v>
      </c>
      <c r="D45" s="2" t="s">
        <v>33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326</v>
      </c>
      <c r="J45" s="15" t="s">
        <v>62</v>
      </c>
      <c r="K45" s="2">
        <v>1565</v>
      </c>
      <c r="L45" s="2" t="s">
        <v>384</v>
      </c>
      <c r="M45" s="2">
        <v>325</v>
      </c>
      <c r="N45" s="2">
        <v>400</v>
      </c>
      <c r="O45" s="2">
        <v>600</v>
      </c>
      <c r="P45" s="2" t="s">
        <v>304</v>
      </c>
      <c r="Q45" s="2" t="s">
        <v>426</v>
      </c>
      <c r="R45" s="2" t="s">
        <v>423</v>
      </c>
      <c r="S45" s="2" t="s">
        <v>427</v>
      </c>
      <c r="T45" s="7" t="s">
        <v>304</v>
      </c>
      <c r="U45" s="7" t="s">
        <v>458</v>
      </c>
      <c r="V45" s="2"/>
      <c r="W45" s="2"/>
      <c r="X45" s="2"/>
    </row>
    <row r="46" spans="2:24" x14ac:dyDescent="0.2">
      <c r="B46" s="2"/>
      <c r="C46" s="2" t="s">
        <v>29</v>
      </c>
      <c r="D46" s="2" t="s">
        <v>34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326</v>
      </c>
      <c r="J46" s="15" t="s">
        <v>63</v>
      </c>
      <c r="K46" s="2">
        <v>1597</v>
      </c>
      <c r="L46" s="2" t="s">
        <v>364</v>
      </c>
      <c r="M46" s="2">
        <v>300</v>
      </c>
      <c r="N46" s="2">
        <v>325</v>
      </c>
      <c r="O46" s="2">
        <v>650</v>
      </c>
      <c r="P46" s="2">
        <v>750</v>
      </c>
      <c r="Q46" s="2" t="s">
        <v>429</v>
      </c>
      <c r="R46" s="2" t="s">
        <v>423</v>
      </c>
      <c r="S46" s="2" t="s">
        <v>430</v>
      </c>
      <c r="T46" s="7" t="s">
        <v>304</v>
      </c>
      <c r="U46" s="7"/>
      <c r="V46" s="2"/>
      <c r="W46" s="2"/>
      <c r="X46" s="2"/>
    </row>
    <row r="47" spans="2:24" x14ac:dyDescent="0.2">
      <c r="B47" s="2"/>
      <c r="C47" s="2" t="s">
        <v>36</v>
      </c>
      <c r="D47" s="2" t="s">
        <v>31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326</v>
      </c>
      <c r="J47" s="15" t="s">
        <v>64</v>
      </c>
      <c r="K47" s="2">
        <v>1377</v>
      </c>
      <c r="L47" s="2" t="s">
        <v>364</v>
      </c>
      <c r="M47" s="2">
        <v>380</v>
      </c>
      <c r="N47" s="2">
        <v>550</v>
      </c>
      <c r="O47" s="2" t="s">
        <v>304</v>
      </c>
      <c r="P47" s="2" t="s">
        <v>304</v>
      </c>
      <c r="Q47" s="2" t="s">
        <v>431</v>
      </c>
      <c r="R47" s="2" t="s">
        <v>423</v>
      </c>
      <c r="S47" s="9" t="s">
        <v>430</v>
      </c>
      <c r="T47" s="7">
        <v>1.768087499999998</v>
      </c>
      <c r="U47" s="7"/>
      <c r="V47" s="2"/>
      <c r="W47" s="2"/>
      <c r="X47" s="2"/>
    </row>
    <row r="48" spans="2:24" x14ac:dyDescent="0.2">
      <c r="B48" s="2"/>
      <c r="C48" s="2" t="s">
        <v>31</v>
      </c>
      <c r="D48" s="2" t="s">
        <v>32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326</v>
      </c>
      <c r="J48" s="2" t="s">
        <v>66</v>
      </c>
      <c r="K48" s="2">
        <v>1806</v>
      </c>
      <c r="L48" s="2" t="s">
        <v>364</v>
      </c>
      <c r="M48" s="2">
        <v>1000</v>
      </c>
      <c r="N48" s="2" t="s">
        <v>304</v>
      </c>
      <c r="O48" s="2" t="s">
        <v>304</v>
      </c>
      <c r="P48" s="2" t="s">
        <v>304</v>
      </c>
      <c r="Q48" s="2" t="s">
        <v>304</v>
      </c>
      <c r="R48" s="2" t="s">
        <v>304</v>
      </c>
      <c r="S48" s="10" t="s">
        <v>418</v>
      </c>
      <c r="T48" s="7">
        <v>1.9680874999999991</v>
      </c>
      <c r="U48" s="7"/>
      <c r="V48" s="2">
        <v>100</v>
      </c>
      <c r="W48" s="2"/>
      <c r="X48" s="2">
        <v>4.38</v>
      </c>
    </row>
    <row r="49" spans="2:24" x14ac:dyDescent="0.2">
      <c r="B49" s="2"/>
      <c r="C49" s="2" t="s">
        <v>33</v>
      </c>
      <c r="D49" s="2" t="s">
        <v>31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326</v>
      </c>
      <c r="J49" s="2" t="s">
        <v>68</v>
      </c>
      <c r="K49" s="2">
        <v>2339</v>
      </c>
      <c r="L49" s="2" t="s">
        <v>378</v>
      </c>
      <c r="M49" s="2"/>
      <c r="N49" s="2"/>
      <c r="O49" s="2"/>
      <c r="P49" s="2"/>
      <c r="Q49" s="2"/>
      <c r="R49" s="2"/>
      <c r="S49" s="9"/>
      <c r="T49" s="7" t="s">
        <v>304</v>
      </c>
      <c r="U49" s="7"/>
      <c r="V49" s="13" t="s">
        <v>339</v>
      </c>
      <c r="W49" s="13"/>
      <c r="X49" s="2">
        <v>6.8</v>
      </c>
    </row>
    <row r="50" spans="2:24" ht="25.5" x14ac:dyDescent="0.2">
      <c r="B50" s="2"/>
      <c r="C50" s="2" t="s">
        <v>31</v>
      </c>
      <c r="D50" s="2" t="s">
        <v>34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326</v>
      </c>
      <c r="J50" s="15" t="s">
        <v>70</v>
      </c>
      <c r="K50" s="2">
        <v>1115</v>
      </c>
      <c r="L50" s="2" t="s">
        <v>379</v>
      </c>
      <c r="M50" s="2">
        <v>327</v>
      </c>
      <c r="N50" s="2" t="s">
        <v>304</v>
      </c>
      <c r="O50" s="2" t="s">
        <v>304</v>
      </c>
      <c r="P50" s="2" t="s">
        <v>304</v>
      </c>
      <c r="Q50" s="2" t="s">
        <v>439</v>
      </c>
      <c r="R50" s="2" t="s">
        <v>423</v>
      </c>
      <c r="S50" s="9" t="s">
        <v>440</v>
      </c>
      <c r="T50" s="7">
        <v>1.568087499999999</v>
      </c>
      <c r="U50" s="7"/>
      <c r="V50" s="2">
        <v>110</v>
      </c>
      <c r="W50" s="2"/>
      <c r="X50" s="2">
        <v>3.38</v>
      </c>
    </row>
    <row r="51" spans="2:24" x14ac:dyDescent="0.2">
      <c r="B51" s="2"/>
      <c r="C51" s="2" t="s">
        <v>36</v>
      </c>
      <c r="D51" s="2" t="s">
        <v>32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326</v>
      </c>
      <c r="J51" s="2" t="s">
        <v>72</v>
      </c>
      <c r="K51" s="2">
        <v>2774</v>
      </c>
      <c r="L51" s="2" t="s">
        <v>379</v>
      </c>
      <c r="M51" s="2"/>
      <c r="N51" s="2"/>
      <c r="O51" s="2"/>
      <c r="P51" s="2"/>
      <c r="Q51" s="2"/>
      <c r="R51" s="2"/>
      <c r="S51" s="9"/>
      <c r="T51" s="7" t="s">
        <v>304</v>
      </c>
      <c r="U51" s="7"/>
      <c r="V51" s="2">
        <v>111</v>
      </c>
      <c r="W51" s="2"/>
      <c r="X51" s="2">
        <v>6.38</v>
      </c>
    </row>
    <row r="52" spans="2:24" x14ac:dyDescent="0.2">
      <c r="B52" s="2"/>
      <c r="C52" s="2" t="s">
        <v>36</v>
      </c>
      <c r="D52" s="2" t="s">
        <v>33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326</v>
      </c>
      <c r="J52" s="2" t="s">
        <v>74</v>
      </c>
      <c r="K52" s="2">
        <v>500</v>
      </c>
      <c r="L52" s="2" t="s">
        <v>390</v>
      </c>
      <c r="M52" s="2"/>
      <c r="N52" s="2"/>
      <c r="O52" s="2"/>
      <c r="P52" s="2"/>
      <c r="Q52" s="2"/>
      <c r="R52" s="2"/>
      <c r="S52" s="9"/>
      <c r="T52" s="7" t="s">
        <v>304</v>
      </c>
      <c r="U52" s="7"/>
      <c r="V52" s="13" t="s">
        <v>337</v>
      </c>
      <c r="W52" s="13"/>
      <c r="X52" s="2">
        <v>1.24</v>
      </c>
    </row>
    <row r="53" spans="2:24" x14ac:dyDescent="0.2">
      <c r="B53" s="2"/>
      <c r="C53" s="2" t="s">
        <v>36</v>
      </c>
      <c r="D53" s="2" t="s">
        <v>34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326</v>
      </c>
      <c r="J53" s="2" t="s">
        <v>76</v>
      </c>
      <c r="K53" s="2">
        <v>2330</v>
      </c>
      <c r="L53" s="2" t="s">
        <v>381</v>
      </c>
      <c r="M53" s="2"/>
      <c r="N53" s="2"/>
      <c r="O53" s="2"/>
      <c r="P53" s="2"/>
      <c r="Q53" s="2"/>
      <c r="R53" s="2"/>
      <c r="S53" s="9"/>
      <c r="T53" s="7" t="s">
        <v>304</v>
      </c>
      <c r="U53" s="7"/>
      <c r="V53" s="2"/>
      <c r="W53" s="2"/>
      <c r="X53" s="2"/>
    </row>
    <row r="54" spans="2:24" x14ac:dyDescent="0.2">
      <c r="B54" s="2"/>
      <c r="C54" s="2" t="s">
        <v>33</v>
      </c>
      <c r="D54" s="2" t="s">
        <v>32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326</v>
      </c>
      <c r="J54" s="2" t="s">
        <v>78</v>
      </c>
      <c r="K54" s="2">
        <v>300</v>
      </c>
      <c r="L54" s="2" t="s">
        <v>382</v>
      </c>
      <c r="M54" s="2"/>
      <c r="N54" s="2"/>
      <c r="O54" s="2"/>
      <c r="P54" s="2"/>
      <c r="Q54" s="2"/>
      <c r="R54" s="2"/>
      <c r="S54" s="9"/>
      <c r="T54" s="7" t="s">
        <v>304</v>
      </c>
      <c r="U54" s="7"/>
      <c r="V54" s="2"/>
      <c r="W54" s="2"/>
      <c r="X54" s="2"/>
    </row>
    <row r="55" spans="2:24" x14ac:dyDescent="0.2">
      <c r="B55" s="2"/>
      <c r="C55" s="2" t="s">
        <v>32</v>
      </c>
      <c r="D55" s="2" t="s">
        <v>34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326</v>
      </c>
      <c r="J55" s="15" t="s">
        <v>80</v>
      </c>
      <c r="K55" s="2">
        <v>1912</v>
      </c>
      <c r="L55" s="2" t="s">
        <v>365</v>
      </c>
      <c r="M55" s="2"/>
      <c r="N55" s="2"/>
      <c r="O55" s="2"/>
      <c r="P55" s="2"/>
      <c r="Q55" s="2"/>
      <c r="R55" s="2"/>
      <c r="S55" s="9"/>
      <c r="T55" s="7" t="s">
        <v>304</v>
      </c>
      <c r="U55" s="7"/>
      <c r="V55" s="2">
        <v>111</v>
      </c>
      <c r="W55" s="2"/>
      <c r="X55" s="2">
        <v>2.4</v>
      </c>
    </row>
    <row r="56" spans="2:24" x14ac:dyDescent="0.2">
      <c r="B56" s="2"/>
      <c r="C56" s="2" t="s">
        <v>33</v>
      </c>
      <c r="D56" s="2" t="s">
        <v>34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326</v>
      </c>
      <c r="J56" s="2" t="s">
        <v>84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304</v>
      </c>
      <c r="U56" s="7"/>
      <c r="V56" s="2"/>
      <c r="W56" s="2"/>
      <c r="X56" s="2"/>
    </row>
    <row r="57" spans="2:24" x14ac:dyDescent="0.2">
      <c r="B57" s="2"/>
      <c r="C57" s="2" t="s">
        <v>40</v>
      </c>
      <c r="D57" s="2" t="s">
        <v>37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326</v>
      </c>
      <c r="J57" s="2" t="s">
        <v>82</v>
      </c>
      <c r="K57" s="2">
        <v>1100</v>
      </c>
      <c r="L57" s="2" t="s">
        <v>383</v>
      </c>
      <c r="M57" s="2"/>
      <c r="N57" s="2"/>
      <c r="O57" s="2"/>
      <c r="P57" s="2"/>
      <c r="Q57" s="2"/>
      <c r="R57" s="2"/>
      <c r="S57" s="9"/>
      <c r="T57" s="7" t="s">
        <v>304</v>
      </c>
      <c r="U57" s="7"/>
      <c r="V57" s="2"/>
      <c r="W57" s="2"/>
      <c r="X57" s="2"/>
    </row>
    <row r="58" spans="2:24" x14ac:dyDescent="0.2">
      <c r="B58" s="2"/>
      <c r="C58" s="2" t="s">
        <v>40</v>
      </c>
      <c r="D58" s="2" t="s">
        <v>38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326</v>
      </c>
      <c r="J58" s="2" t="s">
        <v>88</v>
      </c>
      <c r="K58" s="2">
        <v>380</v>
      </c>
      <c r="L58" s="2" t="s">
        <v>397</v>
      </c>
      <c r="M58" s="2"/>
      <c r="N58" s="2"/>
      <c r="O58" s="2"/>
      <c r="P58" s="2"/>
      <c r="Q58" s="2"/>
      <c r="R58" s="2"/>
      <c r="S58" s="9"/>
      <c r="T58" s="7" t="s">
        <v>304</v>
      </c>
      <c r="U58" s="7"/>
      <c r="V58" s="2"/>
      <c r="W58" s="2"/>
      <c r="X58" s="2"/>
    </row>
    <row r="59" spans="2:24" x14ac:dyDescent="0.2">
      <c r="B59" s="2"/>
      <c r="C59" s="2" t="s">
        <v>40</v>
      </c>
      <c r="D59" s="2" t="s">
        <v>39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326</v>
      </c>
      <c r="J59" s="19" t="s">
        <v>87</v>
      </c>
      <c r="K59" s="20">
        <v>490</v>
      </c>
      <c r="L59" s="2" t="s">
        <v>397</v>
      </c>
      <c r="M59" s="2"/>
      <c r="N59" s="2"/>
      <c r="O59" s="2"/>
      <c r="P59" s="2"/>
      <c r="Q59" s="2"/>
      <c r="R59" s="2"/>
      <c r="S59" s="9"/>
      <c r="T59" s="7" t="s">
        <v>304</v>
      </c>
      <c r="U59" s="7"/>
      <c r="V59" s="2"/>
      <c r="W59" s="2"/>
      <c r="X59" s="2"/>
    </row>
    <row r="60" spans="2:24" x14ac:dyDescent="0.2">
      <c r="B60" s="2"/>
      <c r="C60" s="2" t="s">
        <v>37</v>
      </c>
      <c r="D60" s="2" t="s">
        <v>38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326</v>
      </c>
      <c r="J60" s="2" t="s">
        <v>85</v>
      </c>
      <c r="K60" s="2">
        <v>350</v>
      </c>
      <c r="L60" s="2" t="s">
        <v>396</v>
      </c>
      <c r="M60" s="2"/>
      <c r="N60" s="2"/>
      <c r="O60" s="2"/>
      <c r="P60" s="2"/>
      <c r="Q60" s="2"/>
      <c r="R60" s="2"/>
      <c r="S60" s="9"/>
      <c r="T60" s="7">
        <v>2.068087499999999</v>
      </c>
      <c r="U60" s="7"/>
      <c r="V60" s="2">
        <v>111</v>
      </c>
      <c r="W60" s="2"/>
      <c r="X60" s="2">
        <v>3.2</v>
      </c>
    </row>
    <row r="61" spans="2:24" x14ac:dyDescent="0.2">
      <c r="B61" s="2"/>
      <c r="C61" s="2" t="s">
        <v>37</v>
      </c>
      <c r="D61" s="2" t="s">
        <v>39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327</v>
      </c>
      <c r="J61" s="2" t="s">
        <v>89</v>
      </c>
      <c r="K61" s="2">
        <v>2304</v>
      </c>
      <c r="L61" s="2" t="s">
        <v>385</v>
      </c>
      <c r="M61" s="2"/>
      <c r="N61" s="2"/>
      <c r="O61" s="2"/>
      <c r="P61" s="2"/>
      <c r="Q61" s="2"/>
      <c r="R61" s="2"/>
      <c r="S61" s="9"/>
      <c r="T61" s="7" t="s">
        <v>304</v>
      </c>
      <c r="U61" s="7"/>
      <c r="V61" s="13" t="s">
        <v>339</v>
      </c>
      <c r="W61" s="13"/>
      <c r="X61" s="2">
        <v>6.69</v>
      </c>
    </row>
    <row r="62" spans="2:24" x14ac:dyDescent="0.2">
      <c r="B62" s="2"/>
      <c r="C62" s="2" t="s">
        <v>38</v>
      </c>
      <c r="D62" s="2" t="s">
        <v>39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327</v>
      </c>
      <c r="J62" s="19" t="s">
        <v>93</v>
      </c>
      <c r="K62" s="20">
        <v>195</v>
      </c>
      <c r="L62" s="2"/>
      <c r="M62" s="2"/>
      <c r="N62" s="2"/>
      <c r="O62" s="2"/>
      <c r="P62" s="2"/>
      <c r="Q62" s="2"/>
      <c r="R62" s="2"/>
      <c r="S62" s="9"/>
      <c r="T62" s="7" t="s">
        <v>304</v>
      </c>
      <c r="U62" s="7"/>
      <c r="V62" s="2"/>
      <c r="W62" s="2"/>
      <c r="X62" s="2"/>
    </row>
    <row r="63" spans="2:24" x14ac:dyDescent="0.2">
      <c r="B63" s="2"/>
      <c r="C63" s="2" t="s">
        <v>43</v>
      </c>
      <c r="D63" s="2" t="s">
        <v>41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326</v>
      </c>
      <c r="J63" s="2" t="s">
        <v>91</v>
      </c>
      <c r="K63" s="2">
        <v>1570</v>
      </c>
      <c r="L63" s="2" t="s">
        <v>367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7"/>
      <c r="V63" s="2">
        <v>111</v>
      </c>
      <c r="W63" s="2"/>
      <c r="X63" s="2">
        <v>6.06</v>
      </c>
    </row>
    <row r="64" spans="2:24" x14ac:dyDescent="0.2">
      <c r="B64" s="2"/>
      <c r="C64" s="2" t="s">
        <v>43</v>
      </c>
      <c r="D64" s="2" t="s">
        <v>44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326</v>
      </c>
      <c r="J64" s="2" t="s">
        <v>94</v>
      </c>
      <c r="K64" s="2">
        <v>2427</v>
      </c>
      <c r="L64" s="2" t="s">
        <v>367</v>
      </c>
      <c r="M64" s="2"/>
      <c r="N64" s="2"/>
      <c r="O64" s="2"/>
      <c r="P64" s="2"/>
      <c r="Q64" s="2"/>
      <c r="R64" s="2"/>
      <c r="S64" s="9"/>
      <c r="T64" s="7" t="s">
        <v>304</v>
      </c>
      <c r="U64" s="7"/>
      <c r="V64" s="2"/>
      <c r="W64" s="2"/>
      <c r="X64" s="2"/>
    </row>
    <row r="65" spans="2:24" x14ac:dyDescent="0.2">
      <c r="B65" s="2"/>
      <c r="C65" s="2" t="s">
        <v>43</v>
      </c>
      <c r="D65" s="2" t="s">
        <v>42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327</v>
      </c>
      <c r="J65" s="2" t="s">
        <v>96</v>
      </c>
      <c r="K65" s="2">
        <v>2825</v>
      </c>
      <c r="L65" s="9" t="s">
        <v>365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7"/>
      <c r="V65" s="2">
        <v>100</v>
      </c>
      <c r="W65" s="2"/>
      <c r="X65" s="2">
        <v>6.27</v>
      </c>
    </row>
    <row r="66" spans="2:24" x14ac:dyDescent="0.2">
      <c r="B66" s="2"/>
      <c r="C66" s="2" t="s">
        <v>44</v>
      </c>
      <c r="D66" s="2" t="s">
        <v>41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326</v>
      </c>
      <c r="J66" s="2" t="s">
        <v>102</v>
      </c>
      <c r="K66" s="2">
        <v>535</v>
      </c>
      <c r="L66" s="2" t="s">
        <v>388</v>
      </c>
      <c r="M66" s="2">
        <v>200</v>
      </c>
      <c r="N66" s="2" t="s">
        <v>304</v>
      </c>
      <c r="O66" s="2" t="s">
        <v>304</v>
      </c>
      <c r="P66" s="2" t="s">
        <v>304</v>
      </c>
      <c r="Q66" s="2" t="s">
        <v>437</v>
      </c>
      <c r="R66" s="2" t="s">
        <v>304</v>
      </c>
      <c r="S66" s="9" t="s">
        <v>438</v>
      </c>
      <c r="T66" s="7" t="s">
        <v>304</v>
      </c>
      <c r="U66" s="7"/>
      <c r="V66" s="2"/>
      <c r="W66" s="2"/>
      <c r="X66" s="2"/>
    </row>
    <row r="67" spans="2:24" x14ac:dyDescent="0.2">
      <c r="B67" s="2"/>
      <c r="C67" s="2" t="s">
        <v>41</v>
      </c>
      <c r="D67" s="2" t="s">
        <v>42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326</v>
      </c>
      <c r="J67" s="15" t="s">
        <v>99</v>
      </c>
      <c r="K67" s="2">
        <v>1567</v>
      </c>
      <c r="L67" s="2" t="s">
        <v>388</v>
      </c>
      <c r="M67" s="2"/>
      <c r="N67" s="2"/>
      <c r="O67" s="2"/>
      <c r="P67" s="2"/>
      <c r="Q67" s="2"/>
      <c r="R67" s="2"/>
      <c r="S67" s="9"/>
      <c r="T67" s="7" t="s">
        <v>304</v>
      </c>
      <c r="U67" s="7"/>
      <c r="V67" s="2"/>
      <c r="W67" s="2"/>
      <c r="X67" s="2"/>
    </row>
    <row r="68" spans="2:24" x14ac:dyDescent="0.2">
      <c r="B68" s="2"/>
      <c r="C68" s="2" t="s">
        <v>44</v>
      </c>
      <c r="D68" s="2" t="s">
        <v>42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327</v>
      </c>
      <c r="J68" s="15" t="s">
        <v>98</v>
      </c>
      <c r="K68" s="2">
        <v>1080</v>
      </c>
      <c r="L68" s="2" t="s">
        <v>389</v>
      </c>
      <c r="M68" s="2"/>
      <c r="N68" s="2"/>
      <c r="O68" s="2"/>
      <c r="P68" s="2"/>
      <c r="Q68" s="2"/>
      <c r="R68" s="2"/>
      <c r="S68" s="9"/>
      <c r="T68" s="7" t="s">
        <v>304</v>
      </c>
      <c r="U68" s="7"/>
      <c r="V68" s="2"/>
      <c r="W68" s="2"/>
      <c r="X68" s="2"/>
    </row>
    <row r="69" spans="2:24" x14ac:dyDescent="0.2">
      <c r="B69" s="2"/>
      <c r="C69" s="2" t="s">
        <v>49</v>
      </c>
      <c r="D69" s="2" t="s">
        <v>47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326</v>
      </c>
      <c r="J69" s="15" t="s">
        <v>100</v>
      </c>
      <c r="K69" s="2">
        <v>1839</v>
      </c>
      <c r="L69" s="2" t="s">
        <v>365</v>
      </c>
      <c r="M69" s="2"/>
      <c r="N69" s="2"/>
      <c r="O69" s="2"/>
      <c r="P69" s="2"/>
      <c r="Q69" s="2"/>
      <c r="R69" s="2"/>
      <c r="S69" s="9"/>
      <c r="T69" s="7" t="s">
        <v>304</v>
      </c>
      <c r="U69" s="7"/>
      <c r="V69" s="2"/>
      <c r="W69" s="2"/>
      <c r="X69" s="2"/>
    </row>
    <row r="70" spans="2:24" x14ac:dyDescent="0.2">
      <c r="B70" s="2"/>
      <c r="C70" s="2" t="s">
        <v>47</v>
      </c>
      <c r="D70" s="2" t="s">
        <v>45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326</v>
      </c>
      <c r="J70" s="2" t="s">
        <v>103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304</v>
      </c>
      <c r="U70" s="7"/>
      <c r="V70" s="2"/>
      <c r="W70" s="2"/>
      <c r="X70" s="2"/>
    </row>
    <row r="71" spans="2:24" x14ac:dyDescent="0.2">
      <c r="B71" s="2"/>
      <c r="C71" s="2" t="s">
        <v>47</v>
      </c>
      <c r="D71" s="2" t="s">
        <v>48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327</v>
      </c>
      <c r="J71" s="15" t="s">
        <v>106</v>
      </c>
      <c r="K71" s="2">
        <v>801</v>
      </c>
      <c r="L71" s="2" t="s">
        <v>365</v>
      </c>
      <c r="M71" s="2">
        <v>327</v>
      </c>
      <c r="N71" s="2">
        <v>377</v>
      </c>
      <c r="O71" s="2">
        <v>527</v>
      </c>
      <c r="P71" s="2">
        <v>577</v>
      </c>
      <c r="Q71" s="2" t="s">
        <v>436</v>
      </c>
      <c r="R71" s="2" t="s">
        <v>423</v>
      </c>
      <c r="S71" s="9" t="s">
        <v>435</v>
      </c>
      <c r="T71" s="7" t="s">
        <v>304</v>
      </c>
      <c r="U71" s="7"/>
      <c r="V71" s="2">
        <v>100</v>
      </c>
      <c r="W71" s="2"/>
      <c r="X71" s="2">
        <v>2.48</v>
      </c>
    </row>
    <row r="72" spans="2:24" x14ac:dyDescent="0.2">
      <c r="B72" s="2"/>
      <c r="C72" s="2" t="s">
        <v>50</v>
      </c>
      <c r="D72" s="2" t="s">
        <v>47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326</v>
      </c>
      <c r="J72" s="15" t="s">
        <v>104</v>
      </c>
      <c r="K72" s="2">
        <v>1100</v>
      </c>
      <c r="L72" s="2" t="s">
        <v>390</v>
      </c>
      <c r="M72" s="2">
        <v>557</v>
      </c>
      <c r="N72" s="2">
        <v>612</v>
      </c>
      <c r="O72" s="2" t="s">
        <v>304</v>
      </c>
      <c r="P72" s="2" t="s">
        <v>304</v>
      </c>
      <c r="Q72" s="2" t="s">
        <v>434</v>
      </c>
      <c r="R72" s="2" t="s">
        <v>423</v>
      </c>
      <c r="S72" s="9" t="s">
        <v>435</v>
      </c>
      <c r="T72" s="7" t="s">
        <v>304</v>
      </c>
      <c r="U72" s="7"/>
      <c r="V72" s="2"/>
      <c r="W72" s="2"/>
      <c r="X72" s="2"/>
    </row>
    <row r="73" spans="2:24" x14ac:dyDescent="0.2">
      <c r="B73" s="2"/>
      <c r="C73" s="2" t="s">
        <v>47</v>
      </c>
      <c r="D73" s="2" t="s">
        <v>46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326</v>
      </c>
      <c r="J73" s="19" t="s">
        <v>109</v>
      </c>
      <c r="K73" s="20">
        <v>675</v>
      </c>
      <c r="L73" s="2" t="s">
        <v>405</v>
      </c>
      <c r="M73" s="2"/>
      <c r="N73" s="2"/>
      <c r="O73" s="2"/>
      <c r="P73" s="2"/>
      <c r="Q73" s="2"/>
      <c r="R73" s="2"/>
      <c r="S73" s="9"/>
      <c r="T73" s="7" t="s">
        <v>304</v>
      </c>
      <c r="U73" s="7"/>
      <c r="V73" s="2"/>
      <c r="W73" s="2"/>
      <c r="X73" s="2"/>
    </row>
    <row r="74" spans="2:24" x14ac:dyDescent="0.2">
      <c r="B74" s="2"/>
      <c r="C74" s="2" t="s">
        <v>49</v>
      </c>
      <c r="D74" s="2" t="s">
        <v>45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326</v>
      </c>
      <c r="J74" s="2" t="s">
        <v>110</v>
      </c>
      <c r="K74" s="1">
        <v>552</v>
      </c>
      <c r="L74" s="2" t="s">
        <v>406</v>
      </c>
      <c r="M74" s="2"/>
      <c r="N74" s="2"/>
      <c r="O74" s="2"/>
      <c r="P74" s="2"/>
      <c r="Q74" s="2"/>
      <c r="R74" s="2"/>
      <c r="S74" s="9"/>
      <c r="T74" s="7" t="s">
        <v>304</v>
      </c>
      <c r="U74" s="7"/>
      <c r="V74" s="2"/>
      <c r="W74" s="2"/>
      <c r="X74" s="2"/>
    </row>
    <row r="75" spans="2:24" x14ac:dyDescent="0.2">
      <c r="B75" s="2"/>
      <c r="C75" s="2" t="s">
        <v>49</v>
      </c>
      <c r="D75" s="2" t="s">
        <v>48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326</v>
      </c>
      <c r="J75" s="2" t="s">
        <v>107</v>
      </c>
      <c r="K75" s="2">
        <v>1132</v>
      </c>
      <c r="L75" s="2" t="s">
        <v>366</v>
      </c>
      <c r="M75" s="2"/>
      <c r="N75" s="2"/>
      <c r="O75" s="2"/>
      <c r="P75" s="2"/>
      <c r="Q75" s="2"/>
      <c r="R75" s="2"/>
      <c r="S75" s="9"/>
      <c r="T75" s="7">
        <v>2.068087499999999</v>
      </c>
      <c r="U75" s="7"/>
      <c r="V75" s="2">
        <v>111</v>
      </c>
      <c r="W75" s="2"/>
      <c r="X75" s="2">
        <v>4.09</v>
      </c>
    </row>
    <row r="76" spans="2:24" x14ac:dyDescent="0.2">
      <c r="B76" s="2"/>
      <c r="C76" s="2" t="s">
        <v>50</v>
      </c>
      <c r="D76" s="2" t="s">
        <v>49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326</v>
      </c>
      <c r="J76" s="2" t="s">
        <v>111</v>
      </c>
      <c r="K76" s="2">
        <v>1512</v>
      </c>
      <c r="L76" s="9" t="s">
        <v>366</v>
      </c>
      <c r="M76" s="2">
        <v>900</v>
      </c>
      <c r="N76" s="2" t="s">
        <v>304</v>
      </c>
      <c r="O76" s="2" t="s">
        <v>304</v>
      </c>
      <c r="P76" s="2" t="s">
        <v>304</v>
      </c>
      <c r="Q76" s="2" t="s">
        <v>304</v>
      </c>
      <c r="R76" s="2" t="s">
        <v>304</v>
      </c>
      <c r="S76" s="10" t="s">
        <v>418</v>
      </c>
      <c r="T76" s="7" t="s">
        <v>304</v>
      </c>
      <c r="U76" s="7"/>
      <c r="V76" s="2"/>
      <c r="W76" s="2"/>
      <c r="X76" s="2"/>
    </row>
    <row r="77" spans="2:24" x14ac:dyDescent="0.2">
      <c r="B77" s="2"/>
      <c r="C77" s="2" t="s">
        <v>49</v>
      </c>
      <c r="D77" s="2" t="s">
        <v>46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327</v>
      </c>
      <c r="J77" s="2" t="s">
        <v>112</v>
      </c>
      <c r="K77" s="2">
        <v>1901</v>
      </c>
      <c r="L77" s="2" t="s">
        <v>366</v>
      </c>
      <c r="M77" s="2"/>
      <c r="N77" s="2"/>
      <c r="O77" s="2"/>
      <c r="P77" s="2"/>
      <c r="Q77" s="2"/>
      <c r="R77" s="2"/>
      <c r="S77" s="9"/>
      <c r="T77" s="7" t="s">
        <v>304</v>
      </c>
      <c r="U77" s="7"/>
      <c r="V77" s="2"/>
      <c r="W77" s="2"/>
      <c r="X77" s="2"/>
    </row>
    <row r="78" spans="2:24" x14ac:dyDescent="0.2">
      <c r="B78" s="2"/>
      <c r="C78" s="2" t="s">
        <v>48</v>
      </c>
      <c r="D78" s="2" t="s">
        <v>45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326</v>
      </c>
      <c r="J78" s="2" t="s">
        <v>113</v>
      </c>
      <c r="K78" s="2">
        <v>1936</v>
      </c>
      <c r="L78" s="9" t="s">
        <v>366</v>
      </c>
      <c r="M78" s="2"/>
      <c r="N78" s="2"/>
      <c r="O78" s="2"/>
      <c r="P78" s="2"/>
      <c r="Q78" s="2"/>
      <c r="R78" s="2"/>
      <c r="S78" s="9"/>
      <c r="T78" s="7" t="s">
        <v>304</v>
      </c>
      <c r="U78" s="7"/>
      <c r="V78" s="2"/>
      <c r="W78" s="2"/>
      <c r="X78" s="2"/>
    </row>
    <row r="79" spans="2:24" x14ac:dyDescent="0.2">
      <c r="B79" s="2"/>
      <c r="C79" s="2" t="s">
        <v>50</v>
      </c>
      <c r="D79" s="2" t="s">
        <v>45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326</v>
      </c>
      <c r="J79" s="2" t="s">
        <v>115</v>
      </c>
      <c r="K79" s="2">
        <v>2233</v>
      </c>
      <c r="L79" s="9" t="s">
        <v>391</v>
      </c>
      <c r="M79" s="2"/>
      <c r="N79" s="2"/>
      <c r="O79" s="2"/>
      <c r="P79" s="2"/>
      <c r="Q79" s="2"/>
      <c r="R79" s="2"/>
      <c r="S79" s="9"/>
      <c r="T79" s="7" t="s">
        <v>304</v>
      </c>
      <c r="U79" s="7"/>
      <c r="V79" s="2"/>
      <c r="W79" s="2"/>
      <c r="X79" s="2"/>
    </row>
    <row r="80" spans="2:24" x14ac:dyDescent="0.2">
      <c r="B80" s="2"/>
      <c r="C80" s="2" t="s">
        <v>45</v>
      </c>
      <c r="D80" s="2" t="s">
        <v>46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326</v>
      </c>
      <c r="J80" s="2" t="s">
        <v>117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304</v>
      </c>
      <c r="U80" s="7"/>
      <c r="V80" s="2"/>
      <c r="W80" s="2"/>
      <c r="X80" s="2"/>
    </row>
    <row r="81" spans="2:24" x14ac:dyDescent="0.2">
      <c r="B81" s="2"/>
      <c r="C81" s="2" t="s">
        <v>50</v>
      </c>
      <c r="D81" s="2" t="s">
        <v>48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326</v>
      </c>
      <c r="J81" s="2" t="s">
        <v>118</v>
      </c>
      <c r="K81" s="2">
        <v>1955</v>
      </c>
      <c r="L81" s="2" t="s">
        <v>392</v>
      </c>
      <c r="M81" s="2">
        <v>285</v>
      </c>
      <c r="N81" s="2">
        <v>315</v>
      </c>
      <c r="O81" s="2" t="s">
        <v>304</v>
      </c>
      <c r="P81" s="2" t="s">
        <v>304</v>
      </c>
      <c r="Q81" s="2" t="s">
        <v>432</v>
      </c>
      <c r="R81" s="2" t="s">
        <v>423</v>
      </c>
      <c r="S81" s="9" t="s">
        <v>433</v>
      </c>
      <c r="T81" s="7">
        <v>1.268087499999998</v>
      </c>
      <c r="U81" s="7"/>
      <c r="V81" s="2"/>
      <c r="W81" s="2"/>
      <c r="X81" s="2"/>
    </row>
    <row r="82" spans="2:24" x14ac:dyDescent="0.2">
      <c r="B82" s="2"/>
      <c r="C82" s="2" t="s">
        <v>48</v>
      </c>
      <c r="D82" s="2" t="s">
        <v>46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326</v>
      </c>
      <c r="J82" s="2" t="s">
        <v>120</v>
      </c>
      <c r="K82" s="2">
        <v>2547</v>
      </c>
      <c r="L82" s="9" t="s">
        <v>391</v>
      </c>
      <c r="M82" s="2"/>
      <c r="N82" s="2"/>
      <c r="O82" s="2"/>
      <c r="P82" s="2"/>
      <c r="Q82" s="2"/>
      <c r="R82" s="2"/>
      <c r="S82" s="9"/>
      <c r="T82" s="7" t="s">
        <v>304</v>
      </c>
      <c r="U82" s="7"/>
      <c r="V82" s="2"/>
      <c r="W82" s="2"/>
      <c r="X82" s="2"/>
    </row>
    <row r="83" spans="2:24" x14ac:dyDescent="0.2">
      <c r="B83" s="2"/>
      <c r="C83" s="2" t="s">
        <v>50</v>
      </c>
      <c r="D83" s="2" t="s">
        <v>46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326</v>
      </c>
      <c r="J83" s="2" t="s">
        <v>124</v>
      </c>
      <c r="K83" s="2">
        <v>41</v>
      </c>
      <c r="L83" s="2" t="s">
        <v>366</v>
      </c>
      <c r="M83" s="2"/>
      <c r="N83" s="2"/>
      <c r="O83" s="2"/>
      <c r="P83" s="2"/>
      <c r="Q83" s="2"/>
      <c r="R83" s="2"/>
      <c r="S83" s="9"/>
      <c r="T83" s="7" t="s">
        <v>304</v>
      </c>
      <c r="U83" s="7"/>
      <c r="V83" s="2"/>
      <c r="W83" s="2"/>
      <c r="X83" s="2"/>
    </row>
    <row r="84" spans="2:24" x14ac:dyDescent="0.2">
      <c r="B84" s="2"/>
      <c r="C84" s="2" t="s">
        <v>54</v>
      </c>
      <c r="D84" s="2" t="s">
        <v>51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326</v>
      </c>
      <c r="J84" s="2" t="s">
        <v>122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304</v>
      </c>
      <c r="U84" s="7"/>
      <c r="V84" s="2"/>
      <c r="W84" s="2"/>
      <c r="X84" s="2"/>
    </row>
    <row r="85" spans="2:24" x14ac:dyDescent="0.2">
      <c r="B85" s="2"/>
      <c r="C85" s="2" t="s">
        <v>53</v>
      </c>
      <c r="D85" s="2" t="s">
        <v>51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326</v>
      </c>
      <c r="J85" s="2" t="s">
        <v>125</v>
      </c>
      <c r="K85" s="2">
        <v>562</v>
      </c>
      <c r="L85" s="2" t="s">
        <v>366</v>
      </c>
      <c r="M85" s="2"/>
      <c r="N85" s="2"/>
      <c r="O85" s="2"/>
      <c r="P85" s="2"/>
      <c r="Q85" s="2"/>
      <c r="R85" s="2"/>
      <c r="S85" s="9"/>
      <c r="T85" s="7" t="s">
        <v>304</v>
      </c>
      <c r="U85" s="7"/>
      <c r="V85" s="2"/>
      <c r="W85" s="2"/>
      <c r="X85" s="2"/>
    </row>
    <row r="86" spans="2:24" x14ac:dyDescent="0.2">
      <c r="B86" s="2"/>
      <c r="C86" s="2" t="s">
        <v>51</v>
      </c>
      <c r="D86" s="2" t="s">
        <v>52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326</v>
      </c>
      <c r="J86" s="2" t="s">
        <v>129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304</v>
      </c>
      <c r="U86" s="7"/>
      <c r="V86" s="2"/>
      <c r="W86" s="2"/>
      <c r="X86" s="2"/>
    </row>
    <row r="87" spans="2:24" x14ac:dyDescent="0.2">
      <c r="B87" s="2"/>
      <c r="C87" s="2" t="s">
        <v>53</v>
      </c>
      <c r="D87" s="2" t="s">
        <v>54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326</v>
      </c>
      <c r="J87" s="2" t="s">
        <v>127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304</v>
      </c>
      <c r="U87" s="7"/>
      <c r="V87" s="2"/>
      <c r="W87" s="2"/>
      <c r="X87" s="2"/>
    </row>
    <row r="88" spans="2:24" x14ac:dyDescent="0.2">
      <c r="B88" s="2"/>
      <c r="C88" s="2" t="s">
        <v>54</v>
      </c>
      <c r="D88" s="2" t="s">
        <v>52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326</v>
      </c>
      <c r="J88" s="2" t="s">
        <v>133</v>
      </c>
      <c r="K88" s="2">
        <v>290</v>
      </c>
      <c r="L88" s="9" t="s">
        <v>387</v>
      </c>
      <c r="M88" s="2"/>
      <c r="N88" s="2"/>
      <c r="O88" s="2"/>
      <c r="P88" s="2"/>
      <c r="Q88" s="2"/>
      <c r="R88" s="2"/>
      <c r="S88" s="9"/>
      <c r="T88" s="7" t="s">
        <v>304</v>
      </c>
      <c r="U88" s="7"/>
      <c r="V88" s="2"/>
      <c r="W88" s="2"/>
      <c r="X88" s="2"/>
    </row>
    <row r="89" spans="2:24" x14ac:dyDescent="0.2">
      <c r="B89" s="2"/>
      <c r="C89" s="2" t="s">
        <v>53</v>
      </c>
      <c r="D89" s="2" t="s">
        <v>52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326</v>
      </c>
      <c r="J89" s="15" t="s">
        <v>130</v>
      </c>
      <c r="K89" s="2">
        <v>830</v>
      </c>
      <c r="L89" s="9" t="s">
        <v>386</v>
      </c>
      <c r="M89" s="2"/>
      <c r="N89" s="2"/>
      <c r="O89" s="2"/>
      <c r="P89" s="2"/>
      <c r="Q89" s="2"/>
      <c r="R89" s="2"/>
      <c r="S89" s="9"/>
      <c r="T89" s="7" t="s">
        <v>304</v>
      </c>
      <c r="U89" s="7"/>
      <c r="V89" s="2"/>
      <c r="W89" s="2"/>
      <c r="X89" s="2"/>
    </row>
    <row r="90" spans="2:24" ht="25.5" x14ac:dyDescent="0.2">
      <c r="B90" s="2"/>
      <c r="C90" s="2" t="s">
        <v>55</v>
      </c>
      <c r="D90" s="2" t="s">
        <v>56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326</v>
      </c>
      <c r="J90" s="15" t="s">
        <v>131</v>
      </c>
      <c r="K90" s="2">
        <v>897</v>
      </c>
      <c r="L90" s="9" t="s">
        <v>386</v>
      </c>
      <c r="M90" s="2">
        <v>200</v>
      </c>
      <c r="N90" s="2" t="s">
        <v>304</v>
      </c>
      <c r="O90" s="2" t="s">
        <v>304</v>
      </c>
      <c r="P90" s="2" t="s">
        <v>304</v>
      </c>
      <c r="Q90" s="2" t="s">
        <v>447</v>
      </c>
      <c r="R90" s="2" t="s">
        <v>304</v>
      </c>
      <c r="S90" s="14" t="s">
        <v>450</v>
      </c>
      <c r="T90" s="7" t="s">
        <v>304</v>
      </c>
      <c r="U90" s="7"/>
      <c r="V90" s="13" t="s">
        <v>339</v>
      </c>
      <c r="W90" s="13"/>
      <c r="X90" s="2">
        <v>3.76</v>
      </c>
    </row>
    <row r="91" spans="2:24" x14ac:dyDescent="0.2">
      <c r="B91" s="2"/>
      <c r="C91" s="2" t="s">
        <v>57</v>
      </c>
      <c r="D91" s="2" t="s">
        <v>58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326</v>
      </c>
      <c r="J91" s="2" t="s">
        <v>136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304</v>
      </c>
      <c r="U91" s="7"/>
      <c r="V91" s="2"/>
      <c r="W91" s="2"/>
      <c r="X91" s="2"/>
    </row>
    <row r="92" spans="2:24" x14ac:dyDescent="0.2">
      <c r="B92" s="2"/>
      <c r="C92" s="2" t="s">
        <v>59</v>
      </c>
      <c r="D92" s="2" t="s">
        <v>60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327</v>
      </c>
      <c r="J92" s="2" t="s">
        <v>134</v>
      </c>
      <c r="K92" s="2">
        <v>750</v>
      </c>
      <c r="L92" s="9" t="s">
        <v>393</v>
      </c>
      <c r="M92" s="2"/>
      <c r="N92" s="2"/>
      <c r="O92" s="2"/>
      <c r="P92" s="2"/>
      <c r="Q92" s="2"/>
      <c r="R92" s="2"/>
      <c r="S92" s="9"/>
      <c r="T92" s="7" t="s">
        <v>304</v>
      </c>
      <c r="U92" s="7"/>
      <c r="V92" s="2"/>
      <c r="W92" s="2"/>
      <c r="X92" s="2"/>
    </row>
    <row r="93" spans="2:24" x14ac:dyDescent="0.2">
      <c r="B93" s="2"/>
      <c r="C93" s="2" t="s">
        <v>60</v>
      </c>
      <c r="D93" s="2" t="s">
        <v>61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326</v>
      </c>
      <c r="J93" s="2" t="s">
        <v>137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304</v>
      </c>
      <c r="U93" s="7"/>
      <c r="V93" s="2"/>
      <c r="W93" s="2"/>
      <c r="X93" s="2"/>
    </row>
    <row r="94" spans="2:24" x14ac:dyDescent="0.2">
      <c r="B94" s="2"/>
      <c r="C94" s="2" t="s">
        <v>59</v>
      </c>
      <c r="D94" s="2" t="s">
        <v>61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326</v>
      </c>
      <c r="J94" s="2" t="s">
        <v>139</v>
      </c>
      <c r="K94" s="2">
        <v>2183</v>
      </c>
      <c r="L94" s="9" t="s">
        <v>398</v>
      </c>
      <c r="M94" s="2"/>
      <c r="N94" s="2"/>
      <c r="O94" s="2"/>
      <c r="P94" s="2"/>
      <c r="Q94" s="2"/>
      <c r="R94" s="2"/>
      <c r="S94" s="9"/>
      <c r="T94" s="7" t="s">
        <v>304</v>
      </c>
      <c r="U94" s="7"/>
      <c r="V94" s="2"/>
      <c r="W94" s="2"/>
      <c r="X94" s="2"/>
    </row>
    <row r="95" spans="2:24" x14ac:dyDescent="0.2">
      <c r="B95" s="2"/>
      <c r="C95" s="2" t="s">
        <v>62</v>
      </c>
      <c r="D95" s="2" t="s">
        <v>63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327</v>
      </c>
      <c r="J95" s="2" t="s">
        <v>143</v>
      </c>
      <c r="K95" s="2">
        <v>450</v>
      </c>
      <c r="L95" s="9" t="s">
        <v>394</v>
      </c>
      <c r="M95" s="2"/>
      <c r="N95" s="2"/>
      <c r="O95" s="2"/>
      <c r="P95" s="2"/>
      <c r="Q95" s="2"/>
      <c r="R95" s="2"/>
      <c r="S95" s="9"/>
      <c r="T95" s="7" t="s">
        <v>304</v>
      </c>
      <c r="U95" s="7"/>
      <c r="V95" s="2"/>
      <c r="W95" s="2"/>
      <c r="X95" s="2"/>
    </row>
    <row r="96" spans="2:24" x14ac:dyDescent="0.2">
      <c r="B96" s="2"/>
      <c r="C96" s="2" t="s">
        <v>62</v>
      </c>
      <c r="D96" s="2" t="s">
        <v>64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327</v>
      </c>
      <c r="J96" s="2" t="s">
        <v>141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304</v>
      </c>
      <c r="U96" s="7"/>
      <c r="V96" s="2"/>
      <c r="W96" s="2"/>
      <c r="X96" s="2"/>
    </row>
    <row r="97" spans="2:24" x14ac:dyDescent="0.2">
      <c r="B97" s="2"/>
      <c r="C97" s="2" t="s">
        <v>62</v>
      </c>
      <c r="D97" s="2" t="s">
        <v>65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327</v>
      </c>
      <c r="J97" s="2" t="s">
        <v>146</v>
      </c>
      <c r="K97" s="2">
        <v>2400</v>
      </c>
      <c r="L97" s="9" t="s">
        <v>395</v>
      </c>
      <c r="M97" s="2"/>
      <c r="N97" s="2"/>
      <c r="O97" s="2"/>
      <c r="P97" s="2"/>
      <c r="Q97" s="2"/>
      <c r="R97" s="2"/>
      <c r="S97" s="9"/>
      <c r="T97" s="7" t="s">
        <v>304</v>
      </c>
      <c r="U97" s="7"/>
      <c r="V97" s="2"/>
      <c r="W97" s="2"/>
      <c r="X97" s="2"/>
    </row>
    <row r="98" spans="2:24" x14ac:dyDescent="0.2">
      <c r="B98" s="2"/>
      <c r="C98" s="2" t="s">
        <v>63</v>
      </c>
      <c r="D98" s="2" t="s">
        <v>64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327</v>
      </c>
      <c r="J98" s="2" t="s">
        <v>144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304</v>
      </c>
      <c r="U98" s="7"/>
      <c r="V98" s="2"/>
      <c r="W98" s="2"/>
      <c r="X98" s="2"/>
    </row>
    <row r="99" spans="2:24" ht="25.5" x14ac:dyDescent="0.2">
      <c r="B99" s="2"/>
      <c r="C99" s="2" t="s">
        <v>63</v>
      </c>
      <c r="D99" s="2" t="s">
        <v>65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327</v>
      </c>
      <c r="J99" s="19" t="s">
        <v>150</v>
      </c>
      <c r="K99" s="20">
        <v>570</v>
      </c>
      <c r="L99" s="9" t="s">
        <v>359</v>
      </c>
      <c r="M99" s="2"/>
      <c r="N99" s="2"/>
      <c r="O99" s="2"/>
      <c r="P99" s="2"/>
      <c r="Q99" s="2"/>
      <c r="R99" s="2"/>
      <c r="S99" s="9"/>
      <c r="T99" s="7" t="s">
        <v>304</v>
      </c>
      <c r="U99" s="7"/>
      <c r="V99" s="2"/>
      <c r="W99" s="2"/>
      <c r="X99" s="2"/>
    </row>
    <row r="100" spans="2:24" x14ac:dyDescent="0.2">
      <c r="B100" s="2"/>
      <c r="C100" s="2" t="s">
        <v>64</v>
      </c>
      <c r="D100" s="2" t="s">
        <v>65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327</v>
      </c>
      <c r="J100" s="2" t="s">
        <v>151</v>
      </c>
      <c r="K100" s="2">
        <v>412</v>
      </c>
      <c r="L100" s="2" t="s">
        <v>401</v>
      </c>
      <c r="M100" s="2"/>
      <c r="N100" s="2"/>
      <c r="O100" s="2"/>
      <c r="P100" s="2"/>
      <c r="Q100" s="2"/>
      <c r="R100" s="2"/>
      <c r="S100" s="9"/>
      <c r="T100" s="7" t="s">
        <v>304</v>
      </c>
      <c r="U100" s="7"/>
      <c r="V100" s="2"/>
      <c r="W100" s="2"/>
      <c r="X100" s="2"/>
    </row>
    <row r="101" spans="2:24" x14ac:dyDescent="0.2">
      <c r="B101" s="2"/>
      <c r="C101" s="2" t="s">
        <v>66</v>
      </c>
      <c r="D101" s="2" t="s">
        <v>67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326</v>
      </c>
      <c r="J101" s="19" t="s">
        <v>147</v>
      </c>
      <c r="K101" s="20">
        <v>400</v>
      </c>
      <c r="L101" s="9" t="s">
        <v>400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7"/>
      <c r="V101" s="2">
        <v>111</v>
      </c>
      <c r="W101" s="2"/>
      <c r="X101" s="2">
        <v>2.95</v>
      </c>
    </row>
    <row r="102" spans="2:24" x14ac:dyDescent="0.2">
      <c r="B102" s="2"/>
      <c r="C102" s="2" t="s">
        <v>68</v>
      </c>
      <c r="D102" s="2" t="s">
        <v>69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326</v>
      </c>
      <c r="J102" s="2" t="s">
        <v>148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304</v>
      </c>
      <c r="U102" s="7"/>
      <c r="V102" s="2"/>
      <c r="W102" s="2"/>
      <c r="X102" s="2"/>
    </row>
    <row r="103" spans="2:24" x14ac:dyDescent="0.2">
      <c r="B103" s="2"/>
      <c r="C103" s="2" t="s">
        <v>70</v>
      </c>
      <c r="D103" s="2" t="s">
        <v>71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327</v>
      </c>
      <c r="J103" s="19" t="s">
        <v>152</v>
      </c>
      <c r="K103" s="20">
        <v>297</v>
      </c>
      <c r="L103" s="2" t="s">
        <v>366</v>
      </c>
      <c r="M103" s="2"/>
      <c r="N103" s="2"/>
      <c r="O103" s="2"/>
      <c r="P103" s="2"/>
      <c r="Q103" s="2"/>
      <c r="R103" s="2"/>
      <c r="S103" s="9"/>
      <c r="T103" s="7" t="s">
        <v>304</v>
      </c>
      <c r="U103" s="7"/>
      <c r="V103" s="2"/>
      <c r="W103" s="2"/>
      <c r="X103" s="2"/>
    </row>
    <row r="104" spans="2:24" x14ac:dyDescent="0.2">
      <c r="B104" s="2"/>
      <c r="C104" s="2" t="s">
        <v>72</v>
      </c>
      <c r="D104" s="2" t="s">
        <v>73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326</v>
      </c>
      <c r="J104" s="19" t="s">
        <v>153</v>
      </c>
      <c r="K104" s="20">
        <v>400</v>
      </c>
      <c r="L104" s="9" t="s">
        <v>399</v>
      </c>
      <c r="M104" s="2"/>
      <c r="N104" s="2"/>
      <c r="O104" s="2"/>
      <c r="P104" s="2"/>
      <c r="Q104" s="2"/>
      <c r="R104" s="2"/>
      <c r="S104" s="9"/>
      <c r="T104" s="7" t="s">
        <v>304</v>
      </c>
      <c r="U104" s="7"/>
      <c r="V104" s="2"/>
      <c r="W104" s="2"/>
      <c r="X104" s="2"/>
    </row>
    <row r="105" spans="2:24" x14ac:dyDescent="0.2">
      <c r="B105" s="2"/>
      <c r="C105" s="2" t="s">
        <v>74</v>
      </c>
      <c r="D105" s="2" t="s">
        <v>75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326</v>
      </c>
      <c r="J105" s="2" t="s">
        <v>155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304</v>
      </c>
      <c r="U105" s="7"/>
      <c r="V105" s="2"/>
      <c r="W105" s="2"/>
      <c r="X105" s="2"/>
    </row>
    <row r="106" spans="2:24" x14ac:dyDescent="0.2">
      <c r="B106" s="2"/>
      <c r="C106" s="2" t="s">
        <v>76</v>
      </c>
      <c r="D106" s="2" t="s">
        <v>77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326</v>
      </c>
      <c r="J106" s="2" t="s">
        <v>159</v>
      </c>
      <c r="K106" s="2">
        <v>25.4</v>
      </c>
      <c r="L106" s="2" t="s">
        <v>401</v>
      </c>
      <c r="M106" s="2"/>
      <c r="N106" s="2"/>
      <c r="O106" s="2"/>
      <c r="P106" s="2"/>
      <c r="Q106" s="2"/>
      <c r="R106" s="2"/>
      <c r="S106" s="9"/>
      <c r="T106" s="7" t="s">
        <v>304</v>
      </c>
      <c r="U106" s="7"/>
      <c r="V106" s="2"/>
      <c r="W106" s="2"/>
      <c r="X106" s="2"/>
    </row>
    <row r="107" spans="2:24" ht="25.5" x14ac:dyDescent="0.2">
      <c r="B107" s="2"/>
      <c r="C107" s="2" t="s">
        <v>78</v>
      </c>
      <c r="D107" s="2" t="s">
        <v>79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326</v>
      </c>
      <c r="J107" s="2" t="s">
        <v>157</v>
      </c>
      <c r="K107" s="2">
        <v>1200</v>
      </c>
      <c r="L107" s="10" t="s">
        <v>416</v>
      </c>
      <c r="M107" s="2"/>
      <c r="N107" s="2"/>
      <c r="O107" s="2"/>
      <c r="P107" s="2"/>
      <c r="Q107" s="2"/>
      <c r="R107" s="2"/>
      <c r="S107" s="9"/>
      <c r="T107" s="7" t="s">
        <v>304</v>
      </c>
      <c r="U107" s="7"/>
      <c r="V107" s="2"/>
      <c r="W107" s="2"/>
      <c r="X107" s="2"/>
    </row>
    <row r="108" spans="2:24" ht="38.25" x14ac:dyDescent="0.2">
      <c r="B108" s="2"/>
      <c r="C108" s="2" t="s">
        <v>80</v>
      </c>
      <c r="D108" s="2" t="s">
        <v>81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327</v>
      </c>
      <c r="J108" s="19" t="s">
        <v>162</v>
      </c>
      <c r="K108" s="20">
        <v>380</v>
      </c>
      <c r="L108" s="10" t="s">
        <v>417</v>
      </c>
      <c r="M108" s="2"/>
      <c r="N108" s="2"/>
      <c r="O108" s="2"/>
      <c r="P108" s="2"/>
      <c r="Q108" s="2"/>
      <c r="R108" s="2"/>
      <c r="S108" s="9"/>
      <c r="T108" s="7" t="s">
        <v>304</v>
      </c>
      <c r="U108" s="7"/>
      <c r="V108" s="2"/>
      <c r="W108" s="2"/>
      <c r="X108" s="2"/>
    </row>
    <row r="109" spans="2:24" x14ac:dyDescent="0.2">
      <c r="B109" s="2"/>
      <c r="C109" s="2" t="s">
        <v>84</v>
      </c>
      <c r="D109" s="2" t="s">
        <v>82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326</v>
      </c>
      <c r="J109" s="15" t="s">
        <v>163</v>
      </c>
      <c r="K109" s="2"/>
      <c r="L109" s="2"/>
      <c r="M109" s="2"/>
      <c r="N109" s="2"/>
      <c r="O109" s="2"/>
      <c r="P109" s="2"/>
      <c r="Q109" s="2"/>
      <c r="R109" s="2"/>
      <c r="S109" s="9"/>
      <c r="T109" s="7" t="s">
        <v>304</v>
      </c>
      <c r="U109" s="7"/>
      <c r="V109" s="2"/>
      <c r="W109" s="2"/>
      <c r="X109" s="2"/>
    </row>
    <row r="110" spans="2:24" x14ac:dyDescent="0.2">
      <c r="B110" s="2"/>
      <c r="C110" s="2" t="s">
        <v>82</v>
      </c>
      <c r="D110" s="2" t="s">
        <v>83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326</v>
      </c>
      <c r="J110" s="15" t="s">
        <v>160</v>
      </c>
      <c r="K110" s="2">
        <v>656</v>
      </c>
      <c r="L110" s="2" t="s">
        <v>360</v>
      </c>
      <c r="M110" s="2">
        <v>550</v>
      </c>
      <c r="N110" s="2" t="s">
        <v>304</v>
      </c>
      <c r="O110" s="2" t="s">
        <v>304</v>
      </c>
      <c r="P110" s="2" t="s">
        <v>304</v>
      </c>
      <c r="Q110" s="2" t="s">
        <v>345</v>
      </c>
      <c r="R110" s="2" t="s">
        <v>304</v>
      </c>
      <c r="S110" s="2" t="s">
        <v>451</v>
      </c>
      <c r="T110" s="7" t="s">
        <v>304</v>
      </c>
      <c r="U110" s="7"/>
      <c r="V110" s="2">
        <v>100</v>
      </c>
      <c r="W110" s="2"/>
      <c r="X110" s="2">
        <v>3.45</v>
      </c>
    </row>
    <row r="111" spans="2:24" x14ac:dyDescent="0.2">
      <c r="B111" s="2"/>
      <c r="C111" s="2" t="s">
        <v>84</v>
      </c>
      <c r="D111" s="2" t="s">
        <v>83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326</v>
      </c>
      <c r="J111" s="2" t="s">
        <v>164</v>
      </c>
      <c r="K111" s="2">
        <v>2485</v>
      </c>
      <c r="L111" s="2" t="s">
        <v>402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7"/>
      <c r="V111" s="2"/>
      <c r="W111" s="2"/>
      <c r="X111" s="2"/>
    </row>
    <row r="112" spans="2:24" x14ac:dyDescent="0.2">
      <c r="B112" s="2"/>
      <c r="C112" s="2" t="s">
        <v>88</v>
      </c>
      <c r="D112" s="2" t="s">
        <v>85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326</v>
      </c>
      <c r="J112" s="2" t="s">
        <v>166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304</v>
      </c>
      <c r="U112" s="7"/>
      <c r="V112" s="2"/>
      <c r="W112" s="2"/>
      <c r="X112" s="2"/>
    </row>
    <row r="113" spans="2:24" x14ac:dyDescent="0.2">
      <c r="B113" s="2"/>
      <c r="C113" s="2" t="s">
        <v>87</v>
      </c>
      <c r="D113" s="2" t="s">
        <v>85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326</v>
      </c>
      <c r="J113" s="2" t="s">
        <v>167</v>
      </c>
      <c r="K113" s="2" t="s">
        <v>403</v>
      </c>
      <c r="L113" s="2" t="s">
        <v>402</v>
      </c>
      <c r="M113" s="2"/>
      <c r="N113" s="2"/>
      <c r="O113" s="2"/>
      <c r="P113" s="2"/>
      <c r="Q113" s="2"/>
      <c r="R113" s="2"/>
      <c r="S113" s="9"/>
      <c r="T113" s="7" t="s">
        <v>304</v>
      </c>
      <c r="U113" s="7"/>
      <c r="V113" s="2"/>
      <c r="W113" s="2"/>
      <c r="X113" s="2"/>
    </row>
    <row r="114" spans="2:24" x14ac:dyDescent="0.2">
      <c r="B114" s="2"/>
      <c r="C114" s="2" t="s">
        <v>85</v>
      </c>
      <c r="D114" s="2" t="s">
        <v>86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326</v>
      </c>
      <c r="J114" s="2" t="s">
        <v>169</v>
      </c>
      <c r="K114" s="2">
        <v>1722</v>
      </c>
      <c r="L114" s="2" t="s">
        <v>366</v>
      </c>
      <c r="M114" s="2"/>
      <c r="N114" s="2"/>
      <c r="O114" s="2"/>
      <c r="P114" s="2"/>
      <c r="Q114" s="2"/>
      <c r="R114" s="2"/>
      <c r="S114" s="9"/>
      <c r="T114" s="7" t="s">
        <v>304</v>
      </c>
      <c r="U114" s="7"/>
      <c r="V114" s="2"/>
      <c r="W114" s="2"/>
      <c r="X114" s="2"/>
    </row>
    <row r="115" spans="2:24" x14ac:dyDescent="0.2">
      <c r="B115" s="2"/>
      <c r="C115" s="2" t="s">
        <v>88</v>
      </c>
      <c r="D115" s="2" t="s">
        <v>87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326</v>
      </c>
      <c r="J115" s="2" t="s">
        <v>171</v>
      </c>
      <c r="K115" s="2">
        <v>2269</v>
      </c>
      <c r="L115" s="2" t="s">
        <v>401</v>
      </c>
      <c r="M115" s="2"/>
      <c r="N115" s="2"/>
      <c r="O115" s="2"/>
      <c r="P115" s="2"/>
      <c r="Q115" s="2"/>
      <c r="R115" s="2"/>
      <c r="S115" s="9"/>
      <c r="T115" s="7" t="s">
        <v>304</v>
      </c>
      <c r="U115" s="7"/>
      <c r="V115" s="2"/>
      <c r="W115" s="2"/>
      <c r="X115" s="2"/>
    </row>
    <row r="116" spans="2:24" x14ac:dyDescent="0.2">
      <c r="B116" s="2"/>
      <c r="C116" s="2" t="s">
        <v>88</v>
      </c>
      <c r="D116" s="2" t="s">
        <v>86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326</v>
      </c>
      <c r="J116" s="15" t="s">
        <v>173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304</v>
      </c>
      <c r="U116" s="7"/>
      <c r="V116" s="2"/>
      <c r="W116" s="2"/>
      <c r="X116" s="2"/>
    </row>
    <row r="117" spans="2:24" x14ac:dyDescent="0.2">
      <c r="B117" s="2"/>
      <c r="C117" s="2" t="s">
        <v>87</v>
      </c>
      <c r="D117" s="2" t="s">
        <v>86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327</v>
      </c>
      <c r="J117" s="15" t="s">
        <v>176</v>
      </c>
      <c r="K117" s="2">
        <v>1630</v>
      </c>
      <c r="L117" s="2" t="s">
        <v>412</v>
      </c>
      <c r="M117" s="2">
        <v>500</v>
      </c>
      <c r="N117" s="2" t="s">
        <v>304</v>
      </c>
      <c r="O117" s="2" t="s">
        <v>304</v>
      </c>
      <c r="P117" s="2" t="s">
        <v>304</v>
      </c>
      <c r="Q117" s="2" t="s">
        <v>452</v>
      </c>
      <c r="R117" s="2" t="s">
        <v>304</v>
      </c>
      <c r="S117" s="2" t="s">
        <v>453</v>
      </c>
      <c r="T117" s="7">
        <v>1.068087499999999</v>
      </c>
      <c r="U117" s="7"/>
      <c r="V117" s="2">
        <v>110</v>
      </c>
      <c r="W117" s="2"/>
      <c r="X117" s="2">
        <v>2.33</v>
      </c>
    </row>
    <row r="118" spans="2:24" x14ac:dyDescent="0.2">
      <c r="B118" s="2"/>
      <c r="C118" s="2" t="s">
        <v>89</v>
      </c>
      <c r="D118" s="2" t="s">
        <v>90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326</v>
      </c>
      <c r="J118" s="15" t="s">
        <v>174</v>
      </c>
      <c r="K118" s="2">
        <v>1080</v>
      </c>
      <c r="L118" s="2" t="s">
        <v>411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7"/>
      <c r="V118" s="2"/>
      <c r="W118" s="2"/>
      <c r="X118" s="2"/>
    </row>
    <row r="119" spans="2:24" x14ac:dyDescent="0.2">
      <c r="B119" s="2"/>
      <c r="C119" s="2" t="s">
        <v>93</v>
      </c>
      <c r="D119" s="2" t="s">
        <v>91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326</v>
      </c>
      <c r="J119" s="19" t="s">
        <v>179</v>
      </c>
      <c r="K119" s="20">
        <v>215</v>
      </c>
      <c r="L119" s="2" t="s">
        <v>407</v>
      </c>
      <c r="M119" s="2"/>
      <c r="N119" s="2"/>
      <c r="O119" s="2"/>
      <c r="P119" s="2"/>
      <c r="Q119" s="2"/>
      <c r="R119" s="2"/>
      <c r="S119" s="9"/>
      <c r="T119" s="7" t="s">
        <v>304</v>
      </c>
      <c r="U119" s="7"/>
      <c r="V119" s="2"/>
      <c r="W119" s="2"/>
      <c r="X119" s="2"/>
    </row>
    <row r="120" spans="2:24" x14ac:dyDescent="0.2">
      <c r="B120" s="2"/>
      <c r="C120" s="2" t="s">
        <v>93</v>
      </c>
      <c r="D120" s="2" t="s">
        <v>92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327</v>
      </c>
      <c r="J120" s="2" t="s">
        <v>177</v>
      </c>
      <c r="K120" s="2">
        <v>2531</v>
      </c>
      <c r="L120" s="2" t="s">
        <v>366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7"/>
      <c r="V120" s="2">
        <v>100</v>
      </c>
      <c r="W120" s="2"/>
      <c r="X120" s="2">
        <v>5.6</v>
      </c>
    </row>
    <row r="121" spans="2:24" x14ac:dyDescent="0.2">
      <c r="B121" s="2"/>
      <c r="C121" s="2" t="s">
        <v>91</v>
      </c>
      <c r="D121" s="2" t="s">
        <v>92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326</v>
      </c>
      <c r="J121" s="2" t="s">
        <v>180</v>
      </c>
      <c r="K121" s="2">
        <v>1784</v>
      </c>
      <c r="L121" s="9" t="s">
        <v>366</v>
      </c>
      <c r="M121" s="2"/>
      <c r="N121" s="2"/>
      <c r="O121" s="2"/>
      <c r="P121" s="2"/>
      <c r="Q121" s="2"/>
      <c r="R121" s="2"/>
      <c r="S121" s="9"/>
      <c r="T121" s="7" t="s">
        <v>304</v>
      </c>
      <c r="U121" s="7"/>
      <c r="V121" s="2"/>
      <c r="W121" s="2"/>
      <c r="X121" s="2"/>
    </row>
    <row r="122" spans="2:24" x14ac:dyDescent="0.2">
      <c r="B122" s="2"/>
      <c r="C122" s="2" t="s">
        <v>94</v>
      </c>
      <c r="D122" s="2" t="s">
        <v>95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326</v>
      </c>
      <c r="J122" s="2" t="s">
        <v>182</v>
      </c>
      <c r="K122" s="2">
        <v>2303</v>
      </c>
      <c r="L122" s="9" t="s">
        <v>409</v>
      </c>
      <c r="M122" s="2"/>
      <c r="N122" s="2"/>
      <c r="O122" s="2"/>
      <c r="P122" s="2"/>
      <c r="Q122" s="2"/>
      <c r="R122" s="2"/>
      <c r="S122" s="9"/>
      <c r="T122" s="7" t="s">
        <v>304</v>
      </c>
      <c r="U122" s="7"/>
      <c r="V122" s="2"/>
      <c r="W122" s="2"/>
      <c r="X122" s="2"/>
    </row>
    <row r="123" spans="2:24" x14ac:dyDescent="0.2">
      <c r="B123" s="2"/>
      <c r="C123" s="2" t="s">
        <v>96</v>
      </c>
      <c r="D123" s="2" t="s">
        <v>97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326</v>
      </c>
      <c r="J123" s="21" t="s">
        <v>184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304</v>
      </c>
      <c r="U123" s="7"/>
      <c r="V123" s="2"/>
      <c r="W123" s="2"/>
      <c r="X123" s="2"/>
    </row>
    <row r="124" spans="2:24" x14ac:dyDescent="0.2">
      <c r="B124" s="2"/>
      <c r="C124" s="2" t="s">
        <v>102</v>
      </c>
      <c r="D124" s="2" t="s">
        <v>99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326</v>
      </c>
      <c r="J124" s="21" t="s">
        <v>185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304</v>
      </c>
      <c r="U124" s="7"/>
      <c r="V124" s="2"/>
      <c r="W124" s="2"/>
      <c r="X124" s="2"/>
    </row>
    <row r="125" spans="2:24" x14ac:dyDescent="0.2">
      <c r="B125" s="2"/>
      <c r="C125" s="2" t="s">
        <v>99</v>
      </c>
      <c r="D125" s="2" t="s">
        <v>100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327</v>
      </c>
      <c r="J125" s="2" t="s">
        <v>187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304</v>
      </c>
      <c r="U125" s="7"/>
      <c r="V125" s="2"/>
      <c r="W125" s="2"/>
      <c r="X125" s="2"/>
    </row>
    <row r="126" spans="2:24" x14ac:dyDescent="0.2">
      <c r="B126" s="2"/>
      <c r="C126" s="2" t="s">
        <v>98</v>
      </c>
      <c r="D126" s="2" t="s">
        <v>99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326</v>
      </c>
      <c r="J126" s="2" t="s">
        <v>190</v>
      </c>
      <c r="K126" s="2">
        <v>430</v>
      </c>
      <c r="L126" s="2" t="s">
        <v>408</v>
      </c>
      <c r="M126" s="2"/>
      <c r="N126" s="2"/>
      <c r="O126" s="2"/>
      <c r="P126" s="2"/>
      <c r="Q126" s="2"/>
      <c r="R126" s="2"/>
      <c r="S126" s="9"/>
      <c r="T126" s="7" t="s">
        <v>304</v>
      </c>
      <c r="U126" s="7"/>
      <c r="V126" s="2"/>
      <c r="W126" s="2"/>
      <c r="X126" s="2"/>
    </row>
    <row r="127" spans="2:24" x14ac:dyDescent="0.2">
      <c r="B127" s="2"/>
      <c r="C127" s="2" t="s">
        <v>99</v>
      </c>
      <c r="D127" s="2" t="s">
        <v>101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326</v>
      </c>
      <c r="J127" s="15" t="s">
        <v>188</v>
      </c>
      <c r="K127" s="2">
        <v>733</v>
      </c>
      <c r="L127" s="2" t="s">
        <v>408</v>
      </c>
      <c r="M127" s="2"/>
      <c r="N127" s="2"/>
      <c r="O127" s="2"/>
      <c r="P127" s="2"/>
      <c r="Q127" s="2"/>
      <c r="R127" s="2"/>
      <c r="S127" s="9"/>
      <c r="T127" s="7" t="s">
        <v>304</v>
      </c>
      <c r="U127" s="7"/>
      <c r="V127" s="2"/>
      <c r="W127" s="2"/>
      <c r="X127" s="2"/>
    </row>
    <row r="128" spans="2:24" x14ac:dyDescent="0.2">
      <c r="B128" s="2"/>
      <c r="C128" s="2" t="s">
        <v>102</v>
      </c>
      <c r="D128" s="2" t="s">
        <v>100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326</v>
      </c>
      <c r="J128" s="2" t="s">
        <v>191</v>
      </c>
      <c r="K128" s="2">
        <v>3390</v>
      </c>
      <c r="L128" s="2" t="s">
        <v>410</v>
      </c>
      <c r="M128" s="2"/>
      <c r="N128" s="2"/>
      <c r="O128" s="2"/>
      <c r="P128" s="2"/>
      <c r="Q128" s="2"/>
      <c r="R128" s="2"/>
      <c r="S128" s="9"/>
      <c r="T128" s="7" t="s">
        <v>304</v>
      </c>
      <c r="U128" s="7"/>
      <c r="V128" s="2"/>
      <c r="W128" s="2"/>
      <c r="X128" s="2"/>
    </row>
    <row r="129" spans="2:24" x14ac:dyDescent="0.2">
      <c r="B129" s="2"/>
      <c r="C129" s="2" t="s">
        <v>102</v>
      </c>
      <c r="D129" s="2" t="s">
        <v>98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326</v>
      </c>
      <c r="J129" s="2" t="s">
        <v>200</v>
      </c>
      <c r="K129" s="2">
        <v>1843</v>
      </c>
      <c r="L129" s="2" t="s">
        <v>412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7"/>
      <c r="V129" s="2" t="s">
        <v>340</v>
      </c>
      <c r="W129" s="2"/>
      <c r="X129" s="2" t="s">
        <v>341</v>
      </c>
    </row>
    <row r="130" spans="2:24" x14ac:dyDescent="0.2">
      <c r="B130" s="2"/>
      <c r="C130" s="2" t="s">
        <v>102</v>
      </c>
      <c r="D130" s="2" t="s">
        <v>101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327</v>
      </c>
      <c r="J130" s="2" t="s">
        <v>198</v>
      </c>
      <c r="K130" s="2">
        <v>1750</v>
      </c>
      <c r="L130" s="2" t="s">
        <v>412</v>
      </c>
      <c r="M130" s="2"/>
      <c r="N130" s="2"/>
      <c r="O130" s="2"/>
      <c r="P130" s="2"/>
      <c r="Q130" s="2"/>
      <c r="R130" s="2"/>
      <c r="S130" s="9"/>
      <c r="T130" s="7" t="s">
        <v>304</v>
      </c>
      <c r="U130" s="7"/>
      <c r="V130" s="2"/>
      <c r="W130" s="2"/>
      <c r="X130" s="2"/>
    </row>
    <row r="131" spans="2:24" x14ac:dyDescent="0.2">
      <c r="B131" s="2"/>
      <c r="C131" s="2" t="s">
        <v>98</v>
      </c>
      <c r="D131" s="2" t="s">
        <v>100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326</v>
      </c>
      <c r="J131" s="2" t="s">
        <v>193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304</v>
      </c>
      <c r="U131" s="7"/>
      <c r="V131" s="2"/>
      <c r="W131" s="2"/>
      <c r="X131" s="2"/>
    </row>
    <row r="132" spans="2:24" x14ac:dyDescent="0.2">
      <c r="B132" s="2"/>
      <c r="C132" s="2" t="s">
        <v>100</v>
      </c>
      <c r="D132" s="2" t="s">
        <v>101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326</v>
      </c>
      <c r="J132" s="2" t="s">
        <v>195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304</v>
      </c>
      <c r="U132" s="7"/>
      <c r="V132" s="2"/>
      <c r="W132" s="2"/>
      <c r="X132" s="2"/>
    </row>
    <row r="133" spans="2:24" x14ac:dyDescent="0.2">
      <c r="B133" s="2"/>
      <c r="C133" s="2" t="s">
        <v>98</v>
      </c>
      <c r="D133" s="2" t="s">
        <v>101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327</v>
      </c>
      <c r="J133" s="2" t="s">
        <v>199</v>
      </c>
      <c r="K133" s="2">
        <v>1777</v>
      </c>
      <c r="L133" s="2" t="s">
        <v>412</v>
      </c>
      <c r="M133" s="2"/>
      <c r="N133" s="2"/>
      <c r="O133" s="2"/>
      <c r="P133" s="2"/>
      <c r="Q133" s="2"/>
      <c r="R133" s="2"/>
      <c r="S133" s="9"/>
      <c r="T133" s="7" t="s">
        <v>304</v>
      </c>
      <c r="U133" s="7"/>
      <c r="V133" s="2"/>
      <c r="W133" s="2"/>
      <c r="X133" s="2"/>
    </row>
    <row r="134" spans="2:24" x14ac:dyDescent="0.2">
      <c r="B134" s="2"/>
      <c r="C134" s="2" t="s">
        <v>103</v>
      </c>
      <c r="D134" s="2" t="s">
        <v>104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326</v>
      </c>
      <c r="J134" s="2" t="s">
        <v>197</v>
      </c>
      <c r="K134" s="2">
        <v>1842</v>
      </c>
      <c r="L134" s="2" t="s">
        <v>412</v>
      </c>
      <c r="M134" s="2"/>
      <c r="N134" s="2"/>
      <c r="O134" s="2"/>
      <c r="P134" s="2"/>
      <c r="Q134" s="2"/>
      <c r="R134" s="2"/>
      <c r="S134" s="9"/>
      <c r="T134" s="7" t="s">
        <v>304</v>
      </c>
      <c r="U134" s="7"/>
      <c r="V134" s="2"/>
      <c r="W134" s="2"/>
      <c r="X134" s="2"/>
    </row>
    <row r="135" spans="2:24" x14ac:dyDescent="0.2">
      <c r="B135" s="2"/>
      <c r="C135" s="2" t="s">
        <v>106</v>
      </c>
      <c r="D135" s="2" t="s">
        <v>103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326</v>
      </c>
      <c r="J135" s="2" t="s">
        <v>194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304</v>
      </c>
      <c r="U135" s="7"/>
      <c r="V135" s="2"/>
      <c r="W135" s="2"/>
      <c r="X135" s="2"/>
    </row>
    <row r="136" spans="2:24" x14ac:dyDescent="0.2">
      <c r="B136" s="2"/>
      <c r="C136" s="2" t="s">
        <v>103</v>
      </c>
      <c r="D136" s="2" t="s">
        <v>105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327</v>
      </c>
      <c r="J136" s="2" t="s">
        <v>204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304</v>
      </c>
      <c r="U136" s="7"/>
      <c r="V136" s="2"/>
      <c r="W136" s="2"/>
      <c r="X136" s="2"/>
    </row>
    <row r="137" spans="2:24" x14ac:dyDescent="0.2">
      <c r="B137" s="2"/>
      <c r="C137" s="2" t="s">
        <v>106</v>
      </c>
      <c r="D137" s="2" t="s">
        <v>104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326</v>
      </c>
      <c r="J137" s="2" t="s">
        <v>203</v>
      </c>
      <c r="K137" s="2">
        <v>834</v>
      </c>
      <c r="L137" s="9" t="s">
        <v>366</v>
      </c>
      <c r="M137" s="2"/>
      <c r="N137" s="2"/>
      <c r="O137" s="2"/>
      <c r="P137" s="2"/>
      <c r="Q137" s="2"/>
      <c r="R137" s="2"/>
      <c r="S137" s="9"/>
      <c r="T137" s="7" t="s">
        <v>304</v>
      </c>
      <c r="U137" s="7"/>
      <c r="V137" s="2"/>
      <c r="W137" s="2"/>
      <c r="X137" s="2"/>
    </row>
    <row r="138" spans="2:24" x14ac:dyDescent="0.2">
      <c r="B138" s="2"/>
      <c r="C138" s="2" t="s">
        <v>104</v>
      </c>
      <c r="D138" s="2" t="s">
        <v>105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327</v>
      </c>
      <c r="J138" s="19" t="s">
        <v>201</v>
      </c>
      <c r="K138" s="20">
        <v>579</v>
      </c>
      <c r="L138" s="2" t="s">
        <v>366</v>
      </c>
      <c r="M138" s="2"/>
      <c r="N138" s="2"/>
      <c r="O138" s="2"/>
      <c r="P138" s="2"/>
      <c r="Q138" s="2"/>
      <c r="R138" s="2"/>
      <c r="S138" s="9"/>
      <c r="T138" s="7" t="s">
        <v>304</v>
      </c>
      <c r="U138" s="7"/>
      <c r="V138" s="2"/>
      <c r="W138" s="2"/>
      <c r="X138" s="2"/>
    </row>
    <row r="139" spans="2:24" x14ac:dyDescent="0.2">
      <c r="B139" s="2"/>
      <c r="C139" s="2" t="s">
        <v>106</v>
      </c>
      <c r="D139" s="2" t="s">
        <v>105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327</v>
      </c>
      <c r="J139" s="2" t="s">
        <v>205</v>
      </c>
      <c r="K139" s="2">
        <v>2341</v>
      </c>
      <c r="L139" s="2" t="s">
        <v>410</v>
      </c>
      <c r="M139" s="2"/>
      <c r="N139" s="2"/>
      <c r="O139" s="2"/>
      <c r="P139" s="2"/>
      <c r="Q139" s="2"/>
      <c r="R139" s="2"/>
      <c r="S139" s="9"/>
      <c r="T139" s="7" t="s">
        <v>304</v>
      </c>
      <c r="U139" s="7"/>
      <c r="V139" s="2"/>
      <c r="W139" s="2"/>
      <c r="X139" s="2"/>
    </row>
    <row r="140" spans="2:24" x14ac:dyDescent="0.2">
      <c r="B140" s="2"/>
      <c r="C140" s="2" t="s">
        <v>109</v>
      </c>
      <c r="D140" s="2" t="s">
        <v>107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326</v>
      </c>
      <c r="J140" s="21" t="s">
        <v>210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304</v>
      </c>
      <c r="U140" s="7"/>
      <c r="V140" s="2"/>
      <c r="W140" s="2"/>
      <c r="X140" s="2"/>
    </row>
    <row r="141" spans="2:24" x14ac:dyDescent="0.2">
      <c r="B141" s="2"/>
      <c r="C141" s="2" t="s">
        <v>110</v>
      </c>
      <c r="D141" s="2" t="s">
        <v>109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326</v>
      </c>
      <c r="J141" s="21" t="s">
        <v>207</v>
      </c>
      <c r="K141" s="2">
        <v>1300</v>
      </c>
      <c r="L141" s="9" t="s">
        <v>414</v>
      </c>
      <c r="M141" s="2"/>
      <c r="N141" s="2"/>
      <c r="O141" s="2"/>
      <c r="P141" s="2"/>
      <c r="Q141" s="2"/>
      <c r="R141" s="2"/>
      <c r="S141" s="9"/>
      <c r="T141" s="7" t="s">
        <v>304</v>
      </c>
      <c r="U141" s="7"/>
      <c r="V141" s="2"/>
      <c r="W141" s="2"/>
      <c r="X141" s="2"/>
    </row>
    <row r="142" spans="2:24" x14ac:dyDescent="0.2">
      <c r="B142" s="2"/>
      <c r="C142" s="2" t="s">
        <v>109</v>
      </c>
      <c r="D142" s="2" t="s">
        <v>108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327</v>
      </c>
      <c r="J142" s="21" t="s">
        <v>208</v>
      </c>
      <c r="K142" s="2">
        <v>2827</v>
      </c>
      <c r="L142" s="9" t="s">
        <v>413</v>
      </c>
      <c r="M142" s="2"/>
      <c r="N142" s="2"/>
      <c r="O142" s="2"/>
      <c r="P142" s="2"/>
      <c r="Q142" s="2"/>
      <c r="R142" s="2"/>
      <c r="S142" s="9"/>
      <c r="T142" s="7" t="s">
        <v>304</v>
      </c>
      <c r="U142" s="7"/>
      <c r="V142" s="2"/>
      <c r="W142" s="2"/>
      <c r="X142" s="2"/>
    </row>
    <row r="143" spans="2:24" x14ac:dyDescent="0.2">
      <c r="B143" s="2"/>
      <c r="C143" s="2" t="s">
        <v>110</v>
      </c>
      <c r="D143" s="2" t="s">
        <v>107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326</v>
      </c>
      <c r="J143" s="15" t="s">
        <v>215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7"/>
      <c r="V143" s="2"/>
      <c r="W143" s="2"/>
      <c r="X143" s="2"/>
    </row>
    <row r="144" spans="2:24" x14ac:dyDescent="0.2">
      <c r="B144" s="2"/>
      <c r="C144" s="2" t="s">
        <v>107</v>
      </c>
      <c r="D144" s="2" t="s">
        <v>108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326</v>
      </c>
      <c r="J144" s="15" t="s">
        <v>214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304</v>
      </c>
      <c r="U144" s="7"/>
      <c r="V144" s="2"/>
      <c r="W144" s="2"/>
      <c r="X144" s="2"/>
    </row>
    <row r="145" spans="2:24" x14ac:dyDescent="0.2">
      <c r="B145" s="2"/>
      <c r="C145" s="2" t="s">
        <v>110</v>
      </c>
      <c r="D145" s="2" t="s">
        <v>108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326</v>
      </c>
      <c r="J145" s="15" t="s">
        <v>213</v>
      </c>
      <c r="K145" s="2">
        <v>670</v>
      </c>
      <c r="L145" s="2" t="s">
        <v>366</v>
      </c>
      <c r="M145" s="2"/>
      <c r="N145" s="2"/>
      <c r="O145" s="2"/>
      <c r="P145" s="2"/>
      <c r="Q145" s="2"/>
      <c r="R145" s="2"/>
      <c r="S145" s="9"/>
      <c r="T145" s="7" t="s">
        <v>304</v>
      </c>
      <c r="U145" s="7"/>
      <c r="V145" s="13" t="s">
        <v>339</v>
      </c>
      <c r="W145" s="13"/>
      <c r="X145" s="2">
        <v>1.1499999999999999</v>
      </c>
    </row>
    <row r="146" spans="2:24" x14ac:dyDescent="0.2">
      <c r="B146" s="2"/>
      <c r="C146" s="2" t="s">
        <v>111</v>
      </c>
      <c r="D146" s="2" t="s">
        <v>112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326</v>
      </c>
      <c r="J146" s="2" t="s">
        <v>216</v>
      </c>
      <c r="K146" s="2">
        <v>1967</v>
      </c>
      <c r="L146" s="9" t="s">
        <v>415</v>
      </c>
      <c r="M146" s="2"/>
      <c r="N146" s="2"/>
      <c r="O146" s="2"/>
      <c r="P146" s="2"/>
      <c r="Q146" s="2"/>
      <c r="R146" s="2"/>
      <c r="S146" s="9"/>
      <c r="T146" s="7" t="s">
        <v>304</v>
      </c>
      <c r="U146" s="7"/>
      <c r="V146" s="2"/>
      <c r="W146" s="2"/>
      <c r="X146" s="2"/>
    </row>
    <row r="147" spans="2:24" x14ac:dyDescent="0.2">
      <c r="B147" s="2"/>
      <c r="C147" s="2" t="s">
        <v>111</v>
      </c>
      <c r="D147" s="2" t="s">
        <v>113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326</v>
      </c>
      <c r="J147" s="2" t="s">
        <v>211</v>
      </c>
      <c r="K147" s="2">
        <v>2067</v>
      </c>
      <c r="L147" s="9" t="s">
        <v>415</v>
      </c>
      <c r="M147" s="2"/>
      <c r="N147" s="2"/>
      <c r="O147" s="2"/>
      <c r="P147" s="2"/>
      <c r="Q147" s="2"/>
      <c r="R147" s="2"/>
      <c r="S147" s="9"/>
      <c r="T147" s="7" t="s">
        <v>304</v>
      </c>
      <c r="U147" s="7"/>
      <c r="V147" s="2"/>
      <c r="W147" s="2"/>
      <c r="X147" s="2"/>
    </row>
    <row r="148" spans="2:24" x14ac:dyDescent="0.2">
      <c r="B148" s="2"/>
      <c r="C148" s="2" t="s">
        <v>111</v>
      </c>
      <c r="D148" s="2" t="s">
        <v>114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326</v>
      </c>
      <c r="J148" s="2" t="s">
        <v>217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304</v>
      </c>
      <c r="U148" s="7"/>
      <c r="V148" s="2"/>
      <c r="W148" s="2"/>
      <c r="X148" s="2"/>
    </row>
    <row r="149" spans="2:24" x14ac:dyDescent="0.2">
      <c r="B149" s="2"/>
      <c r="C149" s="2" t="s">
        <v>112</v>
      </c>
      <c r="D149" s="2" t="s">
        <v>113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326</v>
      </c>
      <c r="J149" s="15" t="s">
        <v>220</v>
      </c>
      <c r="K149" s="2">
        <v>1472</v>
      </c>
      <c r="L149" s="2" t="s">
        <v>366</v>
      </c>
      <c r="M149" s="2"/>
      <c r="N149" s="2"/>
      <c r="O149" s="2"/>
      <c r="P149" s="2"/>
      <c r="Q149" s="2"/>
      <c r="R149" s="2"/>
      <c r="S149" s="9"/>
      <c r="T149" s="7" t="s">
        <v>304</v>
      </c>
      <c r="U149" s="7"/>
      <c r="V149" s="2"/>
      <c r="W149" s="2"/>
      <c r="X149" s="2"/>
    </row>
    <row r="150" spans="2:24" x14ac:dyDescent="0.2">
      <c r="B150" s="2"/>
      <c r="C150" s="2" t="s">
        <v>112</v>
      </c>
      <c r="D150" s="2" t="s">
        <v>114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326</v>
      </c>
      <c r="J150" s="15" t="s">
        <v>218</v>
      </c>
      <c r="K150" s="2">
        <v>1500</v>
      </c>
      <c r="L150" s="2" t="s">
        <v>414</v>
      </c>
      <c r="M150" s="2"/>
      <c r="N150" s="2"/>
      <c r="O150" s="2"/>
      <c r="P150" s="2"/>
      <c r="Q150" s="2"/>
      <c r="R150" s="2"/>
      <c r="S150" s="9"/>
      <c r="T150" s="7" t="s">
        <v>304</v>
      </c>
      <c r="U150" s="7"/>
      <c r="V150" s="2"/>
      <c r="W150" s="2"/>
      <c r="X150" s="2"/>
    </row>
    <row r="151" spans="2:24" x14ac:dyDescent="0.2">
      <c r="B151" s="2"/>
      <c r="C151" s="2" t="s">
        <v>113</v>
      </c>
      <c r="D151" s="2" t="s">
        <v>114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326</v>
      </c>
      <c r="J151" s="2" t="s">
        <v>221</v>
      </c>
      <c r="K151" s="2">
        <v>2438</v>
      </c>
      <c r="L151" s="2" t="s">
        <v>366</v>
      </c>
      <c r="M151" s="2"/>
      <c r="N151" s="2"/>
      <c r="O151" s="2"/>
      <c r="P151" s="2"/>
      <c r="Q151" s="2"/>
      <c r="R151" s="2"/>
      <c r="S151" s="9"/>
      <c r="T151" s="7" t="s">
        <v>304</v>
      </c>
      <c r="U151" s="7"/>
      <c r="V151" s="2">
        <v>111</v>
      </c>
      <c r="W151" s="2"/>
      <c r="X151" s="2">
        <v>6.09</v>
      </c>
    </row>
    <row r="152" spans="2:24" x14ac:dyDescent="0.2">
      <c r="B152" s="2"/>
      <c r="C152" s="2" t="s">
        <v>115</v>
      </c>
      <c r="D152" s="2" t="s">
        <v>116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326</v>
      </c>
      <c r="J152" s="2" t="s">
        <v>223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304</v>
      </c>
      <c r="U152" s="7"/>
      <c r="V152" s="2"/>
      <c r="W152" s="2"/>
      <c r="X152" s="2"/>
    </row>
    <row r="153" spans="2:24" x14ac:dyDescent="0.2">
      <c r="B153" s="2"/>
      <c r="C153" s="2" t="s">
        <v>117</v>
      </c>
      <c r="D153" s="2" t="s">
        <v>118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326</v>
      </c>
      <c r="J153" s="2" t="s">
        <v>225</v>
      </c>
      <c r="K153" s="2">
        <v>1974</v>
      </c>
      <c r="L153" s="2" t="s">
        <v>366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7"/>
      <c r="V153" s="2">
        <v>100</v>
      </c>
      <c r="W153" s="2"/>
      <c r="X153" s="2">
        <v>3.57</v>
      </c>
    </row>
    <row r="154" spans="2:24" x14ac:dyDescent="0.2">
      <c r="B154" s="2"/>
      <c r="C154" s="2" t="s">
        <v>118</v>
      </c>
      <c r="D154" s="2" t="s">
        <v>119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326</v>
      </c>
      <c r="J154" s="2" t="s">
        <v>229</v>
      </c>
      <c r="K154" s="2">
        <v>2709</v>
      </c>
      <c r="L154" s="9" t="s">
        <v>366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7"/>
      <c r="V154" s="2">
        <v>111</v>
      </c>
      <c r="W154" s="2"/>
      <c r="X154" s="2">
        <v>6.18</v>
      </c>
    </row>
    <row r="155" spans="2:24" x14ac:dyDescent="0.2">
      <c r="B155" s="2"/>
      <c r="C155" s="2" t="s">
        <v>117</v>
      </c>
      <c r="D155" s="2" t="s">
        <v>119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326</v>
      </c>
      <c r="J155" s="2" t="s">
        <v>227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304</v>
      </c>
      <c r="U155" s="7"/>
      <c r="V155" s="2"/>
      <c r="W155" s="2"/>
      <c r="X155" s="2"/>
    </row>
    <row r="156" spans="2:24" x14ac:dyDescent="0.2">
      <c r="B156" s="2"/>
      <c r="C156" s="2" t="s">
        <v>120</v>
      </c>
      <c r="D156" s="2" t="s">
        <v>121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326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  <c r="X156" s="2"/>
    </row>
    <row r="157" spans="2:24" x14ac:dyDescent="0.2">
      <c r="B157" s="2"/>
      <c r="C157" s="2" t="s">
        <v>124</v>
      </c>
      <c r="D157" s="2" t="s">
        <v>122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326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  <c r="X157" s="2"/>
    </row>
    <row r="158" spans="2:24" x14ac:dyDescent="0.2">
      <c r="B158" s="2"/>
      <c r="C158" s="2" t="s">
        <v>124</v>
      </c>
      <c r="D158" s="2" t="s">
        <v>123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  <c r="X158" s="2"/>
    </row>
    <row r="159" spans="2:24" x14ac:dyDescent="0.2">
      <c r="B159" s="2"/>
      <c r="C159" s="2" t="s">
        <v>122</v>
      </c>
      <c r="D159" s="2" t="s">
        <v>123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326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  <c r="X159" s="2"/>
    </row>
    <row r="160" spans="2:24" x14ac:dyDescent="0.2">
      <c r="B160" s="2"/>
      <c r="C160" s="2" t="s">
        <v>125</v>
      </c>
      <c r="D160" s="2" t="s">
        <v>126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326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  <c r="X160" s="2"/>
    </row>
    <row r="161" spans="2:24" x14ac:dyDescent="0.2">
      <c r="B161" s="2"/>
      <c r="C161" s="2" t="s">
        <v>129</v>
      </c>
      <c r="D161" s="2" t="s">
        <v>127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326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  <c r="X161" s="2"/>
    </row>
    <row r="162" spans="2:24" x14ac:dyDescent="0.2">
      <c r="B162" s="2"/>
      <c r="C162" s="2" t="s">
        <v>129</v>
      </c>
      <c r="D162" s="2" t="s">
        <v>128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326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  <c r="X162" s="2"/>
    </row>
    <row r="163" spans="2:24" x14ac:dyDescent="0.2">
      <c r="B163" s="2"/>
      <c r="C163" s="2" t="s">
        <v>127</v>
      </c>
      <c r="D163" s="2" t="s">
        <v>128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326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  <c r="X163" s="2"/>
    </row>
    <row r="164" spans="2:24" x14ac:dyDescent="0.2">
      <c r="B164" s="2"/>
      <c r="C164" s="2" t="s">
        <v>133</v>
      </c>
      <c r="D164" s="2" t="s">
        <v>131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326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  <c r="X164" s="2"/>
    </row>
    <row r="165" spans="2:24" x14ac:dyDescent="0.2">
      <c r="B165" s="2"/>
      <c r="C165" s="2" t="s">
        <v>130</v>
      </c>
      <c r="D165" s="2" t="s">
        <v>131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326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  <c r="X165" s="2"/>
    </row>
    <row r="166" spans="2:24" x14ac:dyDescent="0.2">
      <c r="B166" s="2"/>
      <c r="C166" s="2" t="s">
        <v>131</v>
      </c>
      <c r="D166" s="2" t="s">
        <v>132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327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  <c r="X166" s="2"/>
    </row>
    <row r="167" spans="2:24" x14ac:dyDescent="0.2">
      <c r="B167" s="2"/>
      <c r="C167" s="2" t="s">
        <v>133</v>
      </c>
      <c r="D167" s="2" t="s">
        <v>130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326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  <c r="X167" s="2"/>
    </row>
    <row r="168" spans="2:24" x14ac:dyDescent="0.2">
      <c r="B168" s="2"/>
      <c r="C168" s="2" t="s">
        <v>133</v>
      </c>
      <c r="D168" s="2" t="s">
        <v>132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326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  <c r="X168" s="2"/>
    </row>
    <row r="169" spans="2:24" x14ac:dyDescent="0.2">
      <c r="B169" s="2"/>
      <c r="C169" s="2" t="s">
        <v>130</v>
      </c>
      <c r="D169" s="2" t="s">
        <v>132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327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  <c r="X169" s="2"/>
    </row>
    <row r="170" spans="2:24" x14ac:dyDescent="0.2">
      <c r="B170" s="2"/>
      <c r="C170" s="2" t="s">
        <v>136</v>
      </c>
      <c r="D170" s="2" t="s">
        <v>134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326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  <c r="X170" s="2"/>
    </row>
    <row r="171" spans="2:24" x14ac:dyDescent="0.2">
      <c r="B171" s="2"/>
      <c r="C171" s="2" t="s">
        <v>136</v>
      </c>
      <c r="D171" s="2" t="s">
        <v>135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326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  <c r="X171" s="2"/>
    </row>
    <row r="172" spans="2:24" x14ac:dyDescent="0.2">
      <c r="B172" s="2"/>
      <c r="C172" s="2" t="s">
        <v>134</v>
      </c>
      <c r="D172" s="2" t="s">
        <v>135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326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  <c r="X172" s="2"/>
    </row>
    <row r="173" spans="2:24" x14ac:dyDescent="0.2">
      <c r="B173" s="2"/>
      <c r="C173" s="2" t="s">
        <v>137</v>
      </c>
      <c r="D173" s="2" t="s">
        <v>138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326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  <c r="X173" s="2"/>
    </row>
    <row r="174" spans="2:24" x14ac:dyDescent="0.2">
      <c r="B174" s="2"/>
      <c r="C174" s="2" t="s">
        <v>139</v>
      </c>
      <c r="D174" s="2" t="s">
        <v>140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326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  <c r="X174" s="2"/>
    </row>
    <row r="175" spans="2:24" x14ac:dyDescent="0.2">
      <c r="B175" s="2"/>
      <c r="C175" s="2" t="s">
        <v>143</v>
      </c>
      <c r="D175" s="2" t="s">
        <v>141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326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  <c r="X175" s="2"/>
    </row>
    <row r="176" spans="2:24" x14ac:dyDescent="0.2">
      <c r="B176" s="2"/>
      <c r="C176" s="2" t="s">
        <v>141</v>
      </c>
      <c r="D176" s="2" t="s">
        <v>142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326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  <c r="X176" s="2"/>
    </row>
    <row r="177" spans="2:24" x14ac:dyDescent="0.2">
      <c r="B177" s="2"/>
      <c r="C177" s="2" t="s">
        <v>143</v>
      </c>
      <c r="D177" s="2" t="s">
        <v>142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326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  <c r="X177" s="2"/>
    </row>
    <row r="178" spans="2:24" x14ac:dyDescent="0.2">
      <c r="B178" s="2"/>
      <c r="C178" s="2" t="s">
        <v>146</v>
      </c>
      <c r="D178" s="2" t="s">
        <v>144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326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  <c r="X178" s="2"/>
    </row>
    <row r="179" spans="2:24" x14ac:dyDescent="0.2">
      <c r="B179" s="2"/>
      <c r="C179" s="2" t="s">
        <v>144</v>
      </c>
      <c r="D179" s="2" t="s">
        <v>145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326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  <c r="X179" s="2"/>
    </row>
    <row r="180" spans="2:24" x14ac:dyDescent="0.2">
      <c r="B180" s="2"/>
      <c r="C180" s="2" t="s">
        <v>146</v>
      </c>
      <c r="D180" s="2" t="s">
        <v>145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326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  <c r="X180" s="2"/>
    </row>
    <row r="181" spans="2:24" x14ac:dyDescent="0.2">
      <c r="B181" s="2"/>
      <c r="C181" s="2" t="s">
        <v>150</v>
      </c>
      <c r="D181" s="2" t="s">
        <v>147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326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  <c r="X181" s="2"/>
    </row>
    <row r="182" spans="2:24" x14ac:dyDescent="0.2">
      <c r="B182" s="2"/>
      <c r="C182" s="2" t="s">
        <v>150</v>
      </c>
      <c r="D182" s="2" t="s">
        <v>148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326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  <c r="X182" s="2"/>
    </row>
    <row r="183" spans="2:24" x14ac:dyDescent="0.2">
      <c r="B183" s="2"/>
      <c r="C183" s="2" t="s">
        <v>151</v>
      </c>
      <c r="D183" s="2" t="s">
        <v>150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326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  <c r="X183" s="2"/>
    </row>
    <row r="184" spans="2:24" x14ac:dyDescent="0.2">
      <c r="B184" s="2"/>
      <c r="C184" s="2" t="s">
        <v>150</v>
      </c>
      <c r="D184" s="2" t="s">
        <v>149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327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  <c r="X184" s="2"/>
    </row>
    <row r="185" spans="2:24" x14ac:dyDescent="0.2">
      <c r="B185" s="2"/>
      <c r="C185" s="2" t="s">
        <v>147</v>
      </c>
      <c r="D185" s="2" t="s">
        <v>148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327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  <c r="X185" s="2"/>
    </row>
    <row r="186" spans="2:24" x14ac:dyDescent="0.2">
      <c r="B186" s="2"/>
      <c r="C186" s="2" t="s">
        <v>151</v>
      </c>
      <c r="D186" s="2" t="s">
        <v>147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326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  <c r="X186" s="2"/>
    </row>
    <row r="187" spans="2:24" x14ac:dyDescent="0.2">
      <c r="B187" s="2"/>
      <c r="C187" s="2" t="s">
        <v>147</v>
      </c>
      <c r="D187" s="2" t="s">
        <v>149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327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  <c r="X187" s="2"/>
    </row>
    <row r="188" spans="2:24" x14ac:dyDescent="0.2">
      <c r="B188" s="2"/>
      <c r="C188" s="2" t="s">
        <v>151</v>
      </c>
      <c r="D188" s="2" t="s">
        <v>148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326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  <c r="X188" s="2"/>
    </row>
    <row r="189" spans="2:24" x14ac:dyDescent="0.2">
      <c r="B189" s="2"/>
      <c r="C189" s="2" t="s">
        <v>148</v>
      </c>
      <c r="D189" s="2" t="s">
        <v>149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326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  <c r="X189" s="2"/>
    </row>
    <row r="190" spans="2:24" x14ac:dyDescent="0.2">
      <c r="B190" s="2"/>
      <c r="C190" s="2" t="s">
        <v>151</v>
      </c>
      <c r="D190" s="2" t="s">
        <v>149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326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  <c r="X190" s="2"/>
    </row>
    <row r="191" spans="2:24" x14ac:dyDescent="0.2">
      <c r="B191" s="2"/>
      <c r="C191" s="2" t="s">
        <v>152</v>
      </c>
      <c r="D191" s="2" t="s">
        <v>153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326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  <c r="X191" s="2"/>
    </row>
    <row r="192" spans="2:24" x14ac:dyDescent="0.2">
      <c r="B192" s="2"/>
      <c r="C192" s="2" t="s">
        <v>153</v>
      </c>
      <c r="D192" s="2" t="s">
        <v>154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327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  <c r="X192" s="2"/>
    </row>
    <row r="193" spans="2:24" x14ac:dyDescent="0.2">
      <c r="B193" s="2"/>
      <c r="C193" s="2" t="s">
        <v>152</v>
      </c>
      <c r="D193" s="2" t="s">
        <v>154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327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  <c r="X193" s="2"/>
    </row>
    <row r="194" spans="2:24" x14ac:dyDescent="0.2">
      <c r="B194" s="2"/>
      <c r="C194" s="2" t="s">
        <v>155</v>
      </c>
      <c r="D194" s="2" t="s">
        <v>156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326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  <c r="X194" s="2"/>
    </row>
    <row r="195" spans="2:24" x14ac:dyDescent="0.2">
      <c r="B195" s="2"/>
      <c r="C195" s="2" t="s">
        <v>159</v>
      </c>
      <c r="D195" s="2" t="s">
        <v>157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326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  <c r="X195" s="2"/>
    </row>
    <row r="196" spans="2:24" x14ac:dyDescent="0.2">
      <c r="B196" s="2"/>
      <c r="C196" s="2" t="s">
        <v>159</v>
      </c>
      <c r="D196" s="2" t="s">
        <v>158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326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  <c r="X196" s="2"/>
    </row>
    <row r="197" spans="2:24" x14ac:dyDescent="0.2">
      <c r="B197" s="2"/>
      <c r="C197" s="2" t="s">
        <v>157</v>
      </c>
      <c r="D197" s="2" t="s">
        <v>158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326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  <c r="X197" s="2"/>
    </row>
    <row r="198" spans="2:24" x14ac:dyDescent="0.2">
      <c r="B198" s="2"/>
      <c r="C198" s="2" t="s">
        <v>162</v>
      </c>
      <c r="D198" s="2" t="s">
        <v>163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326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  <c r="X198" s="2"/>
    </row>
    <row r="199" spans="2:24" x14ac:dyDescent="0.2">
      <c r="B199" s="2"/>
      <c r="C199" s="2" t="s">
        <v>162</v>
      </c>
      <c r="D199" s="2" t="s">
        <v>160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326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  <c r="X199" s="2"/>
    </row>
    <row r="200" spans="2:24" x14ac:dyDescent="0.2">
      <c r="B200" s="2"/>
      <c r="C200" s="2" t="s">
        <v>162</v>
      </c>
      <c r="D200" s="2" t="s">
        <v>161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327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  <c r="X200" s="2"/>
    </row>
    <row r="201" spans="2:24" x14ac:dyDescent="0.2">
      <c r="B201" s="2"/>
      <c r="C201" s="2" t="s">
        <v>163</v>
      </c>
      <c r="D201" s="2" t="s">
        <v>160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327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  <c r="X201" s="2"/>
    </row>
    <row r="202" spans="2:24" x14ac:dyDescent="0.2">
      <c r="B202" s="2"/>
      <c r="C202" s="2" t="s">
        <v>163</v>
      </c>
      <c r="D202" s="2" t="s">
        <v>161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327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  <c r="X202" s="2"/>
    </row>
    <row r="203" spans="2:24" x14ac:dyDescent="0.2">
      <c r="B203" s="2"/>
      <c r="C203" s="2" t="s">
        <v>160</v>
      </c>
      <c r="D203" s="2" t="s">
        <v>161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327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  <c r="X203" s="2"/>
    </row>
    <row r="204" spans="2:24" x14ac:dyDescent="0.2">
      <c r="B204" s="2"/>
      <c r="C204" s="2" t="s">
        <v>164</v>
      </c>
      <c r="D204" s="2" t="s">
        <v>165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326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  <c r="X204" s="2"/>
    </row>
    <row r="205" spans="2:24" x14ac:dyDescent="0.2">
      <c r="B205" s="2"/>
      <c r="C205" s="2" t="s">
        <v>166</v>
      </c>
      <c r="D205" s="2" t="s">
        <v>167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326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  <c r="X205" s="2"/>
    </row>
    <row r="206" spans="2:24" x14ac:dyDescent="0.2">
      <c r="B206" s="2"/>
      <c r="C206" s="2" t="s">
        <v>167</v>
      </c>
      <c r="D206" s="2" t="s">
        <v>168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326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  <c r="X206" s="2"/>
    </row>
    <row r="207" spans="2:24" x14ac:dyDescent="0.2">
      <c r="B207" s="2"/>
      <c r="C207" s="2" t="s">
        <v>166</v>
      </c>
      <c r="D207" s="2" t="s">
        <v>168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326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  <c r="X207" s="2"/>
    </row>
    <row r="208" spans="2:24" x14ac:dyDescent="0.2">
      <c r="B208" s="2"/>
      <c r="C208" s="2" t="s">
        <v>169</v>
      </c>
      <c r="D208" s="2" t="s">
        <v>170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326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  <c r="X208" s="2"/>
    </row>
    <row r="209" spans="2:24" x14ac:dyDescent="0.2">
      <c r="B209" s="2"/>
      <c r="C209" s="2" t="s">
        <v>171</v>
      </c>
      <c r="D209" s="2" t="s">
        <v>172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326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  <c r="X209" s="2"/>
    </row>
    <row r="210" spans="2:24" x14ac:dyDescent="0.2">
      <c r="B210" s="2"/>
      <c r="C210" s="2" t="s">
        <v>173</v>
      </c>
      <c r="D210" s="2" t="s">
        <v>174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327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  <c r="X210" s="2"/>
    </row>
    <row r="211" spans="2:24" x14ac:dyDescent="0.2">
      <c r="B211" s="2"/>
      <c r="C211" s="2" t="s">
        <v>176</v>
      </c>
      <c r="D211" s="2" t="s">
        <v>173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327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  <c r="X211" s="2"/>
    </row>
    <row r="212" spans="2:24" x14ac:dyDescent="0.2">
      <c r="B212" s="2"/>
      <c r="C212" s="2" t="s">
        <v>173</v>
      </c>
      <c r="D212" s="2" t="s">
        <v>175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327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  <c r="X212" s="2"/>
    </row>
    <row r="213" spans="2:24" x14ac:dyDescent="0.2">
      <c r="B213" s="2"/>
      <c r="C213" s="2" t="s">
        <v>176</v>
      </c>
      <c r="D213" s="2" t="s">
        <v>174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327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  <c r="X213" s="2"/>
    </row>
    <row r="214" spans="2:24" x14ac:dyDescent="0.2">
      <c r="B214" s="2"/>
      <c r="C214" s="2" t="s">
        <v>174</v>
      </c>
      <c r="D214" s="2" t="s">
        <v>175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327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  <c r="X214" s="2"/>
    </row>
    <row r="215" spans="2:24" x14ac:dyDescent="0.2">
      <c r="B215" s="2"/>
      <c r="C215" s="2" t="s">
        <v>176</v>
      </c>
      <c r="D215" s="2" t="s">
        <v>175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327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  <c r="X215" s="2"/>
    </row>
    <row r="216" spans="2:24" x14ac:dyDescent="0.2">
      <c r="B216" s="2"/>
      <c r="C216" s="2" t="s">
        <v>179</v>
      </c>
      <c r="D216" s="2" t="s">
        <v>177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326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  <c r="X216" s="2"/>
    </row>
    <row r="217" spans="2:24" x14ac:dyDescent="0.2">
      <c r="B217" s="2"/>
      <c r="C217" s="2" t="s">
        <v>177</v>
      </c>
      <c r="D217" s="2" t="s">
        <v>178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326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  <c r="X217" s="2"/>
    </row>
    <row r="218" spans="2:24" x14ac:dyDescent="0.2">
      <c r="B218" s="2"/>
      <c r="C218" s="2" t="s">
        <v>179</v>
      </c>
      <c r="D218" s="2" t="s">
        <v>178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327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  <c r="X218" s="2"/>
    </row>
    <row r="219" spans="2:24" x14ac:dyDescent="0.2">
      <c r="B219" s="2"/>
      <c r="C219" s="2" t="s">
        <v>180</v>
      </c>
      <c r="D219" s="2" t="s">
        <v>181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326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  <c r="X219" s="2"/>
    </row>
    <row r="220" spans="2:24" x14ac:dyDescent="0.2">
      <c r="B220" s="2"/>
      <c r="C220" s="2" t="s">
        <v>182</v>
      </c>
      <c r="D220" s="2" t="s">
        <v>183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326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  <c r="X220" s="2"/>
    </row>
    <row r="221" spans="2:24" x14ac:dyDescent="0.2">
      <c r="B221" s="2"/>
      <c r="C221" s="2" t="s">
        <v>184</v>
      </c>
      <c r="D221" s="2" t="s">
        <v>185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326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  <c r="X221" s="2"/>
    </row>
    <row r="222" spans="2:24" x14ac:dyDescent="0.2">
      <c r="B222" s="2"/>
      <c r="C222" s="2" t="s">
        <v>184</v>
      </c>
      <c r="D222" s="2" t="s">
        <v>186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327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  <c r="X222" s="2"/>
    </row>
    <row r="223" spans="2:24" x14ac:dyDescent="0.2">
      <c r="B223" s="2"/>
      <c r="C223" s="2" t="s">
        <v>185</v>
      </c>
      <c r="D223" s="2" t="s">
        <v>186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327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  <c r="X223" s="2"/>
    </row>
    <row r="224" spans="2:24" x14ac:dyDescent="0.2">
      <c r="B224" s="2"/>
      <c r="C224" s="2" t="s">
        <v>187</v>
      </c>
      <c r="D224" s="2" t="s">
        <v>188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326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  <c r="X224" s="2"/>
    </row>
    <row r="225" spans="2:24" x14ac:dyDescent="0.2">
      <c r="B225" s="2"/>
      <c r="C225" s="2" t="s">
        <v>190</v>
      </c>
      <c r="D225" s="2" t="s">
        <v>188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326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  <c r="X225" s="2"/>
    </row>
    <row r="226" spans="2:24" x14ac:dyDescent="0.2">
      <c r="B226" s="2"/>
      <c r="C226" s="2" t="s">
        <v>188</v>
      </c>
      <c r="D226" s="2" t="s">
        <v>189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327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  <c r="X226" s="2"/>
    </row>
    <row r="227" spans="2:24" x14ac:dyDescent="0.2">
      <c r="B227" s="2"/>
      <c r="C227" s="2" t="s">
        <v>190</v>
      </c>
      <c r="D227" s="2" t="s">
        <v>187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326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  <c r="X227" s="2"/>
    </row>
    <row r="228" spans="2:24" x14ac:dyDescent="0.2">
      <c r="B228" s="2"/>
      <c r="C228" s="2" t="s">
        <v>187</v>
      </c>
      <c r="D228" s="2" t="s">
        <v>189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326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  <c r="X228" s="2"/>
    </row>
    <row r="229" spans="2:24" x14ac:dyDescent="0.2">
      <c r="B229" s="2"/>
      <c r="C229" s="2" t="s">
        <v>190</v>
      </c>
      <c r="D229" s="2" t="s">
        <v>189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326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  <c r="X229" s="2"/>
    </row>
    <row r="230" spans="2:24" x14ac:dyDescent="0.2">
      <c r="B230" s="2"/>
      <c r="C230" s="2" t="s">
        <v>191</v>
      </c>
      <c r="D230" s="2" t="s">
        <v>192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326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  <c r="X230" s="2"/>
    </row>
    <row r="231" spans="2:24" x14ac:dyDescent="0.2">
      <c r="B231" s="2"/>
      <c r="C231" s="2" t="s">
        <v>200</v>
      </c>
      <c r="D231" s="2" t="s">
        <v>194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326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  <c r="X231" s="2"/>
    </row>
    <row r="232" spans="2:24" x14ac:dyDescent="0.2">
      <c r="B232" s="2"/>
      <c r="C232" s="2" t="s">
        <v>198</v>
      </c>
      <c r="D232" s="2" t="s">
        <v>194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326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  <c r="X232" s="2"/>
    </row>
    <row r="233" spans="2:24" x14ac:dyDescent="0.2">
      <c r="B233" s="2"/>
      <c r="C233" s="2" t="s">
        <v>193</v>
      </c>
      <c r="D233" s="2" t="s">
        <v>194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326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  <c r="X233" s="2"/>
    </row>
    <row r="234" spans="2:24" x14ac:dyDescent="0.2">
      <c r="B234" s="2"/>
      <c r="C234" s="2" t="s">
        <v>195</v>
      </c>
      <c r="D234" s="2" t="s">
        <v>194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326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  <c r="X234" s="2"/>
    </row>
    <row r="235" spans="2:24" x14ac:dyDescent="0.2">
      <c r="B235" s="2"/>
      <c r="C235" s="2" t="s">
        <v>199</v>
      </c>
      <c r="D235" s="2" t="s">
        <v>194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326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  <c r="X235" s="2"/>
    </row>
    <row r="236" spans="2:24" x14ac:dyDescent="0.2">
      <c r="B236" s="2"/>
      <c r="C236" s="2" t="s">
        <v>197</v>
      </c>
      <c r="D236" s="2" t="s">
        <v>194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326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  <c r="X236" s="2"/>
    </row>
    <row r="237" spans="2:24" x14ac:dyDescent="0.2">
      <c r="B237" s="2"/>
      <c r="C237" s="2" t="s">
        <v>194</v>
      </c>
      <c r="D237" s="2" t="s">
        <v>196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326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  <c r="X237" s="2"/>
    </row>
    <row r="238" spans="2:24" x14ac:dyDescent="0.2">
      <c r="B238" s="2"/>
      <c r="C238" s="2" t="s">
        <v>200</v>
      </c>
      <c r="D238" s="2" t="s">
        <v>198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326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  <c r="X238" s="2"/>
    </row>
    <row r="239" spans="2:24" x14ac:dyDescent="0.2">
      <c r="B239" s="2"/>
      <c r="C239" s="2" t="s">
        <v>200</v>
      </c>
      <c r="D239" s="2" t="s">
        <v>193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326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  <c r="X239" s="2"/>
    </row>
    <row r="240" spans="2:24" x14ac:dyDescent="0.2">
      <c r="B240" s="2"/>
      <c r="C240" s="2" t="s">
        <v>200</v>
      </c>
      <c r="D240" s="2" t="s">
        <v>195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326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  <c r="X240" s="2"/>
    </row>
    <row r="241" spans="2:24" x14ac:dyDescent="0.2">
      <c r="B241" s="2"/>
      <c r="C241" s="2" t="s">
        <v>200</v>
      </c>
      <c r="D241" s="2" t="s">
        <v>199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326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  <c r="X241" s="2"/>
    </row>
    <row r="242" spans="2:24" x14ac:dyDescent="0.2">
      <c r="B242" s="2"/>
      <c r="C242" s="2" t="s">
        <v>200</v>
      </c>
      <c r="D242" s="2" t="s">
        <v>197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326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  <c r="X242" s="2"/>
    </row>
    <row r="243" spans="2:24" x14ac:dyDescent="0.2">
      <c r="B243" s="2"/>
      <c r="C243" s="2" t="s">
        <v>200</v>
      </c>
      <c r="D243" s="2" t="s">
        <v>196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326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  <c r="X243" s="2"/>
    </row>
    <row r="244" spans="2:24" x14ac:dyDescent="0.2">
      <c r="B244" s="2"/>
      <c r="C244" s="2" t="s">
        <v>198</v>
      </c>
      <c r="D244" s="2" t="s">
        <v>193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326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  <c r="X244" s="2"/>
    </row>
    <row r="245" spans="2:24" x14ac:dyDescent="0.2">
      <c r="B245" s="2"/>
      <c r="C245" s="2" t="s">
        <v>198</v>
      </c>
      <c r="D245" s="2" t="s">
        <v>195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326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  <c r="X245" s="2"/>
    </row>
    <row r="246" spans="2:24" x14ac:dyDescent="0.2">
      <c r="B246" s="2"/>
      <c r="C246" s="2" t="s">
        <v>199</v>
      </c>
      <c r="D246" s="2" t="s">
        <v>198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326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  <c r="X246" s="2"/>
    </row>
    <row r="247" spans="2:24" x14ac:dyDescent="0.2">
      <c r="B247" s="2"/>
      <c r="C247" s="2" t="s">
        <v>197</v>
      </c>
      <c r="D247" s="2" t="s">
        <v>198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326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  <c r="X247" s="2"/>
    </row>
    <row r="248" spans="2:24" x14ac:dyDescent="0.2">
      <c r="B248" s="2"/>
      <c r="C248" s="2" t="s">
        <v>198</v>
      </c>
      <c r="D248" s="2" t="s">
        <v>196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326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  <c r="X248" s="2"/>
    </row>
    <row r="249" spans="2:24" x14ac:dyDescent="0.2">
      <c r="B249" s="2"/>
      <c r="C249" s="2" t="s">
        <v>193</v>
      </c>
      <c r="D249" s="2" t="s">
        <v>195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326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  <c r="X249" s="2"/>
    </row>
    <row r="250" spans="2:24" x14ac:dyDescent="0.2">
      <c r="B250" s="2"/>
      <c r="C250" s="2" t="s">
        <v>199</v>
      </c>
      <c r="D250" s="2" t="s">
        <v>193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326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  <c r="X250" s="2"/>
    </row>
    <row r="251" spans="2:24" x14ac:dyDescent="0.2">
      <c r="B251" s="2"/>
      <c r="C251" s="2" t="s">
        <v>197</v>
      </c>
      <c r="D251" s="2" t="s">
        <v>193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326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  <c r="X251" s="2"/>
    </row>
    <row r="252" spans="2:24" x14ac:dyDescent="0.2">
      <c r="B252" s="2"/>
      <c r="C252" s="2" t="s">
        <v>193</v>
      </c>
      <c r="D252" s="2" t="s">
        <v>196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326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  <c r="X252" s="2"/>
    </row>
    <row r="253" spans="2:24" x14ac:dyDescent="0.2">
      <c r="B253" s="2"/>
      <c r="C253" s="2" t="s">
        <v>199</v>
      </c>
      <c r="D253" s="2" t="s">
        <v>195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326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  <c r="X253" s="2"/>
    </row>
    <row r="254" spans="2:24" x14ac:dyDescent="0.2">
      <c r="B254" s="2"/>
      <c r="C254" s="2" t="s">
        <v>197</v>
      </c>
      <c r="D254" s="2" t="s">
        <v>195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326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  <c r="X254" s="2"/>
    </row>
    <row r="255" spans="2:24" x14ac:dyDescent="0.2">
      <c r="B255" s="2"/>
      <c r="C255" s="2" t="s">
        <v>195</v>
      </c>
      <c r="D255" s="2" t="s">
        <v>196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326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  <c r="X255" s="2"/>
    </row>
    <row r="256" spans="2:24" x14ac:dyDescent="0.2">
      <c r="B256" s="2"/>
      <c r="C256" s="2" t="s">
        <v>199</v>
      </c>
      <c r="D256" s="2" t="s">
        <v>197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326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  <c r="X256" s="2"/>
    </row>
    <row r="257" spans="2:24" x14ac:dyDescent="0.2">
      <c r="B257" s="2"/>
      <c r="C257" s="2" t="s">
        <v>199</v>
      </c>
      <c r="D257" s="2" t="s">
        <v>196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326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  <c r="X257" s="2"/>
    </row>
    <row r="258" spans="2:24" x14ac:dyDescent="0.2">
      <c r="B258" s="2"/>
      <c r="C258" s="2" t="s">
        <v>197</v>
      </c>
      <c r="D258" s="2" t="s">
        <v>196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326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  <c r="X258" s="2"/>
    </row>
    <row r="259" spans="2:24" x14ac:dyDescent="0.2">
      <c r="B259" s="2"/>
      <c r="C259" s="2" t="s">
        <v>204</v>
      </c>
      <c r="D259" s="2" t="s">
        <v>201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326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  <c r="X259" s="2"/>
    </row>
    <row r="260" spans="2:24" x14ac:dyDescent="0.2">
      <c r="B260" s="2"/>
      <c r="C260" s="2" t="s">
        <v>203</v>
      </c>
      <c r="D260" s="2" t="s">
        <v>204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326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  <c r="X260" s="2"/>
    </row>
    <row r="261" spans="2:24" x14ac:dyDescent="0.2">
      <c r="B261" s="2"/>
      <c r="C261" s="2" t="s">
        <v>204</v>
      </c>
      <c r="D261" s="2" t="s">
        <v>202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326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  <c r="X261" s="2"/>
    </row>
    <row r="262" spans="2:24" x14ac:dyDescent="0.2">
      <c r="B262" s="2"/>
      <c r="C262" s="2" t="s">
        <v>203</v>
      </c>
      <c r="D262" s="2" t="s">
        <v>201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326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  <c r="X262" s="2"/>
    </row>
    <row r="263" spans="2:24" x14ac:dyDescent="0.2">
      <c r="B263" s="2"/>
      <c r="C263" s="2" t="s">
        <v>201</v>
      </c>
      <c r="D263" s="2" t="s">
        <v>202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327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  <c r="X263" s="2"/>
    </row>
    <row r="264" spans="2:24" x14ac:dyDescent="0.2">
      <c r="B264" s="2"/>
      <c r="C264" s="2" t="s">
        <v>203</v>
      </c>
      <c r="D264" s="2" t="s">
        <v>202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326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  <c r="X264" s="2"/>
    </row>
    <row r="265" spans="2:24" x14ac:dyDescent="0.2">
      <c r="B265" s="2"/>
      <c r="C265" s="2" t="s">
        <v>205</v>
      </c>
      <c r="D265" s="2" t="s">
        <v>206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326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  <c r="X265" s="2"/>
    </row>
    <row r="266" spans="2:24" x14ac:dyDescent="0.2">
      <c r="B266" s="2"/>
      <c r="C266" s="2" t="s">
        <v>210</v>
      </c>
      <c r="D266" s="2" t="s">
        <v>207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327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  <c r="X266" s="2"/>
    </row>
    <row r="267" spans="2:24" x14ac:dyDescent="0.2">
      <c r="B267" s="2"/>
      <c r="C267" s="2" t="s">
        <v>207</v>
      </c>
      <c r="D267" s="2" t="s">
        <v>208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326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  <c r="X267" s="2"/>
    </row>
    <row r="268" spans="2:24" x14ac:dyDescent="0.2">
      <c r="B268" s="2"/>
      <c r="C268" s="2" t="s">
        <v>207</v>
      </c>
      <c r="D268" s="2" t="s">
        <v>209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326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  <c r="X268" s="2"/>
    </row>
    <row r="269" spans="2:24" x14ac:dyDescent="0.2">
      <c r="B269" s="2"/>
      <c r="C269" s="2" t="s">
        <v>210</v>
      </c>
      <c r="D269" s="2" t="s">
        <v>208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327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  <c r="X269" s="2"/>
    </row>
    <row r="270" spans="2:24" x14ac:dyDescent="0.2">
      <c r="B270" s="2"/>
      <c r="C270" s="2" t="s">
        <v>210</v>
      </c>
      <c r="D270" s="2" t="s">
        <v>209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326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  <c r="X270" s="2"/>
    </row>
    <row r="271" spans="2:24" x14ac:dyDescent="0.2">
      <c r="B271" s="2"/>
      <c r="C271" s="2" t="s">
        <v>208</v>
      </c>
      <c r="D271" s="2" t="s">
        <v>209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326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  <c r="X271" s="2"/>
    </row>
    <row r="272" spans="2:24" x14ac:dyDescent="0.2">
      <c r="B272" s="2"/>
      <c r="C272" s="2" t="s">
        <v>215</v>
      </c>
      <c r="D272" s="2" t="s">
        <v>214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326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  <c r="X272" s="2"/>
    </row>
    <row r="273" spans="2:24" x14ac:dyDescent="0.2">
      <c r="B273" s="2"/>
      <c r="C273" s="2" t="s">
        <v>214</v>
      </c>
      <c r="D273" s="2" t="s">
        <v>211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327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  <c r="X273" s="2"/>
    </row>
    <row r="274" spans="2:24" x14ac:dyDescent="0.2">
      <c r="B274" s="2"/>
      <c r="C274" s="2" t="s">
        <v>213</v>
      </c>
      <c r="D274" s="2" t="s">
        <v>214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326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  <c r="X274" s="2"/>
    </row>
    <row r="275" spans="2:24" x14ac:dyDescent="0.2">
      <c r="B275" s="2"/>
      <c r="C275" s="2" t="s">
        <v>216</v>
      </c>
      <c r="D275" s="2" t="s">
        <v>214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326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  <c r="X275" s="2"/>
    </row>
    <row r="276" spans="2:24" x14ac:dyDescent="0.2">
      <c r="B276" s="2"/>
      <c r="C276" s="2" t="s">
        <v>214</v>
      </c>
      <c r="D276" s="2" t="s">
        <v>212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326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  <c r="X276" s="2"/>
    </row>
    <row r="277" spans="2:24" x14ac:dyDescent="0.2">
      <c r="B277" s="2"/>
      <c r="C277" s="2" t="s">
        <v>215</v>
      </c>
      <c r="D277" s="2" t="s">
        <v>211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326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  <c r="X277" s="2"/>
    </row>
    <row r="278" spans="2:24" x14ac:dyDescent="0.2">
      <c r="B278" s="2"/>
      <c r="C278" s="2" t="s">
        <v>213</v>
      </c>
      <c r="D278" s="2" t="s">
        <v>215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326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  <c r="X278" s="2"/>
    </row>
    <row r="279" spans="2:24" x14ac:dyDescent="0.2">
      <c r="B279" s="2"/>
      <c r="C279" s="2" t="s">
        <v>215</v>
      </c>
      <c r="D279" s="2" t="s">
        <v>216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326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  <c r="X279" s="2"/>
    </row>
    <row r="280" spans="2:24" x14ac:dyDescent="0.2">
      <c r="B280" s="2"/>
      <c r="C280" s="2" t="s">
        <v>215</v>
      </c>
      <c r="D280" s="2" t="s">
        <v>212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327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  <c r="X280" s="2"/>
    </row>
    <row r="281" spans="2:24" x14ac:dyDescent="0.2">
      <c r="B281" s="2"/>
      <c r="C281" s="2" t="s">
        <v>213</v>
      </c>
      <c r="D281" s="2" t="s">
        <v>211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326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  <c r="X281" s="2"/>
    </row>
    <row r="282" spans="2:24" x14ac:dyDescent="0.2">
      <c r="B282" s="2"/>
      <c r="C282" s="2" t="s">
        <v>216</v>
      </c>
      <c r="D282" s="2" t="s">
        <v>211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327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  <c r="X282" s="2"/>
    </row>
    <row r="283" spans="2:24" x14ac:dyDescent="0.2">
      <c r="B283" s="2"/>
      <c r="C283" s="2" t="s">
        <v>211</v>
      </c>
      <c r="D283" s="2" t="s">
        <v>212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326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  <c r="X283" s="2"/>
    </row>
    <row r="284" spans="2:24" x14ac:dyDescent="0.2">
      <c r="B284" s="2"/>
      <c r="C284" s="2" t="s">
        <v>213</v>
      </c>
      <c r="D284" s="2" t="s">
        <v>216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326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  <c r="X284" s="2"/>
    </row>
    <row r="285" spans="2:24" x14ac:dyDescent="0.2">
      <c r="B285" s="2"/>
      <c r="C285" s="2" t="s">
        <v>213</v>
      </c>
      <c r="D285" s="2" t="s">
        <v>212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327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  <c r="X285" s="2"/>
    </row>
    <row r="286" spans="2:24" x14ac:dyDescent="0.2">
      <c r="B286" s="2"/>
      <c r="C286" s="2" t="s">
        <v>216</v>
      </c>
      <c r="D286" s="2" t="s">
        <v>212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326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  <c r="X286" s="2"/>
    </row>
    <row r="287" spans="2:24" x14ac:dyDescent="0.2">
      <c r="B287" s="2"/>
      <c r="C287" s="2" t="s">
        <v>217</v>
      </c>
      <c r="D287" s="2" t="s">
        <v>218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327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  <c r="X287" s="2"/>
    </row>
    <row r="288" spans="2:24" x14ac:dyDescent="0.2">
      <c r="B288" s="2"/>
      <c r="C288" s="2" t="s">
        <v>220</v>
      </c>
      <c r="D288" s="2" t="s">
        <v>217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327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  <c r="X288" s="2"/>
    </row>
    <row r="289" spans="2:24" x14ac:dyDescent="0.2">
      <c r="B289" s="2"/>
      <c r="C289" s="2" t="s">
        <v>217</v>
      </c>
      <c r="D289" s="2" t="s">
        <v>219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327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  <c r="X289" s="2"/>
    </row>
    <row r="290" spans="2:24" x14ac:dyDescent="0.2">
      <c r="B290" s="2"/>
      <c r="C290" s="2" t="s">
        <v>220</v>
      </c>
      <c r="D290" s="2" t="s">
        <v>218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327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  <c r="X290" s="2"/>
    </row>
    <row r="291" spans="2:24" x14ac:dyDescent="0.2">
      <c r="B291" s="2"/>
      <c r="C291" s="2" t="s">
        <v>218</v>
      </c>
      <c r="D291" s="2" t="s">
        <v>219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327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  <c r="X291" s="2"/>
    </row>
    <row r="292" spans="2:24" x14ac:dyDescent="0.2">
      <c r="B292" s="2"/>
      <c r="C292" s="2" t="s">
        <v>220</v>
      </c>
      <c r="D292" s="2" t="s">
        <v>219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327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  <c r="X292" s="2"/>
    </row>
    <row r="293" spans="2:24" x14ac:dyDescent="0.2">
      <c r="B293" s="2"/>
      <c r="C293" s="2" t="s">
        <v>221</v>
      </c>
      <c r="D293" s="2" t="s">
        <v>222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326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  <c r="X293" s="2"/>
    </row>
    <row r="294" spans="2:24" x14ac:dyDescent="0.2">
      <c r="B294" s="2"/>
      <c r="C294" s="2" t="s">
        <v>223</v>
      </c>
      <c r="D294" s="2" t="s">
        <v>224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326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  <c r="X294" s="2"/>
    </row>
    <row r="295" spans="2:24" x14ac:dyDescent="0.2">
      <c r="B295" s="2"/>
      <c r="C295" s="2" t="s">
        <v>225</v>
      </c>
      <c r="D295" s="2" t="s">
        <v>226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326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  <c r="X295" s="2"/>
    </row>
    <row r="296" spans="2:24" x14ac:dyDescent="0.2">
      <c r="B296" s="2"/>
      <c r="C296" s="2" t="s">
        <v>229</v>
      </c>
      <c r="D296" s="2" t="s">
        <v>227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326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  <c r="X296" s="2"/>
    </row>
    <row r="297" spans="2:24" x14ac:dyDescent="0.2">
      <c r="B297" s="2"/>
      <c r="C297" s="2" t="s">
        <v>229</v>
      </c>
      <c r="D297" s="2" t="s">
        <v>228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326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  <c r="X297" s="2"/>
    </row>
    <row r="298" spans="2:24" x14ac:dyDescent="0.2">
      <c r="B298" s="2"/>
      <c r="C298" s="2" t="s">
        <v>227</v>
      </c>
      <c r="D298" s="2" t="s">
        <v>228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326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  <c r="X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L155"/>
  <sheetViews>
    <sheetView tabSelected="1" workbookViewId="0">
      <selection activeCell="B65" sqref="B65"/>
    </sheetView>
  </sheetViews>
  <sheetFormatPr defaultColWidth="9.140625" defaultRowHeight="15" x14ac:dyDescent="0.25"/>
  <cols>
    <col min="1" max="1" width="19.140625" style="16" customWidth="1"/>
    <col min="2" max="2" width="32.7109375" style="16" customWidth="1"/>
    <col min="3" max="6" width="17.28515625" style="2" customWidth="1"/>
    <col min="7" max="8" width="9.140625" style="23"/>
    <col min="9" max="9" width="17.7109375" style="23" customWidth="1"/>
    <col min="10" max="10" width="9.140625" style="23"/>
    <col min="11" max="11" width="11.7109375" style="2" customWidth="1"/>
    <col min="12" max="12" width="21.7109375" style="2" customWidth="1"/>
    <col min="13" max="16384" width="9.140625" style="23"/>
  </cols>
  <sheetData>
    <row r="1" spans="1:12" x14ac:dyDescent="0.25">
      <c r="A1" s="17" t="s">
        <v>328</v>
      </c>
      <c r="B1" s="17" t="s">
        <v>454</v>
      </c>
      <c r="C1" s="3" t="s">
        <v>346</v>
      </c>
      <c r="D1" s="3" t="s">
        <v>420</v>
      </c>
      <c r="E1" s="3" t="s">
        <v>421</v>
      </c>
      <c r="F1" s="3" t="s">
        <v>428</v>
      </c>
      <c r="G1" s="5" t="s">
        <v>455</v>
      </c>
      <c r="H1" s="5" t="s">
        <v>350</v>
      </c>
      <c r="I1" s="5" t="s">
        <v>495</v>
      </c>
      <c r="K1" s="5" t="s">
        <v>459</v>
      </c>
      <c r="L1" s="5" t="s">
        <v>464</v>
      </c>
    </row>
    <row r="2" spans="1:12" x14ac:dyDescent="0.25">
      <c r="A2" s="16" t="s">
        <v>0</v>
      </c>
      <c r="B2" s="18">
        <v>-8.7204819381104919</v>
      </c>
      <c r="G2" s="2" t="s">
        <v>456</v>
      </c>
      <c r="H2" s="2">
        <v>1977</v>
      </c>
      <c r="I2" s="2" t="str">
        <f>IFERROR(VLOOKUP(A2,$K$2:$L$29,2,FALSE),"")</f>
        <v/>
      </c>
      <c r="K2" s="2" t="s">
        <v>21</v>
      </c>
      <c r="L2" s="2">
        <v>3.0373261474054374</v>
      </c>
    </row>
    <row r="3" spans="1:12" x14ac:dyDescent="0.25">
      <c r="A3" s="16" t="s">
        <v>5</v>
      </c>
      <c r="B3" s="18">
        <v>-3.3857874966861408</v>
      </c>
      <c r="G3" s="2" t="s">
        <v>456</v>
      </c>
      <c r="H3" s="2">
        <v>100</v>
      </c>
      <c r="I3" s="2" t="str">
        <f t="shared" ref="I3:I66" si="0">IFERROR(VLOOKUP(A3,$K$2:$L$29,2,FALSE),"")</f>
        <v/>
      </c>
      <c r="K3" s="2" t="s">
        <v>27</v>
      </c>
      <c r="L3" s="2">
        <v>3.151560317405437</v>
      </c>
    </row>
    <row r="4" spans="1:12" x14ac:dyDescent="0.25">
      <c r="A4" s="16" t="s">
        <v>4</v>
      </c>
      <c r="B4" s="18">
        <v>-3.2005999967909977</v>
      </c>
      <c r="G4" s="2" t="s">
        <v>456</v>
      </c>
      <c r="H4" s="2"/>
      <c r="I4" s="2" t="str">
        <f t="shared" si="0"/>
        <v/>
      </c>
      <c r="K4" s="2" t="s">
        <v>37</v>
      </c>
      <c r="L4" s="2">
        <v>2.1207167974054499</v>
      </c>
    </row>
    <row r="5" spans="1:12" x14ac:dyDescent="0.25">
      <c r="A5" s="16" t="s">
        <v>2</v>
      </c>
      <c r="B5" s="18">
        <v>-3.4562874966462216</v>
      </c>
      <c r="C5" s="2">
        <v>60</v>
      </c>
      <c r="D5" s="2">
        <v>112.5</v>
      </c>
      <c r="E5" s="2">
        <v>191.3</v>
      </c>
      <c r="F5" s="2" t="s">
        <v>304</v>
      </c>
      <c r="G5" s="2">
        <v>191.3</v>
      </c>
      <c r="H5" s="2">
        <v>200</v>
      </c>
      <c r="I5" s="2" t="str">
        <f t="shared" si="0"/>
        <v/>
      </c>
      <c r="K5" s="2" t="s">
        <v>38</v>
      </c>
      <c r="L5" s="2">
        <v>3.8805203374054358</v>
      </c>
    </row>
    <row r="6" spans="1:12" x14ac:dyDescent="0.25">
      <c r="A6" s="16" t="s">
        <v>6</v>
      </c>
      <c r="B6" s="18">
        <v>-8.2046208272914161</v>
      </c>
      <c r="G6" s="2" t="s">
        <v>456</v>
      </c>
      <c r="H6" s="2">
        <v>2053</v>
      </c>
      <c r="I6" s="2" t="str">
        <f t="shared" si="0"/>
        <v/>
      </c>
      <c r="K6" s="2" t="s">
        <v>59</v>
      </c>
      <c r="L6" s="2" t="s">
        <v>304</v>
      </c>
    </row>
    <row r="7" spans="1:12" x14ac:dyDescent="0.25">
      <c r="A7" s="16" t="s">
        <v>10</v>
      </c>
      <c r="B7" s="18">
        <v>-4.6743924959566261</v>
      </c>
      <c r="G7" s="2" t="s">
        <v>456</v>
      </c>
      <c r="H7" s="2">
        <v>315</v>
      </c>
      <c r="I7" s="2" t="str">
        <f t="shared" si="0"/>
        <v/>
      </c>
      <c r="K7" s="2" t="s">
        <v>62</v>
      </c>
      <c r="L7" s="2">
        <v>3.4207135174054315</v>
      </c>
    </row>
    <row r="8" spans="1:12" x14ac:dyDescent="0.25">
      <c r="A8" s="16" t="s">
        <v>8</v>
      </c>
      <c r="B8" s="18">
        <v>-5.2028541623241376</v>
      </c>
      <c r="G8" s="2" t="s">
        <v>456</v>
      </c>
      <c r="H8" s="2">
        <v>312</v>
      </c>
      <c r="I8" s="2" t="str">
        <f t="shared" si="0"/>
        <v/>
      </c>
      <c r="K8" s="2" t="s">
        <v>63</v>
      </c>
      <c r="L8" s="2">
        <v>2.72376797740543</v>
      </c>
    </row>
    <row r="9" spans="1:12" x14ac:dyDescent="0.25">
      <c r="A9" s="16" t="s">
        <v>11</v>
      </c>
      <c r="B9" s="18">
        <v>-3.2452208300990661</v>
      </c>
      <c r="G9" s="2" t="s">
        <v>456</v>
      </c>
      <c r="H9" s="2">
        <v>150</v>
      </c>
      <c r="I9" s="2" t="str">
        <f t="shared" si="0"/>
        <v/>
      </c>
      <c r="K9" s="2" t="s">
        <v>64</v>
      </c>
      <c r="L9" s="2">
        <v>4.37459398740544</v>
      </c>
    </row>
    <row r="10" spans="1:12" x14ac:dyDescent="0.25">
      <c r="A10" s="16" t="s">
        <v>13</v>
      </c>
      <c r="B10" s="18">
        <v>-7.1565430501070013</v>
      </c>
      <c r="G10" s="2" t="s">
        <v>456</v>
      </c>
      <c r="H10" s="2">
        <v>450</v>
      </c>
      <c r="I10" s="2" t="str">
        <f t="shared" si="0"/>
        <v/>
      </c>
      <c r="K10" s="2" t="s">
        <v>70</v>
      </c>
      <c r="L10" s="2">
        <v>3.1627793174054446</v>
      </c>
    </row>
    <row r="11" spans="1:12" x14ac:dyDescent="0.25">
      <c r="A11" s="16" t="s">
        <v>14</v>
      </c>
      <c r="B11" s="18">
        <v>-8.1311874939995974</v>
      </c>
      <c r="G11" s="2" t="s">
        <v>456</v>
      </c>
      <c r="H11" s="2">
        <v>2000</v>
      </c>
      <c r="I11" s="2" t="str">
        <f t="shared" si="0"/>
        <v/>
      </c>
      <c r="K11" s="2" t="s">
        <v>80</v>
      </c>
      <c r="L11" s="2" t="s">
        <v>304</v>
      </c>
    </row>
    <row r="12" spans="1:12" x14ac:dyDescent="0.25">
      <c r="A12" s="16" t="s">
        <v>18</v>
      </c>
      <c r="B12" s="18">
        <v>-4.7581874959091941</v>
      </c>
      <c r="G12" s="2" t="s">
        <v>456</v>
      </c>
      <c r="H12" s="2">
        <v>450</v>
      </c>
      <c r="I12" s="2" t="str">
        <f t="shared" si="0"/>
        <v/>
      </c>
      <c r="K12" s="2" t="s">
        <v>98</v>
      </c>
      <c r="L12" s="2">
        <v>2.1807719774053567</v>
      </c>
    </row>
    <row r="13" spans="1:12" x14ac:dyDescent="0.25">
      <c r="A13" s="16" t="s">
        <v>16</v>
      </c>
      <c r="B13" s="18">
        <v>-8.1370374939963419</v>
      </c>
      <c r="G13" s="2" t="s">
        <v>456</v>
      </c>
      <c r="H13" s="2">
        <v>1972</v>
      </c>
      <c r="I13" s="2" t="str">
        <f t="shared" si="0"/>
        <v/>
      </c>
      <c r="K13" s="2" t="s">
        <v>99</v>
      </c>
      <c r="L13" s="2">
        <v>2.7480267574054551</v>
      </c>
    </row>
    <row r="14" spans="1:12" x14ac:dyDescent="0.25">
      <c r="A14" s="16" t="s">
        <v>19</v>
      </c>
      <c r="B14" s="18">
        <v>-8.6980874936786918</v>
      </c>
      <c r="G14" s="2" t="s">
        <v>456</v>
      </c>
      <c r="H14" s="2">
        <v>2577</v>
      </c>
      <c r="I14" s="2" t="str">
        <f t="shared" si="0"/>
        <v/>
      </c>
      <c r="K14" s="2" t="s">
        <v>100</v>
      </c>
      <c r="L14" s="2">
        <v>4.7889148874054399</v>
      </c>
    </row>
    <row r="15" spans="1:12" x14ac:dyDescent="0.25">
      <c r="A15" s="16" t="s">
        <v>23</v>
      </c>
      <c r="B15" s="18">
        <v>-4.9547660672264726</v>
      </c>
      <c r="G15" s="2" t="s">
        <v>456</v>
      </c>
      <c r="H15" s="2"/>
      <c r="I15" s="2" t="str">
        <f t="shared" si="0"/>
        <v/>
      </c>
      <c r="K15" s="2" t="s">
        <v>104</v>
      </c>
      <c r="L15" s="2">
        <v>4.8115857574054388</v>
      </c>
    </row>
    <row r="16" spans="1:12" x14ac:dyDescent="0.25">
      <c r="A16" s="16" t="s">
        <v>24</v>
      </c>
      <c r="B16" s="18">
        <v>-4.678112495954541</v>
      </c>
      <c r="G16" s="2" t="s">
        <v>456</v>
      </c>
      <c r="H16" s="2">
        <v>305</v>
      </c>
      <c r="I16" s="2" t="str">
        <f t="shared" si="0"/>
        <v/>
      </c>
      <c r="K16" s="2" t="s">
        <v>106</v>
      </c>
      <c r="L16" s="2">
        <v>3.0667998474054343</v>
      </c>
    </row>
    <row r="17" spans="1:12" x14ac:dyDescent="0.25">
      <c r="A17" s="16" t="s">
        <v>21</v>
      </c>
      <c r="B17" s="18">
        <v>-5.2238208289789334</v>
      </c>
      <c r="C17" s="2">
        <v>277</v>
      </c>
      <c r="D17" s="2">
        <v>477</v>
      </c>
      <c r="E17" s="2" t="s">
        <v>304</v>
      </c>
      <c r="F17" s="2" t="s">
        <v>304</v>
      </c>
      <c r="G17" s="2">
        <v>477</v>
      </c>
      <c r="H17" s="2">
        <v>817</v>
      </c>
      <c r="I17" s="2">
        <f t="shared" si="0"/>
        <v>3.0373261474054374</v>
      </c>
      <c r="K17" s="2" t="s">
        <v>130</v>
      </c>
      <c r="L17" s="2">
        <v>2.2644996074054404</v>
      </c>
    </row>
    <row r="18" spans="1:12" x14ac:dyDescent="0.25">
      <c r="A18" s="16" t="s">
        <v>25</v>
      </c>
      <c r="B18" s="18">
        <v>-9.1098624934456076</v>
      </c>
      <c r="G18" s="2" t="s">
        <v>456</v>
      </c>
      <c r="H18" s="2">
        <v>2898</v>
      </c>
      <c r="I18" s="2" t="str">
        <f t="shared" si="0"/>
        <v/>
      </c>
      <c r="K18" s="2" t="s">
        <v>131</v>
      </c>
      <c r="L18" s="2">
        <v>2.9623635274054365</v>
      </c>
    </row>
    <row r="19" spans="1:12" x14ac:dyDescent="0.25">
      <c r="A19" s="16" t="s">
        <v>27</v>
      </c>
      <c r="B19" s="18">
        <v>-5.2325874956406278</v>
      </c>
      <c r="C19" s="2">
        <v>95</v>
      </c>
      <c r="D19" s="2" t="s">
        <v>304</v>
      </c>
      <c r="E19" s="2" t="s">
        <v>304</v>
      </c>
      <c r="F19" s="2" t="s">
        <v>304</v>
      </c>
      <c r="G19" s="2">
        <v>95</v>
      </c>
      <c r="H19" s="2">
        <v>1430</v>
      </c>
      <c r="I19" s="2">
        <f t="shared" si="0"/>
        <v>3.151560317405437</v>
      </c>
      <c r="K19" s="2" t="s">
        <v>160</v>
      </c>
      <c r="L19" s="2">
        <v>3.3158645574054475</v>
      </c>
    </row>
    <row r="20" spans="1:12" x14ac:dyDescent="0.25">
      <c r="A20" s="16" t="s">
        <v>35</v>
      </c>
      <c r="B20" s="18">
        <v>-8.5220624937783391</v>
      </c>
      <c r="G20" s="2" t="s">
        <v>456</v>
      </c>
      <c r="H20" s="2"/>
      <c r="I20" s="2" t="str">
        <f t="shared" si="0"/>
        <v/>
      </c>
      <c r="K20" s="2" t="s">
        <v>163</v>
      </c>
      <c r="L20" s="2">
        <v>2.3203174274054561</v>
      </c>
    </row>
    <row r="21" spans="1:12" x14ac:dyDescent="0.25">
      <c r="A21" s="16" t="s">
        <v>36</v>
      </c>
      <c r="B21" s="18">
        <v>-8.3853874938557631</v>
      </c>
      <c r="C21" s="2">
        <v>327</v>
      </c>
      <c r="D21" s="2">
        <v>527</v>
      </c>
      <c r="E21" s="2">
        <v>827</v>
      </c>
      <c r="F21" s="2" t="s">
        <v>304</v>
      </c>
      <c r="G21" s="2">
        <v>827</v>
      </c>
      <c r="H21" s="2">
        <v>2400</v>
      </c>
      <c r="I21" s="2" t="str">
        <f t="shared" si="0"/>
        <v/>
      </c>
      <c r="K21" s="2" t="s">
        <v>173</v>
      </c>
      <c r="L21" s="2">
        <v>3.8178193974054295</v>
      </c>
    </row>
    <row r="22" spans="1:12" x14ac:dyDescent="0.25">
      <c r="A22" s="16" t="s">
        <v>29</v>
      </c>
      <c r="B22" s="18">
        <v>-8.599537493734525</v>
      </c>
      <c r="G22" s="2" t="s">
        <v>456</v>
      </c>
      <c r="H22" s="2"/>
      <c r="I22" s="2" t="str">
        <f t="shared" si="0"/>
        <v/>
      </c>
      <c r="K22" s="2" t="s">
        <v>174</v>
      </c>
      <c r="L22" s="2">
        <v>3.2533556474054421</v>
      </c>
    </row>
    <row r="23" spans="1:12" x14ac:dyDescent="0.25">
      <c r="A23" s="16" t="s">
        <v>30</v>
      </c>
      <c r="B23" s="18">
        <v>-8.6161930492806214</v>
      </c>
      <c r="G23" s="2" t="s">
        <v>456</v>
      </c>
      <c r="H23" s="2"/>
      <c r="I23" s="2" t="str">
        <f t="shared" si="0"/>
        <v/>
      </c>
      <c r="K23" s="2" t="s">
        <v>176</v>
      </c>
      <c r="L23" s="2">
        <v>3.264641837405442</v>
      </c>
    </row>
    <row r="24" spans="1:12" x14ac:dyDescent="0.25">
      <c r="A24" s="16" t="s">
        <v>31</v>
      </c>
      <c r="B24" s="18">
        <v>-8.7622166603090825</v>
      </c>
      <c r="G24" s="2" t="s">
        <v>456</v>
      </c>
      <c r="H24" s="2">
        <v>2210</v>
      </c>
      <c r="I24" s="2" t="str">
        <f t="shared" si="0"/>
        <v/>
      </c>
      <c r="K24" s="2" t="s">
        <v>188</v>
      </c>
      <c r="L24" s="2">
        <v>2.7030300774054297</v>
      </c>
    </row>
    <row r="25" spans="1:12" x14ac:dyDescent="0.25">
      <c r="A25" s="16" t="s">
        <v>33</v>
      </c>
      <c r="B25" s="18">
        <v>-8.686754160351807</v>
      </c>
      <c r="G25" s="2" t="s">
        <v>456</v>
      </c>
      <c r="H25" s="2"/>
      <c r="I25" s="2" t="str">
        <f t="shared" si="0"/>
        <v/>
      </c>
      <c r="K25" s="2" t="s">
        <v>213</v>
      </c>
      <c r="L25" s="2">
        <v>1.4559845674054515</v>
      </c>
    </row>
    <row r="26" spans="1:12" x14ac:dyDescent="0.25">
      <c r="A26" s="16" t="s">
        <v>32</v>
      </c>
      <c r="B26" s="18">
        <v>-8.9538374935339533</v>
      </c>
      <c r="G26" s="2" t="s">
        <v>456</v>
      </c>
      <c r="H26" s="2"/>
      <c r="I26" s="2" t="str">
        <f t="shared" si="0"/>
        <v/>
      </c>
      <c r="K26" s="2" t="s">
        <v>214</v>
      </c>
      <c r="L26" s="2">
        <v>4.6081819174054601</v>
      </c>
    </row>
    <row r="27" spans="1:12" x14ac:dyDescent="0.25">
      <c r="A27" s="16" t="s">
        <v>40</v>
      </c>
      <c r="B27" s="18">
        <v>-4.174412496239694</v>
      </c>
      <c r="G27" s="2" t="s">
        <v>456</v>
      </c>
      <c r="H27" s="2"/>
      <c r="I27" s="2" t="str">
        <f t="shared" si="0"/>
        <v/>
      </c>
      <c r="K27" s="2" t="s">
        <v>215</v>
      </c>
      <c r="L27" s="2">
        <v>2.2314128874054404</v>
      </c>
    </row>
    <row r="28" spans="1:12" x14ac:dyDescent="0.25">
      <c r="A28" s="16" t="s">
        <v>37</v>
      </c>
      <c r="B28" s="18">
        <v>-4.9477374958018663</v>
      </c>
      <c r="G28" s="2" t="s">
        <v>456</v>
      </c>
      <c r="H28" s="2">
        <v>900</v>
      </c>
      <c r="I28" s="2">
        <f t="shared" si="0"/>
        <v>2.1207167974054499</v>
      </c>
      <c r="K28" s="2" t="s">
        <v>218</v>
      </c>
      <c r="L28" s="2">
        <v>5.4119449574054386</v>
      </c>
    </row>
    <row r="29" spans="1:12" x14ac:dyDescent="0.25">
      <c r="A29" s="16" t="s">
        <v>38</v>
      </c>
      <c r="B29" s="18">
        <v>-5.1278874956998983</v>
      </c>
      <c r="C29" s="2">
        <v>364</v>
      </c>
      <c r="D29" s="2" t="s">
        <v>304</v>
      </c>
      <c r="E29" s="2" t="s">
        <v>304</v>
      </c>
      <c r="F29" s="2" t="s">
        <v>304</v>
      </c>
      <c r="G29" s="2">
        <v>364</v>
      </c>
      <c r="H29" s="2">
        <v>1830</v>
      </c>
      <c r="I29" s="2">
        <f t="shared" si="0"/>
        <v>3.8805203374054358</v>
      </c>
      <c r="K29" s="2" t="s">
        <v>220</v>
      </c>
      <c r="L29" s="2">
        <v>4.4740739674054453</v>
      </c>
    </row>
    <row r="30" spans="1:12" x14ac:dyDescent="0.25">
      <c r="A30" s="16" t="s">
        <v>43</v>
      </c>
      <c r="B30" s="18">
        <v>-5.0848229123909414</v>
      </c>
      <c r="G30" s="2" t="s">
        <v>456</v>
      </c>
      <c r="H30" s="2"/>
      <c r="I30" s="2" t="str">
        <f t="shared" si="0"/>
        <v/>
      </c>
      <c r="L30" s="23"/>
    </row>
    <row r="31" spans="1:12" x14ac:dyDescent="0.25">
      <c r="A31" s="16" t="s">
        <v>44</v>
      </c>
      <c r="B31" s="18">
        <v>-5.5506374954605766</v>
      </c>
      <c r="G31" s="2" t="s">
        <v>456</v>
      </c>
      <c r="H31" s="2">
        <v>400</v>
      </c>
      <c r="I31" s="2" t="str">
        <f t="shared" si="0"/>
        <v/>
      </c>
      <c r="L31" s="23"/>
    </row>
    <row r="32" spans="1:12" x14ac:dyDescent="0.25">
      <c r="A32" s="16" t="s">
        <v>41</v>
      </c>
      <c r="B32" s="18">
        <v>-6.3837208283221942</v>
      </c>
      <c r="C32" s="2">
        <v>197</v>
      </c>
      <c r="D32" s="2">
        <v>275</v>
      </c>
      <c r="E32" s="2" t="s">
        <v>304</v>
      </c>
      <c r="F32" s="2" t="s">
        <v>304</v>
      </c>
      <c r="G32" s="2">
        <v>275</v>
      </c>
      <c r="H32" s="2">
        <v>2329</v>
      </c>
      <c r="I32" s="2" t="str">
        <f t="shared" si="0"/>
        <v/>
      </c>
    </row>
    <row r="33" spans="1:9" x14ac:dyDescent="0.25">
      <c r="A33" s="16" t="s">
        <v>49</v>
      </c>
      <c r="B33" s="18">
        <v>-4.9293374958122937</v>
      </c>
      <c r="G33" s="2" t="s">
        <v>456</v>
      </c>
      <c r="H33" s="2">
        <v>590</v>
      </c>
      <c r="I33" s="2" t="str">
        <f t="shared" si="0"/>
        <v/>
      </c>
    </row>
    <row r="34" spans="1:9" x14ac:dyDescent="0.25">
      <c r="A34" s="16" t="s">
        <v>47</v>
      </c>
      <c r="B34" s="18">
        <v>-6.0592374951726127</v>
      </c>
      <c r="G34" s="2" t="s">
        <v>456</v>
      </c>
      <c r="H34" s="2">
        <v>490</v>
      </c>
      <c r="I34" s="2" t="str">
        <f t="shared" si="0"/>
        <v/>
      </c>
    </row>
    <row r="35" spans="1:9" x14ac:dyDescent="0.25">
      <c r="A35" s="16" t="s">
        <v>50</v>
      </c>
      <c r="B35" s="18">
        <v>-3.9233374963818246</v>
      </c>
      <c r="G35" s="2" t="s">
        <v>456</v>
      </c>
      <c r="H35" s="2">
        <v>432</v>
      </c>
      <c r="I35" s="2" t="str">
        <f t="shared" si="0"/>
        <v/>
      </c>
    </row>
    <row r="36" spans="1:9" x14ac:dyDescent="0.25">
      <c r="A36" s="16" t="s">
        <v>48</v>
      </c>
      <c r="B36" s="18">
        <v>-6.2082374950882917</v>
      </c>
      <c r="G36" s="2" t="s">
        <v>456</v>
      </c>
      <c r="H36" s="2">
        <v>164</v>
      </c>
      <c r="I36" s="2" t="str">
        <f t="shared" si="0"/>
        <v/>
      </c>
    </row>
    <row r="37" spans="1:9" x14ac:dyDescent="0.25">
      <c r="A37" s="16" t="s">
        <v>45</v>
      </c>
      <c r="B37" s="18">
        <v>-6.1940374950963353</v>
      </c>
      <c r="G37" s="2" t="s">
        <v>456</v>
      </c>
      <c r="H37" s="2"/>
      <c r="I37" s="2" t="str">
        <f t="shared" si="0"/>
        <v/>
      </c>
    </row>
    <row r="38" spans="1:9" x14ac:dyDescent="0.25">
      <c r="A38" s="16" t="s">
        <v>54</v>
      </c>
      <c r="B38" s="18">
        <v>-4.3745374961263694</v>
      </c>
      <c r="C38" s="2">
        <v>280</v>
      </c>
      <c r="D38" s="2">
        <v>244</v>
      </c>
      <c r="E38" s="2" t="s">
        <v>304</v>
      </c>
      <c r="F38" s="2" t="s">
        <v>304</v>
      </c>
      <c r="G38" s="2">
        <v>280</v>
      </c>
      <c r="H38" s="2">
        <v>1446</v>
      </c>
      <c r="I38" s="2" t="str">
        <f t="shared" si="0"/>
        <v/>
      </c>
    </row>
    <row r="39" spans="1:9" x14ac:dyDescent="0.25">
      <c r="A39" s="16" t="s">
        <v>53</v>
      </c>
      <c r="B39" s="18">
        <v>-3.8726249964105435</v>
      </c>
      <c r="G39" s="2" t="s">
        <v>456</v>
      </c>
      <c r="H39" s="2"/>
      <c r="I39" s="2" t="str">
        <f t="shared" si="0"/>
        <v/>
      </c>
    </row>
    <row r="40" spans="1:9" x14ac:dyDescent="0.25">
      <c r="A40" s="16" t="s">
        <v>51</v>
      </c>
      <c r="B40" s="18">
        <v>-4.4154874961032062</v>
      </c>
      <c r="C40" s="2">
        <v>200</v>
      </c>
      <c r="D40" s="2">
        <v>255</v>
      </c>
      <c r="E40" s="2" t="s">
        <v>304</v>
      </c>
      <c r="F40" s="2" t="s">
        <v>304</v>
      </c>
      <c r="G40" s="2">
        <v>255</v>
      </c>
      <c r="H40" s="2">
        <v>1235</v>
      </c>
      <c r="I40" s="2" t="str">
        <f t="shared" si="0"/>
        <v/>
      </c>
    </row>
    <row r="41" spans="1:9" x14ac:dyDescent="0.25">
      <c r="A41" s="16" t="s">
        <v>55</v>
      </c>
      <c r="B41" s="18">
        <v>-9.1790333267397735</v>
      </c>
      <c r="G41" s="2" t="s">
        <v>456</v>
      </c>
      <c r="H41" s="2">
        <v>2228</v>
      </c>
      <c r="I41" s="2" t="str">
        <f t="shared" si="0"/>
        <v/>
      </c>
    </row>
    <row r="42" spans="1:9" x14ac:dyDescent="0.25">
      <c r="A42" s="16" t="s">
        <v>57</v>
      </c>
      <c r="B42" s="18">
        <v>-9.2570791600288125</v>
      </c>
      <c r="G42" s="2" t="s">
        <v>456</v>
      </c>
      <c r="H42" s="2">
        <v>2344</v>
      </c>
      <c r="I42" s="2" t="str">
        <f t="shared" si="0"/>
        <v/>
      </c>
    </row>
    <row r="43" spans="1:9" x14ac:dyDescent="0.25">
      <c r="A43" s="16" t="s">
        <v>59</v>
      </c>
      <c r="B43" s="18">
        <v>-7.7696249942042845</v>
      </c>
      <c r="G43" s="2" t="s">
        <v>456</v>
      </c>
      <c r="H43" s="2">
        <v>2291</v>
      </c>
      <c r="I43" s="2"/>
    </row>
    <row r="44" spans="1:9" x14ac:dyDescent="0.25">
      <c r="A44" s="16" t="s">
        <v>60</v>
      </c>
      <c r="B44" s="18">
        <v>-8.7395874936552111</v>
      </c>
      <c r="G44" s="2" t="s">
        <v>456</v>
      </c>
      <c r="H44" s="2"/>
      <c r="I44" s="2" t="str">
        <f t="shared" si="0"/>
        <v/>
      </c>
    </row>
    <row r="45" spans="1:9" x14ac:dyDescent="0.25">
      <c r="A45" s="16" t="s">
        <v>62</v>
      </c>
      <c r="B45" s="18">
        <v>-5.6113958287595258</v>
      </c>
      <c r="C45" s="2">
        <v>325</v>
      </c>
      <c r="D45" s="2">
        <v>400</v>
      </c>
      <c r="E45" s="2">
        <v>600</v>
      </c>
      <c r="F45" s="2" t="s">
        <v>304</v>
      </c>
      <c r="G45" s="2">
        <v>600</v>
      </c>
      <c r="H45" s="2">
        <v>1565</v>
      </c>
      <c r="I45" s="2">
        <f t="shared" si="0"/>
        <v>3.4207135174054315</v>
      </c>
    </row>
    <row r="46" spans="1:9" x14ac:dyDescent="0.25">
      <c r="A46" s="16" t="s">
        <v>63</v>
      </c>
      <c r="B46" s="18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  <c r="I46" s="2">
        <f t="shared" si="0"/>
        <v>2.72376797740543</v>
      </c>
    </row>
    <row r="47" spans="1:9" x14ac:dyDescent="0.25">
      <c r="A47" s="16" t="s">
        <v>64</v>
      </c>
      <c r="B47" s="18">
        <v>-5.8249874953052538</v>
      </c>
      <c r="C47" s="2">
        <v>380</v>
      </c>
      <c r="D47" s="2">
        <v>550</v>
      </c>
      <c r="E47" s="2" t="s">
        <v>304</v>
      </c>
      <c r="F47" s="2" t="s">
        <v>304</v>
      </c>
      <c r="G47" s="2">
        <v>550</v>
      </c>
      <c r="H47" s="2">
        <v>1377</v>
      </c>
      <c r="I47" s="2">
        <f t="shared" si="0"/>
        <v>4.37459398740544</v>
      </c>
    </row>
    <row r="48" spans="1:9" x14ac:dyDescent="0.25">
      <c r="A48" s="16" t="s">
        <v>66</v>
      </c>
      <c r="B48" s="18">
        <v>-6.2692041617204444</v>
      </c>
      <c r="C48" s="2">
        <v>1000</v>
      </c>
      <c r="D48" s="2" t="s">
        <v>304</v>
      </c>
      <c r="E48" s="2" t="s">
        <v>304</v>
      </c>
      <c r="F48" s="2" t="s">
        <v>304</v>
      </c>
      <c r="G48" s="2">
        <v>1000</v>
      </c>
      <c r="H48" s="2">
        <v>1806</v>
      </c>
      <c r="I48" s="2" t="str">
        <f t="shared" si="0"/>
        <v/>
      </c>
    </row>
    <row r="49" spans="1:9" x14ac:dyDescent="0.25">
      <c r="A49" s="16" t="s">
        <v>68</v>
      </c>
      <c r="B49" s="18">
        <v>-8.9778624935203517</v>
      </c>
      <c r="G49" s="2" t="s">
        <v>456</v>
      </c>
      <c r="H49" s="2">
        <v>2339</v>
      </c>
      <c r="I49" s="2" t="str">
        <f t="shared" si="0"/>
        <v/>
      </c>
    </row>
    <row r="50" spans="1:9" x14ac:dyDescent="0.25">
      <c r="A50" s="16" t="s">
        <v>70</v>
      </c>
      <c r="B50" s="18">
        <v>-5.6087124954277021</v>
      </c>
      <c r="C50" s="2">
        <v>327</v>
      </c>
      <c r="D50" s="2" t="s">
        <v>304</v>
      </c>
      <c r="E50" s="2" t="s">
        <v>304</v>
      </c>
      <c r="F50" s="2" t="s">
        <v>304</v>
      </c>
      <c r="G50" s="2">
        <v>327</v>
      </c>
      <c r="H50" s="2">
        <v>1115</v>
      </c>
      <c r="I50" s="2">
        <f t="shared" si="0"/>
        <v>3.1627793174054446</v>
      </c>
    </row>
    <row r="51" spans="1:9" x14ac:dyDescent="0.25">
      <c r="A51" s="16" t="s">
        <v>72</v>
      </c>
      <c r="B51" s="18">
        <v>-8.5265624937758346</v>
      </c>
      <c r="G51" s="2" t="s">
        <v>456</v>
      </c>
      <c r="H51" s="2">
        <v>2774</v>
      </c>
      <c r="I51" s="2" t="str">
        <f t="shared" si="0"/>
        <v/>
      </c>
    </row>
    <row r="52" spans="1:9" x14ac:dyDescent="0.25">
      <c r="A52" s="16" t="s">
        <v>74</v>
      </c>
      <c r="B52" s="18">
        <v>-3.7610624964736843</v>
      </c>
      <c r="G52" s="2" t="s">
        <v>456</v>
      </c>
      <c r="H52" s="2">
        <v>500</v>
      </c>
      <c r="I52" s="2" t="str">
        <f t="shared" si="0"/>
        <v/>
      </c>
    </row>
    <row r="53" spans="1:9" x14ac:dyDescent="0.25">
      <c r="A53" s="16" t="s">
        <v>76</v>
      </c>
      <c r="B53" s="18">
        <v>-9.2211416600491667</v>
      </c>
      <c r="G53" s="2" t="s">
        <v>456</v>
      </c>
      <c r="H53" s="2">
        <v>2330</v>
      </c>
      <c r="I53" s="2" t="str">
        <f t="shared" si="0"/>
        <v/>
      </c>
    </row>
    <row r="54" spans="1:9" x14ac:dyDescent="0.25">
      <c r="A54" s="16" t="s">
        <v>78</v>
      </c>
      <c r="B54" s="18">
        <v>-3.5479124965943689</v>
      </c>
      <c r="G54" s="2" t="s">
        <v>456</v>
      </c>
      <c r="H54" s="2">
        <v>300</v>
      </c>
      <c r="I54" s="2" t="str">
        <f t="shared" si="0"/>
        <v/>
      </c>
    </row>
    <row r="55" spans="1:9" x14ac:dyDescent="0.25">
      <c r="A55" s="16" t="s">
        <v>80</v>
      </c>
      <c r="B55" s="18">
        <v>-5.8235333286394209</v>
      </c>
      <c r="G55" s="2" t="s">
        <v>456</v>
      </c>
      <c r="H55" s="2">
        <v>1912</v>
      </c>
      <c r="I55" s="2"/>
    </row>
    <row r="56" spans="1:9" x14ac:dyDescent="0.25">
      <c r="A56" s="16" t="s">
        <v>84</v>
      </c>
      <c r="B56" s="18">
        <v>-3.7949833297878413</v>
      </c>
      <c r="G56" s="2" t="s">
        <v>456</v>
      </c>
      <c r="H56" s="2"/>
      <c r="I56" s="2" t="str">
        <f t="shared" si="0"/>
        <v/>
      </c>
    </row>
    <row r="57" spans="1:9" x14ac:dyDescent="0.25">
      <c r="A57" s="16" t="s">
        <v>82</v>
      </c>
      <c r="B57" s="18">
        <v>-4.3577624961358925</v>
      </c>
      <c r="G57" s="2" t="s">
        <v>456</v>
      </c>
      <c r="H57" s="2">
        <v>1100</v>
      </c>
      <c r="I57" s="2" t="str">
        <f t="shared" si="0"/>
        <v/>
      </c>
    </row>
    <row r="58" spans="1:9" x14ac:dyDescent="0.25">
      <c r="A58" s="16" t="s">
        <v>88</v>
      </c>
      <c r="B58" s="18">
        <v>-3.9348874963752838</v>
      </c>
      <c r="G58" s="2" t="s">
        <v>456</v>
      </c>
      <c r="H58" s="2">
        <v>380</v>
      </c>
      <c r="I58" s="2" t="str">
        <f t="shared" si="0"/>
        <v/>
      </c>
    </row>
    <row r="59" spans="1:9" x14ac:dyDescent="0.25">
      <c r="A59" s="16" t="s">
        <v>87</v>
      </c>
      <c r="B59" s="18">
        <v>-5.0587624957390434</v>
      </c>
      <c r="G59" s="2" t="s">
        <v>456</v>
      </c>
      <c r="H59" s="2">
        <v>490</v>
      </c>
      <c r="I59" s="2" t="str">
        <f t="shared" si="0"/>
        <v/>
      </c>
    </row>
    <row r="60" spans="1:9" x14ac:dyDescent="0.25">
      <c r="A60" s="16" t="s">
        <v>85</v>
      </c>
      <c r="B60" s="18">
        <v>-6.2391374950707759</v>
      </c>
      <c r="G60" s="2" t="s">
        <v>456</v>
      </c>
      <c r="H60" s="2">
        <v>350</v>
      </c>
      <c r="I60" s="2" t="str">
        <f t="shared" si="0"/>
        <v/>
      </c>
    </row>
    <row r="61" spans="1:9" x14ac:dyDescent="0.25">
      <c r="A61" s="16" t="s">
        <v>89</v>
      </c>
      <c r="B61" s="18">
        <v>-8.9440249935394327</v>
      </c>
      <c r="G61" s="2" t="s">
        <v>456</v>
      </c>
      <c r="H61" s="2">
        <v>2304</v>
      </c>
      <c r="I61" s="2" t="str">
        <f t="shared" si="0"/>
        <v/>
      </c>
    </row>
    <row r="62" spans="1:9" x14ac:dyDescent="0.25">
      <c r="A62" s="16" t="s">
        <v>93</v>
      </c>
      <c r="B62" s="18">
        <v>-5.7687124953371258</v>
      </c>
      <c r="G62" s="2" t="s">
        <v>456</v>
      </c>
      <c r="H62" s="2">
        <v>195</v>
      </c>
      <c r="I62" s="2" t="str">
        <f t="shared" si="0"/>
        <v/>
      </c>
    </row>
    <row r="63" spans="1:9" x14ac:dyDescent="0.25">
      <c r="A63" s="16" t="s">
        <v>91</v>
      </c>
      <c r="B63" s="18">
        <v>-8.6822374936876834</v>
      </c>
      <c r="G63" s="2" t="s">
        <v>456</v>
      </c>
      <c r="H63" s="2">
        <v>1570</v>
      </c>
      <c r="I63" s="2" t="str">
        <f t="shared" si="0"/>
        <v/>
      </c>
    </row>
    <row r="64" spans="1:9" x14ac:dyDescent="0.25">
      <c r="A64" s="16" t="s">
        <v>94</v>
      </c>
      <c r="B64" s="18">
        <v>-9.3652958266342754</v>
      </c>
      <c r="G64" s="2" t="s">
        <v>456</v>
      </c>
      <c r="H64" s="2">
        <v>2427</v>
      </c>
      <c r="I64" s="2" t="str">
        <f t="shared" si="0"/>
        <v/>
      </c>
    </row>
    <row r="65" spans="1:9" x14ac:dyDescent="0.25">
      <c r="A65" s="16" t="s">
        <v>96</v>
      </c>
      <c r="B65" s="18">
        <v>-8.5982041604019415</v>
      </c>
      <c r="G65" s="2" t="s">
        <v>456</v>
      </c>
      <c r="H65" s="2">
        <v>2825</v>
      </c>
      <c r="I65" s="2" t="str">
        <f t="shared" si="0"/>
        <v/>
      </c>
    </row>
    <row r="66" spans="1:9" x14ac:dyDescent="0.25">
      <c r="A66" s="16" t="s">
        <v>102</v>
      </c>
      <c r="B66" s="18">
        <v>-5.1833133577374939</v>
      </c>
      <c r="C66" s="2">
        <v>200</v>
      </c>
      <c r="D66" s="2" t="s">
        <v>304</v>
      </c>
      <c r="E66" s="2" t="s">
        <v>304</v>
      </c>
      <c r="F66" s="2" t="s">
        <v>304</v>
      </c>
      <c r="G66" s="2">
        <v>200</v>
      </c>
      <c r="H66" s="2">
        <v>535</v>
      </c>
      <c r="I66" s="2" t="str">
        <f t="shared" si="0"/>
        <v/>
      </c>
    </row>
    <row r="67" spans="1:9" x14ac:dyDescent="0.25">
      <c r="A67" s="16" t="s">
        <v>99</v>
      </c>
      <c r="B67" s="18">
        <v>-6.0787762882650354</v>
      </c>
      <c r="G67" s="2" t="s">
        <v>456</v>
      </c>
      <c r="H67" s="2">
        <v>1567</v>
      </c>
      <c r="I67" s="2">
        <f t="shared" ref="I67:I130" si="1">IFERROR(VLOOKUP(A67,$K$2:$L$29,2,FALSE),"")</f>
        <v>2.7480267574054551</v>
      </c>
    </row>
    <row r="68" spans="1:9" x14ac:dyDescent="0.25">
      <c r="A68" s="16" t="s">
        <v>98</v>
      </c>
      <c r="B68" s="18">
        <v>-5.8478032280509575</v>
      </c>
      <c r="G68" s="2" t="s">
        <v>456</v>
      </c>
      <c r="H68" s="2">
        <v>1080</v>
      </c>
      <c r="I68" s="2">
        <f t="shared" si="1"/>
        <v>2.1807719774053567</v>
      </c>
    </row>
    <row r="69" spans="1:9" x14ac:dyDescent="0.25">
      <c r="A69" s="16" t="s">
        <v>100</v>
      </c>
      <c r="B69" s="18">
        <v>-6.4686892190787786</v>
      </c>
      <c r="G69" s="2" t="s">
        <v>456</v>
      </c>
      <c r="H69" s="2">
        <v>1839</v>
      </c>
      <c r="I69" s="2">
        <f t="shared" si="1"/>
        <v>4.7889148874054399</v>
      </c>
    </row>
    <row r="70" spans="1:9" x14ac:dyDescent="0.25">
      <c r="A70" s="16" t="s">
        <v>103</v>
      </c>
      <c r="B70" s="18">
        <v>-5.2160624956500037</v>
      </c>
      <c r="G70" s="2" t="s">
        <v>456</v>
      </c>
      <c r="H70" s="2"/>
      <c r="I70" s="2" t="str">
        <f t="shared" si="1"/>
        <v/>
      </c>
    </row>
    <row r="71" spans="1:9" x14ac:dyDescent="0.25">
      <c r="A71" s="16" t="s">
        <v>106</v>
      </c>
      <c r="B71" s="18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  <c r="I71" s="2">
        <f t="shared" si="1"/>
        <v>3.0667998474054343</v>
      </c>
    </row>
    <row r="72" spans="1:9" x14ac:dyDescent="0.25">
      <c r="A72" s="16" t="s">
        <v>104</v>
      </c>
      <c r="B72" s="18">
        <v>-5.6930499953799574</v>
      </c>
      <c r="C72" s="2">
        <v>557</v>
      </c>
      <c r="D72" s="2">
        <v>612</v>
      </c>
      <c r="E72" s="2" t="s">
        <v>304</v>
      </c>
      <c r="F72" s="2" t="s">
        <v>304</v>
      </c>
      <c r="G72" s="2">
        <v>612</v>
      </c>
      <c r="H72" s="2">
        <v>1100</v>
      </c>
      <c r="I72" s="2">
        <f t="shared" si="1"/>
        <v>4.8115857574054388</v>
      </c>
    </row>
    <row r="73" spans="1:9" x14ac:dyDescent="0.25">
      <c r="A73" s="16" t="s">
        <v>109</v>
      </c>
      <c r="B73" s="18">
        <v>-5.0925041623865894</v>
      </c>
      <c r="G73" s="2" t="s">
        <v>456</v>
      </c>
      <c r="H73" s="2">
        <v>675</v>
      </c>
      <c r="I73" s="2" t="str">
        <f t="shared" si="1"/>
        <v/>
      </c>
    </row>
    <row r="74" spans="1:9" x14ac:dyDescent="0.25">
      <c r="A74" s="16" t="s">
        <v>110</v>
      </c>
      <c r="B74" s="18">
        <v>-3.8280374964357771</v>
      </c>
      <c r="G74" s="2" t="s">
        <v>456</v>
      </c>
      <c r="H74" s="2">
        <v>552</v>
      </c>
      <c r="I74" s="2" t="str">
        <f t="shared" si="1"/>
        <v/>
      </c>
    </row>
    <row r="75" spans="1:9" x14ac:dyDescent="0.25">
      <c r="A75" s="16" t="s">
        <v>107</v>
      </c>
      <c r="B75" s="18">
        <v>-6.8309374947357435</v>
      </c>
      <c r="G75" s="2" t="s">
        <v>456</v>
      </c>
      <c r="H75" s="2">
        <v>1132</v>
      </c>
      <c r="I75" s="2" t="str">
        <f t="shared" si="1"/>
        <v/>
      </c>
    </row>
    <row r="76" spans="1:9" x14ac:dyDescent="0.25">
      <c r="A76" s="16" t="s">
        <v>111</v>
      </c>
      <c r="B76" s="18">
        <v>-6.7927074947573605</v>
      </c>
      <c r="C76" s="2">
        <v>900</v>
      </c>
      <c r="D76" s="2" t="s">
        <v>304</v>
      </c>
      <c r="E76" s="2" t="s">
        <v>304</v>
      </c>
      <c r="F76" s="2" t="s">
        <v>304</v>
      </c>
      <c r="G76" s="2">
        <v>900</v>
      </c>
      <c r="H76" s="2">
        <v>1512</v>
      </c>
      <c r="I76" s="2" t="str">
        <f t="shared" si="1"/>
        <v/>
      </c>
    </row>
    <row r="77" spans="1:9" x14ac:dyDescent="0.25">
      <c r="A77" s="16" t="s">
        <v>112</v>
      </c>
      <c r="B77" s="18">
        <v>-6.8369999947323263</v>
      </c>
      <c r="G77" s="2" t="s">
        <v>456</v>
      </c>
      <c r="H77" s="2">
        <v>1901</v>
      </c>
      <c r="I77" s="2" t="str">
        <f t="shared" si="1"/>
        <v/>
      </c>
    </row>
    <row r="78" spans="1:9" x14ac:dyDescent="0.25">
      <c r="A78" s="16" t="s">
        <v>113</v>
      </c>
      <c r="B78" s="18">
        <v>-7.0568041612745427</v>
      </c>
      <c r="G78" s="2" t="s">
        <v>456</v>
      </c>
      <c r="H78" s="2">
        <v>1936</v>
      </c>
      <c r="I78" s="2" t="str">
        <f t="shared" si="1"/>
        <v/>
      </c>
    </row>
    <row r="79" spans="1:9" x14ac:dyDescent="0.25">
      <c r="A79" s="16" t="s">
        <v>115</v>
      </c>
      <c r="B79" s="18">
        <v>-8.7999541602877454</v>
      </c>
      <c r="G79" s="2" t="s">
        <v>456</v>
      </c>
      <c r="H79" s="2">
        <v>2233</v>
      </c>
      <c r="I79" s="2" t="str">
        <f t="shared" si="1"/>
        <v/>
      </c>
    </row>
    <row r="80" spans="1:9" x14ac:dyDescent="0.25">
      <c r="A80" s="16" t="s">
        <v>117</v>
      </c>
      <c r="B80" s="18">
        <v>-3.9066499963912955</v>
      </c>
      <c r="G80" s="2" t="s">
        <v>456</v>
      </c>
      <c r="H80" s="2"/>
      <c r="I80" s="2" t="str">
        <f t="shared" si="1"/>
        <v/>
      </c>
    </row>
    <row r="81" spans="1:9" x14ac:dyDescent="0.25">
      <c r="A81" s="16" t="s">
        <v>118</v>
      </c>
      <c r="B81" s="18">
        <v>-4.3322874961503119</v>
      </c>
      <c r="C81" s="2">
        <v>285</v>
      </c>
      <c r="D81" s="2">
        <v>315</v>
      </c>
      <c r="E81" s="2" t="s">
        <v>304</v>
      </c>
      <c r="F81" s="2" t="s">
        <v>304</v>
      </c>
      <c r="G81" s="2">
        <v>315</v>
      </c>
      <c r="H81" s="2">
        <v>1955</v>
      </c>
      <c r="I81" s="2" t="str">
        <f t="shared" si="1"/>
        <v/>
      </c>
    </row>
    <row r="82" spans="1:9" x14ac:dyDescent="0.25">
      <c r="A82" s="16" t="s">
        <v>120</v>
      </c>
      <c r="B82" s="18">
        <v>-7.8782124941428746</v>
      </c>
      <c r="G82" s="2" t="s">
        <v>456</v>
      </c>
      <c r="H82" s="2">
        <v>2547</v>
      </c>
      <c r="I82" s="2" t="str">
        <f t="shared" si="1"/>
        <v/>
      </c>
    </row>
    <row r="83" spans="1:9" x14ac:dyDescent="0.25">
      <c r="A83" s="16" t="s">
        <v>124</v>
      </c>
      <c r="B83" s="18">
        <v>-4.4019499961108828</v>
      </c>
      <c r="G83" s="2" t="s">
        <v>456</v>
      </c>
      <c r="H83" s="2">
        <v>41</v>
      </c>
      <c r="I83" s="2" t="str">
        <f t="shared" si="1"/>
        <v/>
      </c>
    </row>
    <row r="84" spans="1:9" x14ac:dyDescent="0.25">
      <c r="A84" s="16" t="s">
        <v>122</v>
      </c>
      <c r="B84" s="18">
        <v>-4.5098874960497666</v>
      </c>
      <c r="G84" s="2" t="s">
        <v>456</v>
      </c>
      <c r="H84" s="2"/>
      <c r="I84" s="2" t="str">
        <f t="shared" si="1"/>
        <v/>
      </c>
    </row>
    <row r="85" spans="1:9" x14ac:dyDescent="0.25">
      <c r="A85" s="16" t="s">
        <v>125</v>
      </c>
      <c r="B85" s="18">
        <v>-5.9069994000207293</v>
      </c>
      <c r="G85" s="2" t="s">
        <v>456</v>
      </c>
      <c r="H85" s="2">
        <v>562</v>
      </c>
      <c r="I85" s="2" t="str">
        <f t="shared" si="1"/>
        <v/>
      </c>
    </row>
    <row r="86" spans="1:9" x14ac:dyDescent="0.25">
      <c r="A86" s="16" t="s">
        <v>129</v>
      </c>
      <c r="B86" s="18">
        <v>-6.6099374948608833</v>
      </c>
      <c r="G86" s="2" t="s">
        <v>456</v>
      </c>
      <c r="H86" s="2"/>
      <c r="I86" s="2" t="str">
        <f t="shared" si="1"/>
        <v/>
      </c>
    </row>
    <row r="87" spans="1:9" x14ac:dyDescent="0.25">
      <c r="A87" s="16" t="s">
        <v>127</v>
      </c>
      <c r="B87" s="18">
        <v>-8.5399374937682708</v>
      </c>
      <c r="G87" s="2" t="s">
        <v>456</v>
      </c>
      <c r="H87" s="2"/>
      <c r="I87" s="2" t="str">
        <f t="shared" si="1"/>
        <v/>
      </c>
    </row>
    <row r="88" spans="1:9" x14ac:dyDescent="0.25">
      <c r="A88" s="16" t="s">
        <v>133</v>
      </c>
      <c r="B88" s="18">
        <v>-4.4429624960876586</v>
      </c>
      <c r="G88" s="2" t="s">
        <v>456</v>
      </c>
      <c r="H88" s="2">
        <v>290</v>
      </c>
      <c r="I88" s="2" t="str">
        <f t="shared" si="1"/>
        <v/>
      </c>
    </row>
    <row r="89" spans="1:9" x14ac:dyDescent="0.25">
      <c r="A89" s="16" t="s">
        <v>130</v>
      </c>
      <c r="B89" s="18">
        <v>-5.0244562457584605</v>
      </c>
      <c r="G89" s="2" t="s">
        <v>456</v>
      </c>
      <c r="H89" s="2">
        <v>830</v>
      </c>
      <c r="I89" s="2">
        <f t="shared" si="1"/>
        <v>2.2644996074054404</v>
      </c>
    </row>
    <row r="90" spans="1:9" x14ac:dyDescent="0.25">
      <c r="A90" s="16" t="s">
        <v>131</v>
      </c>
      <c r="B90" s="18">
        <v>-5.4306062455285327</v>
      </c>
      <c r="C90" s="2">
        <v>200</v>
      </c>
      <c r="D90" s="2" t="s">
        <v>304</v>
      </c>
      <c r="E90" s="2" t="s">
        <v>304</v>
      </c>
      <c r="F90" s="2" t="s">
        <v>304</v>
      </c>
      <c r="G90" s="2">
        <v>200</v>
      </c>
      <c r="H90" s="2">
        <v>897</v>
      </c>
      <c r="I90" s="2">
        <f t="shared" si="1"/>
        <v>2.9623635274054365</v>
      </c>
    </row>
    <row r="91" spans="1:9" x14ac:dyDescent="0.25">
      <c r="A91" s="16" t="s">
        <v>136</v>
      </c>
      <c r="B91" s="18">
        <v>-3.5780874965772869</v>
      </c>
      <c r="G91" s="2" t="s">
        <v>456</v>
      </c>
      <c r="H91" s="2"/>
      <c r="I91" s="2" t="str">
        <f t="shared" si="1"/>
        <v/>
      </c>
    </row>
    <row r="92" spans="1:9" x14ac:dyDescent="0.25">
      <c r="A92" s="16" t="s">
        <v>134</v>
      </c>
      <c r="B92" s="18">
        <v>-4.065037496301624</v>
      </c>
      <c r="G92" s="2" t="s">
        <v>456</v>
      </c>
      <c r="H92" s="2">
        <v>750</v>
      </c>
      <c r="I92" s="2" t="str">
        <f t="shared" si="1"/>
        <v/>
      </c>
    </row>
    <row r="93" spans="1:9" x14ac:dyDescent="0.25">
      <c r="A93" s="16" t="s">
        <v>137</v>
      </c>
      <c r="B93" s="18">
        <v>-8.8915416602358786</v>
      </c>
      <c r="G93" s="2" t="s">
        <v>456</v>
      </c>
      <c r="H93" s="2"/>
      <c r="I93" s="2" t="str">
        <f t="shared" si="1"/>
        <v/>
      </c>
    </row>
    <row r="94" spans="1:9" x14ac:dyDescent="0.25">
      <c r="A94" s="16" t="s">
        <v>139</v>
      </c>
      <c r="B94" s="18">
        <v>-8.7182999936672925</v>
      </c>
      <c r="G94" s="2" t="s">
        <v>456</v>
      </c>
      <c r="H94" s="2">
        <v>2183</v>
      </c>
      <c r="I94" s="2" t="str">
        <f t="shared" si="1"/>
        <v/>
      </c>
    </row>
    <row r="95" spans="1:9" x14ac:dyDescent="0.25">
      <c r="A95" s="16" t="s">
        <v>143</v>
      </c>
      <c r="B95" s="18">
        <v>-3.8781124964074385</v>
      </c>
      <c r="G95" s="2" t="s">
        <v>456</v>
      </c>
      <c r="H95" s="2">
        <v>450</v>
      </c>
      <c r="I95" s="2" t="str">
        <f t="shared" si="1"/>
        <v/>
      </c>
    </row>
    <row r="96" spans="1:9" x14ac:dyDescent="0.25">
      <c r="A96" s="16" t="s">
        <v>141</v>
      </c>
      <c r="B96" s="18">
        <v>-3.9472624963683121</v>
      </c>
      <c r="G96" s="2" t="s">
        <v>456</v>
      </c>
      <c r="H96" s="2"/>
      <c r="I96" s="2" t="str">
        <f t="shared" si="1"/>
        <v/>
      </c>
    </row>
    <row r="97" spans="1:9" x14ac:dyDescent="0.25">
      <c r="A97" s="16" t="s">
        <v>146</v>
      </c>
      <c r="B97" s="18">
        <v>-7.9029531191288909</v>
      </c>
      <c r="G97" s="2" t="s">
        <v>456</v>
      </c>
      <c r="H97" s="2">
        <v>2400</v>
      </c>
      <c r="I97" s="2" t="str">
        <f t="shared" si="1"/>
        <v/>
      </c>
    </row>
    <row r="98" spans="1:9" x14ac:dyDescent="0.25">
      <c r="A98" s="16" t="s">
        <v>144</v>
      </c>
      <c r="B98" s="18">
        <v>-8.2214374939485051</v>
      </c>
      <c r="G98" s="2" t="s">
        <v>456</v>
      </c>
      <c r="H98" s="2"/>
      <c r="I98" s="2" t="str">
        <f t="shared" si="1"/>
        <v/>
      </c>
    </row>
    <row r="99" spans="1:9" x14ac:dyDescent="0.25">
      <c r="A99" s="16" t="s">
        <v>150</v>
      </c>
      <c r="B99" s="18">
        <v>-4.8978874958301137</v>
      </c>
      <c r="G99" s="2" t="s">
        <v>456</v>
      </c>
      <c r="H99" s="2">
        <v>570</v>
      </c>
      <c r="I99" s="2" t="str">
        <f t="shared" si="1"/>
        <v/>
      </c>
    </row>
    <row r="100" spans="1:9" x14ac:dyDescent="0.25">
      <c r="A100" s="16" t="s">
        <v>151</v>
      </c>
      <c r="B100" s="18">
        <v>-3.8946374963980839</v>
      </c>
      <c r="G100" s="2" t="s">
        <v>456</v>
      </c>
      <c r="H100" s="2">
        <v>412</v>
      </c>
      <c r="I100" s="2" t="str">
        <f t="shared" si="1"/>
        <v/>
      </c>
    </row>
    <row r="101" spans="1:9" x14ac:dyDescent="0.25">
      <c r="A101" s="16" t="s">
        <v>147</v>
      </c>
      <c r="B101" s="18">
        <v>-5.8223374953067379</v>
      </c>
      <c r="G101" s="2" t="s">
        <v>456</v>
      </c>
      <c r="H101" s="2">
        <v>400</v>
      </c>
      <c r="I101" s="2" t="str">
        <f t="shared" si="1"/>
        <v/>
      </c>
    </row>
    <row r="102" spans="1:9" x14ac:dyDescent="0.25">
      <c r="A102" s="16" t="s">
        <v>148</v>
      </c>
      <c r="B102" s="18">
        <v>-5.9481624952355263</v>
      </c>
      <c r="G102" s="2" t="s">
        <v>456</v>
      </c>
      <c r="H102" s="2"/>
      <c r="I102" s="2" t="str">
        <f t="shared" si="1"/>
        <v/>
      </c>
    </row>
    <row r="103" spans="1:9" x14ac:dyDescent="0.25">
      <c r="A103" s="16" t="s">
        <v>152</v>
      </c>
      <c r="B103" s="18">
        <v>-5.1008428528580776</v>
      </c>
      <c r="G103" s="2" t="s">
        <v>456</v>
      </c>
      <c r="H103" s="2">
        <v>297</v>
      </c>
      <c r="I103" s="2" t="str">
        <f t="shared" si="1"/>
        <v/>
      </c>
    </row>
    <row r="104" spans="1:9" x14ac:dyDescent="0.25">
      <c r="A104" s="16" t="s">
        <v>153</v>
      </c>
      <c r="B104" s="18">
        <v>-5.340687495579437</v>
      </c>
      <c r="G104" s="2" t="s">
        <v>456</v>
      </c>
      <c r="H104" s="2">
        <v>400</v>
      </c>
      <c r="I104" s="2" t="str">
        <f t="shared" si="1"/>
        <v/>
      </c>
    </row>
    <row r="105" spans="1:9" x14ac:dyDescent="0.25">
      <c r="A105" s="16" t="s">
        <v>155</v>
      </c>
      <c r="B105" s="18">
        <v>-4.3210624961566886</v>
      </c>
      <c r="G105" s="2" t="s">
        <v>456</v>
      </c>
      <c r="H105" s="2"/>
      <c r="I105" s="2" t="str">
        <f t="shared" si="1"/>
        <v/>
      </c>
    </row>
    <row r="106" spans="1:9" x14ac:dyDescent="0.25">
      <c r="A106" s="16" t="s">
        <v>159</v>
      </c>
      <c r="B106" s="18">
        <v>-3.9697062463555826</v>
      </c>
      <c r="G106" s="2" t="s">
        <v>456</v>
      </c>
      <c r="H106" s="2">
        <v>25.4</v>
      </c>
      <c r="I106" s="2" t="str">
        <f t="shared" si="1"/>
        <v/>
      </c>
    </row>
    <row r="107" spans="1:9" x14ac:dyDescent="0.25">
      <c r="A107" s="16" t="s">
        <v>157</v>
      </c>
      <c r="B107" s="18">
        <v>-4.672062495957956</v>
      </c>
      <c r="G107" s="2" t="s">
        <v>456</v>
      </c>
      <c r="H107" s="2">
        <v>1200</v>
      </c>
      <c r="I107" s="2" t="str">
        <f t="shared" si="1"/>
        <v/>
      </c>
    </row>
    <row r="108" spans="1:9" x14ac:dyDescent="0.25">
      <c r="A108" s="16" t="s">
        <v>162</v>
      </c>
      <c r="B108" s="18">
        <v>-4.9396074958064409</v>
      </c>
      <c r="G108" s="2" t="s">
        <v>456</v>
      </c>
      <c r="H108" s="2">
        <v>380</v>
      </c>
      <c r="I108" s="2" t="str">
        <f t="shared" si="1"/>
        <v/>
      </c>
    </row>
    <row r="109" spans="1:9" x14ac:dyDescent="0.25">
      <c r="A109" s="16" t="s">
        <v>163</v>
      </c>
      <c r="B109" s="18">
        <v>-5.2494562456310812</v>
      </c>
      <c r="G109" s="2" t="s">
        <v>456</v>
      </c>
      <c r="H109" s="2"/>
      <c r="I109" s="2">
        <f t="shared" si="1"/>
        <v>2.3203174274054561</v>
      </c>
    </row>
    <row r="110" spans="1:9" x14ac:dyDescent="0.25">
      <c r="A110" s="16" t="s">
        <v>160</v>
      </c>
      <c r="B110" s="18">
        <v>-5.4120541622056955</v>
      </c>
      <c r="C110" s="2">
        <v>550</v>
      </c>
      <c r="D110" s="2" t="s">
        <v>304</v>
      </c>
      <c r="E110" s="2" t="s">
        <v>304</v>
      </c>
      <c r="F110" s="2" t="s">
        <v>304</v>
      </c>
      <c r="G110" s="2">
        <v>550</v>
      </c>
      <c r="H110" s="2">
        <v>656</v>
      </c>
      <c r="I110" s="2">
        <f t="shared" si="1"/>
        <v>3.3158645574054475</v>
      </c>
    </row>
    <row r="111" spans="1:9" x14ac:dyDescent="0.25">
      <c r="A111" s="16" t="s">
        <v>164</v>
      </c>
      <c r="B111" s="18">
        <v>-9.1078833267799588</v>
      </c>
      <c r="G111" s="2" t="s">
        <v>456</v>
      </c>
      <c r="H111" s="2">
        <v>2485</v>
      </c>
      <c r="I111" s="2" t="str">
        <f t="shared" si="1"/>
        <v/>
      </c>
    </row>
    <row r="112" spans="1:9" x14ac:dyDescent="0.25">
      <c r="A112" s="16" t="s">
        <v>166</v>
      </c>
      <c r="B112" s="18">
        <v>-3.9170524963853905</v>
      </c>
      <c r="G112" s="2" t="s">
        <v>456</v>
      </c>
      <c r="H112" s="2"/>
      <c r="I112" s="2" t="str">
        <f t="shared" si="1"/>
        <v/>
      </c>
    </row>
    <row r="113" spans="1:9" x14ac:dyDescent="0.25">
      <c r="A113" s="16" t="s">
        <v>167</v>
      </c>
      <c r="B113" s="18">
        <v>-4.2185624962147035</v>
      </c>
      <c r="G113" s="2" t="s">
        <v>456</v>
      </c>
      <c r="H113" s="2">
        <v>340</v>
      </c>
      <c r="I113" s="2" t="str">
        <f t="shared" si="1"/>
        <v/>
      </c>
    </row>
    <row r="114" spans="1:9" x14ac:dyDescent="0.25">
      <c r="A114" s="16" t="s">
        <v>169</v>
      </c>
      <c r="B114" s="18">
        <v>-7.3948437444165256</v>
      </c>
      <c r="G114" s="2" t="s">
        <v>456</v>
      </c>
      <c r="H114" s="2">
        <v>1722</v>
      </c>
      <c r="I114" s="2" t="str">
        <f t="shared" si="1"/>
        <v/>
      </c>
    </row>
    <row r="115" spans="1:9" x14ac:dyDescent="0.25">
      <c r="A115" s="16" t="s">
        <v>171</v>
      </c>
      <c r="B115" s="18">
        <v>-8.9334333268787507</v>
      </c>
      <c r="G115" s="2" t="s">
        <v>456</v>
      </c>
      <c r="H115" s="2">
        <v>2269</v>
      </c>
      <c r="I115" s="2" t="str">
        <f t="shared" si="1"/>
        <v/>
      </c>
    </row>
    <row r="116" spans="1:9" x14ac:dyDescent="0.25">
      <c r="A116" s="16" t="s">
        <v>173</v>
      </c>
      <c r="B116" s="18">
        <v>-5.7255208286948678</v>
      </c>
      <c r="G116" s="2" t="s">
        <v>456</v>
      </c>
      <c r="H116" s="2"/>
      <c r="I116" s="2">
        <f t="shared" si="1"/>
        <v>3.8178193974054295</v>
      </c>
    </row>
    <row r="117" spans="1:9" x14ac:dyDescent="0.25">
      <c r="A117" s="16" t="s">
        <v>176</v>
      </c>
      <c r="B117" s="18">
        <v>-5.6550374954014719</v>
      </c>
      <c r="C117" s="2">
        <v>500</v>
      </c>
      <c r="D117" s="2" t="s">
        <v>304</v>
      </c>
      <c r="E117" s="2" t="s">
        <v>304</v>
      </c>
      <c r="F117" s="2" t="s">
        <v>304</v>
      </c>
      <c r="G117" s="2">
        <v>500</v>
      </c>
      <c r="H117" s="2">
        <v>1630</v>
      </c>
      <c r="I117" s="2">
        <f t="shared" si="1"/>
        <v>3.264641837405442</v>
      </c>
    </row>
    <row r="118" spans="1:9" x14ac:dyDescent="0.25">
      <c r="A118" s="16" t="s">
        <v>174</v>
      </c>
      <c r="B118" s="18">
        <v>-5.7561374953442117</v>
      </c>
      <c r="G118" s="2" t="s">
        <v>456</v>
      </c>
      <c r="H118" s="2">
        <v>1080</v>
      </c>
      <c r="I118" s="2">
        <f t="shared" si="1"/>
        <v>3.2533556474054421</v>
      </c>
    </row>
    <row r="119" spans="1:9" x14ac:dyDescent="0.25">
      <c r="A119" s="16" t="s">
        <v>179</v>
      </c>
      <c r="B119" s="18">
        <v>-5.7775374953321057</v>
      </c>
      <c r="G119" s="2" t="s">
        <v>456</v>
      </c>
      <c r="H119" s="2">
        <v>215</v>
      </c>
      <c r="I119" s="2" t="str">
        <f t="shared" si="1"/>
        <v/>
      </c>
    </row>
    <row r="120" spans="1:9" x14ac:dyDescent="0.25">
      <c r="A120" s="16" t="s">
        <v>177</v>
      </c>
      <c r="B120" s="18">
        <v>-8.6531374937041399</v>
      </c>
      <c r="G120" s="2" t="s">
        <v>456</v>
      </c>
      <c r="H120" s="2">
        <v>2531</v>
      </c>
      <c r="I120" s="2" t="str">
        <f t="shared" si="1"/>
        <v/>
      </c>
    </row>
    <row r="121" spans="1:9" x14ac:dyDescent="0.25">
      <c r="A121" s="16" t="s">
        <v>180</v>
      </c>
      <c r="B121" s="18">
        <v>-7.1647074945467839</v>
      </c>
      <c r="G121" s="2" t="s">
        <v>456</v>
      </c>
      <c r="H121" s="2">
        <v>1784</v>
      </c>
      <c r="I121" s="2" t="str">
        <f t="shared" si="1"/>
        <v/>
      </c>
    </row>
    <row r="122" spans="1:9" x14ac:dyDescent="0.25">
      <c r="A122" s="16" t="s">
        <v>182</v>
      </c>
      <c r="B122" s="18">
        <v>-9.137712493429742</v>
      </c>
      <c r="G122" s="2" t="s">
        <v>456</v>
      </c>
      <c r="H122" s="2">
        <v>2303</v>
      </c>
      <c r="I122" s="2" t="str">
        <f t="shared" si="1"/>
        <v/>
      </c>
    </row>
    <row r="123" spans="1:9" x14ac:dyDescent="0.25">
      <c r="A123" s="16" t="s">
        <v>184</v>
      </c>
      <c r="B123" s="18">
        <v>-4.80504821016837</v>
      </c>
      <c r="G123" s="2" t="s">
        <v>456</v>
      </c>
      <c r="H123" s="2">
        <v>119.5</v>
      </c>
      <c r="I123" s="2" t="str">
        <f t="shared" si="1"/>
        <v/>
      </c>
    </row>
    <row r="124" spans="1:9" x14ac:dyDescent="0.25">
      <c r="A124" s="16" t="s">
        <v>185</v>
      </c>
      <c r="B124" s="18">
        <v>-5.3176499955924772</v>
      </c>
      <c r="G124" s="2" t="s">
        <v>456</v>
      </c>
      <c r="H124" s="2"/>
      <c r="I124" s="2" t="str">
        <f t="shared" si="1"/>
        <v/>
      </c>
    </row>
    <row r="125" spans="1:9" x14ac:dyDescent="0.25">
      <c r="A125" s="16" t="s">
        <v>187</v>
      </c>
      <c r="B125" s="18">
        <v>-4.4752874960693623</v>
      </c>
      <c r="G125" s="2" t="s">
        <v>456</v>
      </c>
      <c r="H125" s="2"/>
      <c r="I125" s="2" t="str">
        <f t="shared" si="1"/>
        <v/>
      </c>
    </row>
    <row r="126" spans="1:9" x14ac:dyDescent="0.25">
      <c r="A126" s="16" t="s">
        <v>190</v>
      </c>
      <c r="B126" s="18">
        <v>-4.2799541628466047</v>
      </c>
      <c r="G126" s="2" t="s">
        <v>456</v>
      </c>
      <c r="H126" s="2">
        <v>430</v>
      </c>
      <c r="I126" s="2" t="str">
        <f t="shared" si="1"/>
        <v/>
      </c>
    </row>
    <row r="127" spans="1:9" x14ac:dyDescent="0.25">
      <c r="A127" s="16" t="s">
        <v>188</v>
      </c>
      <c r="B127" s="18">
        <v>-4.7317624959241611</v>
      </c>
      <c r="G127" s="2" t="s">
        <v>456</v>
      </c>
      <c r="H127" s="2">
        <v>733</v>
      </c>
      <c r="I127" s="2">
        <f t="shared" si="1"/>
        <v>2.7030300774054297</v>
      </c>
    </row>
    <row r="128" spans="1:9" x14ac:dyDescent="0.25">
      <c r="A128" s="16" t="s">
        <v>191</v>
      </c>
      <c r="B128" s="18">
        <v>-9.0480374934806136</v>
      </c>
      <c r="G128" s="2" t="s">
        <v>456</v>
      </c>
      <c r="H128" s="2">
        <v>3390</v>
      </c>
      <c r="I128" s="2" t="str">
        <f t="shared" si="1"/>
        <v/>
      </c>
    </row>
    <row r="129" spans="1:9" x14ac:dyDescent="0.25">
      <c r="A129" s="16" t="s">
        <v>200</v>
      </c>
      <c r="B129" s="18">
        <v>-7.7460083275510483</v>
      </c>
      <c r="G129" s="2" t="s">
        <v>456</v>
      </c>
      <c r="H129" s="2">
        <v>1843</v>
      </c>
      <c r="I129" s="2" t="str">
        <f t="shared" si="1"/>
        <v/>
      </c>
    </row>
    <row r="130" spans="1:9" x14ac:dyDescent="0.25">
      <c r="A130" s="16" t="s">
        <v>198</v>
      </c>
      <c r="B130" s="18">
        <v>-8.3091374938988913</v>
      </c>
      <c r="G130" s="2" t="s">
        <v>456</v>
      </c>
      <c r="H130" s="2">
        <v>1750</v>
      </c>
      <c r="I130" s="2" t="str">
        <f t="shared" si="1"/>
        <v/>
      </c>
    </row>
    <row r="131" spans="1:9" x14ac:dyDescent="0.25">
      <c r="A131" s="16" t="s">
        <v>193</v>
      </c>
      <c r="B131" s="18">
        <v>-8.5975708270689317</v>
      </c>
      <c r="G131" s="2" t="s">
        <v>456</v>
      </c>
      <c r="H131" s="2"/>
      <c r="I131" s="2" t="str">
        <f t="shared" ref="I131:I155" si="2">IFERROR(VLOOKUP(A131,$K$2:$L$29,2,FALSE),"")</f>
        <v/>
      </c>
    </row>
    <row r="132" spans="1:9" x14ac:dyDescent="0.25">
      <c r="A132" s="16" t="s">
        <v>195</v>
      </c>
      <c r="B132" s="18">
        <v>-8.7713124936372573</v>
      </c>
      <c r="G132" s="2" t="s">
        <v>456</v>
      </c>
      <c r="H132" s="2"/>
      <c r="I132" s="2" t="str">
        <f t="shared" si="2"/>
        <v/>
      </c>
    </row>
    <row r="133" spans="1:9" x14ac:dyDescent="0.25">
      <c r="A133" s="16" t="s">
        <v>199</v>
      </c>
      <c r="B133" s="18">
        <v>-7.9094474941251915</v>
      </c>
      <c r="G133" s="2" t="s">
        <v>456</v>
      </c>
      <c r="H133" s="2">
        <v>1777</v>
      </c>
      <c r="I133" s="2" t="str">
        <f t="shared" si="2"/>
        <v/>
      </c>
    </row>
    <row r="134" spans="1:9" x14ac:dyDescent="0.25">
      <c r="A134" s="16" t="s">
        <v>197</v>
      </c>
      <c r="B134" s="18">
        <v>-7.9992152718520577</v>
      </c>
      <c r="G134" s="2" t="s">
        <v>456</v>
      </c>
      <c r="H134" s="2">
        <v>1842</v>
      </c>
      <c r="I134" s="2" t="str">
        <f t="shared" si="2"/>
        <v/>
      </c>
    </row>
    <row r="135" spans="1:9" x14ac:dyDescent="0.25">
      <c r="A135" s="16" t="s">
        <v>194</v>
      </c>
      <c r="B135" s="18">
        <v>-8.8988874935647857</v>
      </c>
      <c r="G135" s="2" t="s">
        <v>456</v>
      </c>
      <c r="H135" s="2"/>
      <c r="I135" s="2" t="str">
        <f t="shared" si="2"/>
        <v/>
      </c>
    </row>
    <row r="136" spans="1:9" x14ac:dyDescent="0.25">
      <c r="A136" s="16" t="s">
        <v>204</v>
      </c>
      <c r="B136" s="18">
        <v>-4.6753374959561027</v>
      </c>
      <c r="G136" s="2" t="s">
        <v>456</v>
      </c>
      <c r="H136" s="2"/>
      <c r="I136" s="2" t="str">
        <f t="shared" si="2"/>
        <v/>
      </c>
    </row>
    <row r="137" spans="1:9" x14ac:dyDescent="0.25">
      <c r="A137" s="16" t="s">
        <v>203</v>
      </c>
      <c r="B137" s="18">
        <v>-4.3348833294821807</v>
      </c>
      <c r="G137" s="2" t="s">
        <v>456</v>
      </c>
      <c r="H137" s="2">
        <v>834</v>
      </c>
      <c r="I137" s="2" t="str">
        <f t="shared" si="2"/>
        <v/>
      </c>
    </row>
    <row r="138" spans="1:9" x14ac:dyDescent="0.25">
      <c r="A138" s="16" t="s">
        <v>201</v>
      </c>
      <c r="B138" s="18">
        <v>-4.9377874958075187</v>
      </c>
      <c r="G138" s="2" t="s">
        <v>456</v>
      </c>
      <c r="H138" s="2">
        <v>579</v>
      </c>
      <c r="I138" s="2" t="str">
        <f t="shared" si="2"/>
        <v/>
      </c>
    </row>
    <row r="139" spans="1:9" x14ac:dyDescent="0.25">
      <c r="A139" s="16" t="s">
        <v>205</v>
      </c>
      <c r="B139" s="18">
        <v>-9.3144458266631265</v>
      </c>
      <c r="G139" s="2" t="s">
        <v>456</v>
      </c>
      <c r="H139" s="2">
        <v>2341</v>
      </c>
      <c r="I139" s="2" t="str">
        <f t="shared" si="2"/>
        <v/>
      </c>
    </row>
    <row r="140" spans="1:9" x14ac:dyDescent="0.25">
      <c r="A140" s="16" t="s">
        <v>210</v>
      </c>
      <c r="B140" s="18">
        <v>-7.3059374944668605</v>
      </c>
      <c r="G140" s="2" t="s">
        <v>456</v>
      </c>
      <c r="H140" s="2"/>
      <c r="I140" s="2" t="str">
        <f t="shared" si="2"/>
        <v/>
      </c>
    </row>
    <row r="141" spans="1:9" x14ac:dyDescent="0.25">
      <c r="A141" s="16" t="s">
        <v>207</v>
      </c>
      <c r="B141" s="18">
        <v>-7.5803674943114805</v>
      </c>
      <c r="G141" s="2" t="s">
        <v>456</v>
      </c>
      <c r="H141" s="2">
        <v>1300</v>
      </c>
      <c r="I141" s="2" t="str">
        <f t="shared" si="2"/>
        <v/>
      </c>
    </row>
    <row r="142" spans="1:9" x14ac:dyDescent="0.25">
      <c r="A142" s="16" t="s">
        <v>208</v>
      </c>
      <c r="B142" s="18">
        <v>-8.1287437440010422</v>
      </c>
      <c r="G142" s="2" t="s">
        <v>456</v>
      </c>
      <c r="H142" s="2">
        <v>2827</v>
      </c>
      <c r="I142" s="2" t="str">
        <f t="shared" si="2"/>
        <v/>
      </c>
    </row>
    <row r="143" spans="1:9" x14ac:dyDescent="0.25">
      <c r="A143" s="16" t="s">
        <v>215</v>
      </c>
      <c r="B143" s="18">
        <v>-5.8561732095733063</v>
      </c>
      <c r="G143" s="2" t="s">
        <v>456</v>
      </c>
      <c r="H143" s="2"/>
      <c r="I143" s="2">
        <f t="shared" si="2"/>
        <v>2.2314128874054404</v>
      </c>
    </row>
    <row r="144" spans="1:9" x14ac:dyDescent="0.25">
      <c r="A144" s="16" t="s">
        <v>214</v>
      </c>
      <c r="B144" s="18">
        <v>-6.5012474949223984</v>
      </c>
      <c r="G144" s="2" t="s">
        <v>456</v>
      </c>
      <c r="H144" s="2"/>
      <c r="I144" s="2">
        <f t="shared" si="2"/>
        <v>4.6081819174054601</v>
      </c>
    </row>
    <row r="145" spans="1:9" x14ac:dyDescent="0.25">
      <c r="A145" s="16" t="s">
        <v>213</v>
      </c>
      <c r="B145" s="18">
        <v>-5.6893774953820246</v>
      </c>
      <c r="G145" s="2" t="s">
        <v>456</v>
      </c>
      <c r="H145" s="2">
        <v>670</v>
      </c>
      <c r="I145" s="2">
        <f t="shared" si="2"/>
        <v>1.4559845674054515</v>
      </c>
    </row>
    <row r="146" spans="1:9" x14ac:dyDescent="0.25">
      <c r="A146" s="16" t="s">
        <v>216</v>
      </c>
      <c r="B146" s="18">
        <v>-6.1941374950962684</v>
      </c>
      <c r="G146" s="2" t="s">
        <v>456</v>
      </c>
      <c r="H146" s="2">
        <v>1967</v>
      </c>
      <c r="I146" s="2" t="str">
        <f t="shared" si="2"/>
        <v/>
      </c>
    </row>
    <row r="147" spans="1:9" x14ac:dyDescent="0.25">
      <c r="A147" s="16" t="s">
        <v>211</v>
      </c>
      <c r="B147" s="18">
        <v>-6.685454161484774</v>
      </c>
      <c r="G147" s="2" t="s">
        <v>456</v>
      </c>
      <c r="H147" s="2">
        <v>2067</v>
      </c>
      <c r="I147" s="2" t="str">
        <f t="shared" si="2"/>
        <v/>
      </c>
    </row>
    <row r="148" spans="1:9" x14ac:dyDescent="0.25">
      <c r="A148" s="16" t="s">
        <v>217</v>
      </c>
      <c r="B148" s="18">
        <v>-5.4096170873771321</v>
      </c>
      <c r="G148" s="2" t="s">
        <v>456</v>
      </c>
      <c r="H148" s="2"/>
      <c r="I148" s="2" t="str">
        <f t="shared" si="2"/>
        <v/>
      </c>
    </row>
    <row r="149" spans="1:9" x14ac:dyDescent="0.25">
      <c r="A149" s="16" t="s">
        <v>220</v>
      </c>
      <c r="B149" s="18">
        <v>-5.3794374955574957</v>
      </c>
      <c r="G149" s="2" t="s">
        <v>456</v>
      </c>
      <c r="H149" s="2">
        <v>1472</v>
      </c>
      <c r="I149" s="2">
        <f t="shared" si="2"/>
        <v>4.4740739674054453</v>
      </c>
    </row>
    <row r="150" spans="1:9" x14ac:dyDescent="0.25">
      <c r="A150" s="16" t="s">
        <v>218</v>
      </c>
      <c r="B150" s="18">
        <v>-5.5157999954803083</v>
      </c>
      <c r="G150" s="2" t="s">
        <v>456</v>
      </c>
      <c r="H150" s="2">
        <v>1500</v>
      </c>
      <c r="I150" s="2">
        <f t="shared" si="2"/>
        <v>5.4119449574054386</v>
      </c>
    </row>
    <row r="151" spans="1:9" x14ac:dyDescent="0.25">
      <c r="A151" s="16" t="s">
        <v>221</v>
      </c>
      <c r="B151" s="18">
        <v>-9.1116708267778161</v>
      </c>
      <c r="G151" s="2" t="s">
        <v>456</v>
      </c>
      <c r="H151" s="2">
        <v>2438</v>
      </c>
      <c r="I151" s="2" t="str">
        <f t="shared" si="2"/>
        <v/>
      </c>
    </row>
    <row r="152" spans="1:9" x14ac:dyDescent="0.25">
      <c r="A152" s="16" t="s">
        <v>223</v>
      </c>
      <c r="B152" s="18">
        <v>-9.7653374930745294</v>
      </c>
      <c r="G152" s="2" t="s">
        <v>456</v>
      </c>
      <c r="H152" s="2"/>
      <c r="I152" s="2" t="str">
        <f t="shared" si="2"/>
        <v/>
      </c>
    </row>
    <row r="153" spans="1:9" x14ac:dyDescent="0.25">
      <c r="A153" s="16" t="s">
        <v>225</v>
      </c>
      <c r="B153" s="18">
        <v>-6.062287495170902</v>
      </c>
      <c r="G153" s="2" t="s">
        <v>456</v>
      </c>
      <c r="H153" s="2">
        <v>1974</v>
      </c>
      <c r="I153" s="2" t="str">
        <f t="shared" si="2"/>
        <v/>
      </c>
    </row>
    <row r="154" spans="1:9" x14ac:dyDescent="0.25">
      <c r="A154" s="16" t="s">
        <v>229</v>
      </c>
      <c r="B154" s="18">
        <v>-8.2175999939507598</v>
      </c>
      <c r="G154" s="2" t="s">
        <v>456</v>
      </c>
      <c r="H154" s="2">
        <v>2709</v>
      </c>
      <c r="I154" s="2" t="str">
        <f t="shared" si="2"/>
        <v/>
      </c>
    </row>
    <row r="155" spans="1:9" x14ac:dyDescent="0.25">
      <c r="A155" s="16" t="s">
        <v>227</v>
      </c>
      <c r="B155" s="18">
        <v>-8.6759624936913333</v>
      </c>
      <c r="G155" s="2" t="s">
        <v>456</v>
      </c>
      <c r="H155" s="2"/>
      <c r="I155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4F9-DFD0-4528-8865-285E45E0996E}">
  <dimension ref="A1:J31"/>
  <sheetViews>
    <sheetView workbookViewId="0">
      <selection activeCell="F2" sqref="F2"/>
    </sheetView>
  </sheetViews>
  <sheetFormatPr defaultColWidth="9.140625" defaultRowHeight="15" x14ac:dyDescent="0.25"/>
  <cols>
    <col min="1" max="1" width="11.7109375" style="2" customWidth="1"/>
    <col min="2" max="2" width="9.140625" style="2"/>
    <col min="3" max="3" width="13.42578125" style="2" customWidth="1"/>
    <col min="4" max="4" width="14.7109375" style="2" customWidth="1"/>
    <col min="5" max="5" width="27.85546875" style="2" customWidth="1"/>
    <col min="6" max="6" width="9.140625" style="2"/>
    <col min="7" max="7" width="27.28515625" style="2" customWidth="1"/>
    <col min="8" max="8" width="45" style="1" customWidth="1"/>
    <col min="10" max="10" width="18.5703125" style="2" customWidth="1"/>
    <col min="11" max="16384" width="9.140625" style="2"/>
  </cols>
  <sheetData>
    <row r="1" spans="1:10" x14ac:dyDescent="0.25">
      <c r="A1" s="2" t="s">
        <v>459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538</v>
      </c>
      <c r="H1" s="2" t="s">
        <v>539</v>
      </c>
      <c r="J1" s="2" t="s">
        <v>555</v>
      </c>
    </row>
    <row r="2" spans="1:10" x14ac:dyDescent="0.25">
      <c r="A2" s="2" t="s">
        <v>460</v>
      </c>
      <c r="B2" s="2" t="s">
        <v>458</v>
      </c>
      <c r="C2" s="2">
        <v>-115.04528200999999</v>
      </c>
      <c r="D2" s="2">
        <v>-107.07866459</v>
      </c>
      <c r="E2" s="2">
        <f t="shared" ref="E2:E7" si="0">D2+$F$2-C2</f>
        <v>3.0373261474054374</v>
      </c>
      <c r="F2" s="2">
        <f>-9.85858254518912/2</f>
        <v>-4.9292912725945603</v>
      </c>
      <c r="G2" s="13" t="s">
        <v>337</v>
      </c>
      <c r="H2" s="39" t="s">
        <v>540</v>
      </c>
    </row>
    <row r="3" spans="1:10" x14ac:dyDescent="0.25">
      <c r="B3" s="2" t="s">
        <v>466</v>
      </c>
      <c r="C3" s="2">
        <v>-114.54792698</v>
      </c>
      <c r="D3" s="2">
        <v>-106.75532909</v>
      </c>
      <c r="E3" s="2">
        <f t="shared" si="0"/>
        <v>2.863306617405442</v>
      </c>
    </row>
    <row r="4" spans="1:10" x14ac:dyDescent="0.25">
      <c r="B4" s="2" t="s">
        <v>467</v>
      </c>
      <c r="C4" s="2">
        <v>-376.71831448</v>
      </c>
      <c r="D4" s="2">
        <v>-371.75867425000001</v>
      </c>
      <c r="E4" s="2">
        <f t="shared" si="0"/>
        <v>3.0348957405408328E-2</v>
      </c>
    </row>
    <row r="5" spans="1:10" x14ac:dyDescent="0.25">
      <c r="A5" s="2" t="s">
        <v>468</v>
      </c>
      <c r="C5" s="2">
        <v>-30.918329839999998</v>
      </c>
      <c r="D5" s="2">
        <v>-22.83747825</v>
      </c>
      <c r="E5" s="2">
        <f t="shared" si="0"/>
        <v>3.151560317405437</v>
      </c>
      <c r="G5" s="2" t="s">
        <v>560</v>
      </c>
      <c r="J5" s="2" t="s">
        <v>556</v>
      </c>
    </row>
    <row r="6" spans="1:10" x14ac:dyDescent="0.25">
      <c r="A6" s="2" t="s">
        <v>469</v>
      </c>
      <c r="C6" s="2">
        <v>-83.945247039999998</v>
      </c>
      <c r="D6" s="2">
        <v>-76.895238969999994</v>
      </c>
      <c r="E6" s="2">
        <f t="shared" si="0"/>
        <v>2.1207167974054499</v>
      </c>
      <c r="G6" s="2" t="s">
        <v>561</v>
      </c>
      <c r="H6" s="39" t="s">
        <v>541</v>
      </c>
    </row>
    <row r="7" spans="1:10" x14ac:dyDescent="0.25">
      <c r="A7" s="2" t="s">
        <v>470</v>
      </c>
      <c r="C7" s="2">
        <v>-47.246169369999997</v>
      </c>
      <c r="D7" s="2">
        <v>-38.43635776</v>
      </c>
      <c r="E7" s="2">
        <f t="shared" si="0"/>
        <v>3.8805203374054358</v>
      </c>
      <c r="G7" s="2" t="s">
        <v>562</v>
      </c>
      <c r="H7" s="1" t="s">
        <v>542</v>
      </c>
    </row>
    <row r="8" spans="1:10" x14ac:dyDescent="0.25">
      <c r="A8" s="2" t="s">
        <v>471</v>
      </c>
    </row>
    <row r="9" spans="1:10" ht="39" x14ac:dyDescent="0.25">
      <c r="A9" s="2" t="s">
        <v>472</v>
      </c>
      <c r="C9" s="2">
        <v>-198.95805204999999</v>
      </c>
      <c r="D9" s="2">
        <v>-190.60804726000001</v>
      </c>
      <c r="E9" s="2">
        <f>D9+$F$2-C9</f>
        <v>3.4207135174054315</v>
      </c>
      <c r="G9" s="13" t="s">
        <v>563</v>
      </c>
      <c r="H9" s="37" t="s">
        <v>543</v>
      </c>
    </row>
    <row r="10" spans="1:10" ht="25.5" x14ac:dyDescent="0.25">
      <c r="A10" s="2" t="s">
        <v>473</v>
      </c>
      <c r="C10" s="2">
        <v>-370.91003302000001</v>
      </c>
      <c r="D10" s="2">
        <v>-363.25697377</v>
      </c>
      <c r="E10" s="2">
        <f>D10+$F$2-C10</f>
        <v>2.72376797740543</v>
      </c>
      <c r="G10" s="13" t="s">
        <v>564</v>
      </c>
      <c r="H10" s="36" t="s">
        <v>544</v>
      </c>
    </row>
    <row r="11" spans="1:10" x14ac:dyDescent="0.25">
      <c r="A11" s="2" t="s">
        <v>474</v>
      </c>
      <c r="C11" s="2">
        <v>-26.170262690000001</v>
      </c>
      <c r="D11" s="2">
        <v>-16.86637743</v>
      </c>
      <c r="E11" s="2">
        <f>D11+$F$2-C11</f>
        <v>4.37459398740544</v>
      </c>
      <c r="G11" s="41" t="s">
        <v>565</v>
      </c>
      <c r="H11" s="39" t="s">
        <v>545</v>
      </c>
    </row>
    <row r="12" spans="1:10" x14ac:dyDescent="0.25">
      <c r="A12" s="2" t="s">
        <v>475</v>
      </c>
      <c r="C12" s="2">
        <v>-38.468832970000001</v>
      </c>
      <c r="D12" s="2">
        <v>-30.376762379999999</v>
      </c>
      <c r="E12" s="2">
        <f>D12+$F$2-C12</f>
        <v>3.1627793174054446</v>
      </c>
      <c r="G12" s="2" t="s">
        <v>566</v>
      </c>
      <c r="H12" s="40" t="s">
        <v>546</v>
      </c>
    </row>
    <row r="13" spans="1:10" ht="25.5" x14ac:dyDescent="0.25">
      <c r="A13" s="2" t="s">
        <v>476</v>
      </c>
      <c r="G13" s="2" t="s">
        <v>556</v>
      </c>
      <c r="H13" s="38" t="s">
        <v>547</v>
      </c>
    </row>
    <row r="14" spans="1:10" x14ac:dyDescent="0.25">
      <c r="A14" s="2" t="s">
        <v>477</v>
      </c>
      <c r="C14" s="2">
        <v>-599.97843897999996</v>
      </c>
      <c r="D14" s="2">
        <v>-592.86837573000003</v>
      </c>
      <c r="E14" s="2">
        <f t="shared" ref="E14:E31" si="1">D14+$F$2-C14</f>
        <v>2.1807719774053567</v>
      </c>
      <c r="G14" s="13" t="s">
        <v>567</v>
      </c>
      <c r="H14" s="11" t="s">
        <v>559</v>
      </c>
    </row>
    <row r="15" spans="1:10" x14ac:dyDescent="0.25">
      <c r="A15" s="2" t="s">
        <v>478</v>
      </c>
      <c r="C15" s="2">
        <v>-211.90299375000001</v>
      </c>
      <c r="D15" s="2">
        <v>-204.22567572</v>
      </c>
      <c r="E15" s="2">
        <f t="shared" si="1"/>
        <v>2.7480267574054551</v>
      </c>
      <c r="G15" s="13" t="s">
        <v>568</v>
      </c>
      <c r="H15" s="39" t="s">
        <v>548</v>
      </c>
    </row>
    <row r="16" spans="1:10" x14ac:dyDescent="0.25">
      <c r="A16" s="2" t="s">
        <v>479</v>
      </c>
      <c r="C16" s="2">
        <v>-62.134829379999999</v>
      </c>
      <c r="D16" s="2">
        <v>-52.416623219999998</v>
      </c>
      <c r="E16" s="2">
        <f t="shared" si="1"/>
        <v>4.7889148874054399</v>
      </c>
      <c r="G16" s="2">
        <v>100</v>
      </c>
      <c r="H16" s="39" t="s">
        <v>549</v>
      </c>
    </row>
    <row r="17" spans="1:8" ht="26.25" x14ac:dyDescent="0.25">
      <c r="A17" s="2" t="s">
        <v>480</v>
      </c>
      <c r="C17" s="2">
        <v>-89.201065069999999</v>
      </c>
      <c r="D17" s="2">
        <v>-79.460188040000006</v>
      </c>
      <c r="E17" s="2">
        <f t="shared" si="1"/>
        <v>4.8115857574054388</v>
      </c>
      <c r="G17" s="13" t="s">
        <v>569</v>
      </c>
      <c r="H17" s="11" t="s">
        <v>550</v>
      </c>
    </row>
    <row r="18" spans="1:8" ht="26.25" x14ac:dyDescent="0.25">
      <c r="A18" s="2" t="s">
        <v>481</v>
      </c>
      <c r="C18" s="2">
        <v>-228.46961936</v>
      </c>
      <c r="D18" s="2">
        <v>-220.47352824000001</v>
      </c>
      <c r="E18" s="2">
        <f t="shared" si="1"/>
        <v>3.0667998474054343</v>
      </c>
      <c r="G18" s="13" t="s">
        <v>337</v>
      </c>
      <c r="H18" s="11" t="s">
        <v>551</v>
      </c>
    </row>
    <row r="19" spans="1:8" x14ac:dyDescent="0.25">
      <c r="A19" s="2" t="s">
        <v>482</v>
      </c>
      <c r="C19" s="2">
        <v>-151.22276837999999</v>
      </c>
      <c r="D19" s="2">
        <v>-144.0289775</v>
      </c>
      <c r="E19" s="2">
        <f t="shared" si="1"/>
        <v>2.2644996074054404</v>
      </c>
      <c r="G19" s="2" t="s">
        <v>558</v>
      </c>
      <c r="H19" s="39" t="s">
        <v>557</v>
      </c>
    </row>
    <row r="20" spans="1:8" x14ac:dyDescent="0.25">
      <c r="A20" s="2" t="s">
        <v>483</v>
      </c>
      <c r="C20" s="2">
        <v>-21.506446919999998</v>
      </c>
      <c r="D20" s="2">
        <v>-13.614792120000001</v>
      </c>
      <c r="E20" s="2">
        <f t="shared" si="1"/>
        <v>2.9623635274054365</v>
      </c>
    </row>
    <row r="21" spans="1:8" x14ac:dyDescent="0.25">
      <c r="A21" s="2" t="s">
        <v>484</v>
      </c>
      <c r="C21" s="2">
        <v>-119.22725527</v>
      </c>
      <c r="D21" s="2">
        <v>-110.98209944</v>
      </c>
      <c r="E21" s="2">
        <f t="shared" si="1"/>
        <v>3.3158645574054475</v>
      </c>
    </row>
    <row r="22" spans="1:8" x14ac:dyDescent="0.25">
      <c r="A22" s="2" t="s">
        <v>485</v>
      </c>
      <c r="C22" s="2">
        <v>-145.1925918</v>
      </c>
      <c r="D22" s="2">
        <v>-137.94298309999999</v>
      </c>
      <c r="E22" s="2">
        <f t="shared" si="1"/>
        <v>2.3203174274054561</v>
      </c>
    </row>
    <row r="23" spans="1:8" x14ac:dyDescent="0.25">
      <c r="A23" s="2" t="s">
        <v>486</v>
      </c>
      <c r="C23" s="2">
        <v>-128.28174139999999</v>
      </c>
      <c r="D23" s="2">
        <v>-119.53463073</v>
      </c>
      <c r="E23" s="2">
        <f t="shared" si="1"/>
        <v>3.8178193974054295</v>
      </c>
    </row>
    <row r="24" spans="1:8" x14ac:dyDescent="0.25">
      <c r="A24" s="2" t="s">
        <v>487</v>
      </c>
      <c r="C24" s="2">
        <v>-22.725284030000001</v>
      </c>
      <c r="D24" s="2">
        <v>-14.542637109999999</v>
      </c>
      <c r="E24" s="2">
        <f t="shared" si="1"/>
        <v>3.2533556474054421</v>
      </c>
    </row>
    <row r="25" spans="1:8" x14ac:dyDescent="0.25">
      <c r="A25" s="2" t="s">
        <v>488</v>
      </c>
      <c r="C25" s="2">
        <v>-37.303320249999999</v>
      </c>
      <c r="D25" s="2">
        <v>-29.109387139999999</v>
      </c>
      <c r="E25" s="2">
        <f t="shared" si="1"/>
        <v>3.264641837405442</v>
      </c>
      <c r="G25" s="2">
        <v>110</v>
      </c>
      <c r="H25" s="1" t="s">
        <v>552</v>
      </c>
    </row>
    <row r="26" spans="1:8" x14ac:dyDescent="0.25">
      <c r="A26" s="2" t="s">
        <v>489</v>
      </c>
      <c r="C26" s="2">
        <v>-129.09829221999999</v>
      </c>
      <c r="D26" s="2">
        <v>-121.46597087000001</v>
      </c>
      <c r="E26" s="2">
        <f t="shared" si="1"/>
        <v>2.7030300774054297</v>
      </c>
      <c r="H26" s="42" t="s">
        <v>570</v>
      </c>
    </row>
    <row r="27" spans="1:8" x14ac:dyDescent="0.25">
      <c r="A27" s="2" t="s">
        <v>490</v>
      </c>
      <c r="C27" s="2">
        <v>-104.14184631000001</v>
      </c>
      <c r="D27" s="2">
        <v>-97.75657047</v>
      </c>
      <c r="E27" s="2">
        <f t="shared" si="1"/>
        <v>1.4559845674054515</v>
      </c>
      <c r="G27" s="13" t="s">
        <v>337</v>
      </c>
      <c r="H27" s="1" t="s">
        <v>553</v>
      </c>
    </row>
    <row r="28" spans="1:8" x14ac:dyDescent="0.25">
      <c r="A28" s="2" t="s">
        <v>491</v>
      </c>
      <c r="C28" s="2">
        <v>-252.80621321000001</v>
      </c>
      <c r="D28" s="2">
        <v>-243.26874002</v>
      </c>
      <c r="E28" s="2">
        <f t="shared" si="1"/>
        <v>4.6081819174054601</v>
      </c>
    </row>
    <row r="29" spans="1:8" x14ac:dyDescent="0.25">
      <c r="A29" s="2" t="s">
        <v>492</v>
      </c>
      <c r="C29" s="2">
        <v>-452.11876445000001</v>
      </c>
      <c r="D29" s="2">
        <v>-444.95806028999999</v>
      </c>
      <c r="E29" s="2">
        <f t="shared" si="1"/>
        <v>2.2314128874054404</v>
      </c>
    </row>
    <row r="30" spans="1:8" x14ac:dyDescent="0.25">
      <c r="A30" s="2" t="s">
        <v>493</v>
      </c>
      <c r="C30" s="2">
        <v>-91.867609689999995</v>
      </c>
      <c r="D30" s="2">
        <v>-81.526373460000002</v>
      </c>
      <c r="E30" s="2">
        <f t="shared" si="1"/>
        <v>5.4119449574054386</v>
      </c>
    </row>
    <row r="31" spans="1:8" x14ac:dyDescent="0.25">
      <c r="A31" s="2" t="s">
        <v>494</v>
      </c>
      <c r="C31" s="2">
        <v>-241.15803285000001</v>
      </c>
      <c r="D31" s="2">
        <v>-231.75466761000001</v>
      </c>
      <c r="E31" s="2">
        <f t="shared" si="1"/>
        <v>4.4740739674054453</v>
      </c>
      <c r="G31" s="13" t="s">
        <v>339</v>
      </c>
      <c r="H31" s="40" t="s">
        <v>554</v>
      </c>
    </row>
  </sheetData>
  <hyperlinks>
    <hyperlink ref="H2" r:id="rId1" xr:uid="{6CDAE7FB-2E02-4C05-A982-CA04466BC29B}"/>
    <hyperlink ref="H6" r:id="rId2" xr:uid="{06F31AE8-331F-4702-B515-3117DD661AAD}"/>
    <hyperlink ref="H9" r:id="rId3" display="https://doi.org/10.1088/1361-648X/aac743," xr:uid="{96B8D3C6-82CD-4DF7-A286-82FE6E4B6F0C}"/>
    <hyperlink ref="H11" r:id="rId4" xr:uid="{DD30A351-E6D7-43CE-89F7-86CACDF97AE5}"/>
    <hyperlink ref="H12" r:id="rId5" xr:uid="{39B8DCB9-A949-40A8-AB86-37835E33987A}"/>
    <hyperlink ref="H13" r:id="rId6" tooltip="DOI URL" display="https://doi.org/10.1021/jp3004773" xr:uid="{62069577-4BEB-4A79-B7D4-C29E8BE881EE}"/>
    <hyperlink ref="H31" r:id="rId7" xr:uid="{97CC427D-3951-4F87-9E91-B1DA106D14EF}"/>
    <hyperlink ref="H15" r:id="rId8" xr:uid="{62482901-86CF-4ABE-B9F4-AC6AF73A8C42}"/>
    <hyperlink ref="H16" r:id="rId9" xr:uid="{F3E23C30-6AD9-4049-ACD7-FCDD15052FC4}"/>
    <hyperlink ref="H19" r:id="rId10" xr:uid="{2ECB89D4-DFD8-4AC4-9A36-E2928B476D6C}"/>
  </hyperlinks>
  <pageMargins left="0.7" right="0.7" top="0.75" bottom="0.75" header="0.3" footer="0.3"/>
  <pageSetup orientation="portrait" r:id="rId11"/>
  <ignoredErrors>
    <ignoredError sqref="G2 G18 G27 G3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CF8C-48EF-4801-8DCE-131CFC0A6EFA}">
  <dimension ref="A1:O298"/>
  <sheetViews>
    <sheetView workbookViewId="0">
      <selection activeCell="I23" sqref="I23"/>
    </sheetView>
  </sheetViews>
  <sheetFormatPr defaultRowHeight="15" x14ac:dyDescent="0.25"/>
  <cols>
    <col min="1" max="1" width="13.42578125" style="1" customWidth="1"/>
    <col min="2" max="2" width="22.85546875" style="1" customWidth="1"/>
    <col min="3" max="3" width="10.140625" customWidth="1"/>
    <col min="5" max="5" width="17.28515625" style="136" customWidth="1"/>
    <col min="6" max="6" width="14.85546875" customWidth="1"/>
    <col min="7" max="7" width="15.28515625" customWidth="1"/>
    <col min="8" max="8" width="16.5703125" style="1" customWidth="1"/>
    <col min="9" max="9" width="24.7109375" style="1" customWidth="1"/>
    <col min="10" max="10" width="14.28515625" customWidth="1"/>
    <col min="11" max="13" width="11.85546875" style="135" customWidth="1"/>
    <col min="14" max="14" width="19.42578125" style="7" customWidth="1"/>
    <col min="15" max="15" width="21.28515625" style="7" customWidth="1"/>
  </cols>
  <sheetData>
    <row r="1" spans="1:15" x14ac:dyDescent="0.25">
      <c r="A1" s="5" t="s">
        <v>604</v>
      </c>
      <c r="B1" s="5" t="s">
        <v>605</v>
      </c>
      <c r="C1" s="1" t="s">
        <v>606</v>
      </c>
      <c r="E1" s="17" t="s">
        <v>328</v>
      </c>
      <c r="F1" s="17" t="s">
        <v>607</v>
      </c>
      <c r="G1" s="17" t="s">
        <v>608</v>
      </c>
      <c r="H1" s="5" t="s">
        <v>609</v>
      </c>
      <c r="I1" s="5" t="s">
        <v>610</v>
      </c>
      <c r="J1" s="5" t="s">
        <v>611</v>
      </c>
      <c r="K1" s="32" t="s">
        <v>612</v>
      </c>
      <c r="L1" s="32" t="s">
        <v>613</v>
      </c>
      <c r="M1" s="32" t="s">
        <v>614</v>
      </c>
      <c r="N1" s="32" t="s">
        <v>615</v>
      </c>
      <c r="O1" s="32" t="s">
        <v>616</v>
      </c>
    </row>
    <row r="2" spans="1:15" x14ac:dyDescent="0.25">
      <c r="A2" s="1" t="s">
        <v>0</v>
      </c>
      <c r="B2" s="24">
        <v>-964.31734265407499</v>
      </c>
      <c r="C2" s="1">
        <v>23.058759999999999</v>
      </c>
      <c r="E2" s="16" t="s">
        <v>0</v>
      </c>
      <c r="F2" s="7">
        <f>IFERROR(VLOOKUP(E2,$A$2:$B$298,2,FALSE),"")</f>
        <v>-964.31734265407499</v>
      </c>
      <c r="G2" s="7">
        <f>F2/$C$2</f>
        <v>-41.819999976324617</v>
      </c>
      <c r="H2" s="1" t="s">
        <v>1</v>
      </c>
      <c r="I2" s="24">
        <v>-95.178106347450495</v>
      </c>
      <c r="J2" s="7">
        <f>I2/$C$2</f>
        <v>-4.1276333309965709</v>
      </c>
      <c r="K2" s="7">
        <v>-4.9287000000000001</v>
      </c>
      <c r="L2" s="2">
        <v>2</v>
      </c>
      <c r="M2" s="2">
        <v>3</v>
      </c>
      <c r="N2" s="7">
        <f>G2-L2*J2-M2*$K$2</f>
        <v>-18.778633314331476</v>
      </c>
      <c r="O2" s="7">
        <f>N2/M2</f>
        <v>-6.2595444381104919</v>
      </c>
    </row>
    <row r="3" spans="1:15" x14ac:dyDescent="0.25">
      <c r="A3" s="1" t="s">
        <v>2</v>
      </c>
      <c r="B3" s="24">
        <v>-267.19222841073503</v>
      </c>
      <c r="E3" s="16" t="s">
        <v>5</v>
      </c>
      <c r="F3" s="7">
        <f t="shared" ref="F3:F66" si="0">IFERROR(VLOOKUP(E3,$A$2:$B$298,2,FALSE),"")</f>
        <v>-200.271095176621</v>
      </c>
      <c r="G3" s="7">
        <f t="shared" ref="G3:G66" si="1">F3/$C$2</f>
        <v>-8.6852499950830406</v>
      </c>
      <c r="H3" s="1" t="s">
        <v>3</v>
      </c>
      <c r="I3" s="24">
        <v>-65.295490655034499</v>
      </c>
      <c r="J3" s="7">
        <f t="shared" ref="J3:J66" si="2">I3/$C$2</f>
        <v>-2.8316999983968998</v>
      </c>
      <c r="L3" s="2">
        <v>1</v>
      </c>
      <c r="M3" s="2">
        <v>1</v>
      </c>
      <c r="N3" s="7">
        <f t="shared" ref="N3:N66" si="3">G3-L3*J3-M3*$K$2</f>
        <v>-0.92484999668614076</v>
      </c>
      <c r="O3" s="7">
        <f t="shared" ref="O3:O66" si="4">N3/M3</f>
        <v>-0.92484999668614076</v>
      </c>
    </row>
    <row r="4" spans="1:15" x14ac:dyDescent="0.25">
      <c r="A4" s="1" t="s">
        <v>4</v>
      </c>
      <c r="B4" s="24">
        <v>-718.70811359112099</v>
      </c>
      <c r="E4" s="16" t="s">
        <v>4</v>
      </c>
      <c r="F4" s="7">
        <f t="shared" si="0"/>
        <v>-718.70811359112099</v>
      </c>
      <c r="G4" s="7">
        <f t="shared" si="1"/>
        <v>-31.168549982354691</v>
      </c>
      <c r="H4" s="1" t="s">
        <v>3</v>
      </c>
      <c r="I4" s="24">
        <v>-65.295490655034499</v>
      </c>
      <c r="J4" s="7">
        <f t="shared" si="2"/>
        <v>-2.8316999983968998</v>
      </c>
      <c r="L4" s="2">
        <v>3</v>
      </c>
      <c r="M4" s="2">
        <v>4</v>
      </c>
      <c r="N4" s="7">
        <f t="shared" si="3"/>
        <v>-2.9586499871639909</v>
      </c>
      <c r="O4" s="7">
        <f t="shared" si="4"/>
        <v>-0.73966249679099771</v>
      </c>
    </row>
    <row r="5" spans="1:15" x14ac:dyDescent="0.25">
      <c r="A5" s="1" t="s">
        <v>4</v>
      </c>
      <c r="B5" s="24">
        <v>-718.70811359112099</v>
      </c>
      <c r="E5" s="16" t="s">
        <v>2</v>
      </c>
      <c r="F5" s="7">
        <f t="shared" si="0"/>
        <v>-267.19222841073503</v>
      </c>
      <c r="G5" s="7">
        <f t="shared" si="1"/>
        <v>-11.587449993440021</v>
      </c>
      <c r="H5" s="1" t="s">
        <v>3</v>
      </c>
      <c r="I5" s="24">
        <v>-65.295490655034499</v>
      </c>
      <c r="J5" s="7">
        <f t="shared" si="2"/>
        <v>-2.8316999983968998</v>
      </c>
      <c r="L5" s="2">
        <v>2</v>
      </c>
      <c r="M5" s="2">
        <v>1</v>
      </c>
      <c r="N5" s="7">
        <f t="shared" si="3"/>
        <v>-0.99534999664622159</v>
      </c>
      <c r="O5" s="7">
        <f t="shared" si="4"/>
        <v>-0.99534999664622159</v>
      </c>
    </row>
    <row r="6" spans="1:15" x14ac:dyDescent="0.25">
      <c r="A6" s="1" t="s">
        <v>4</v>
      </c>
      <c r="B6" s="24">
        <v>-718.70811359112099</v>
      </c>
      <c r="E6" s="16" t="s">
        <v>6</v>
      </c>
      <c r="F6" s="7">
        <f t="shared" si="0"/>
        <v>-911.12885393018598</v>
      </c>
      <c r="G6" s="7">
        <f t="shared" si="1"/>
        <v>-39.513349977630455</v>
      </c>
      <c r="H6" s="1" t="s">
        <v>7</v>
      </c>
      <c r="I6" s="24">
        <v>-86.426538307071695</v>
      </c>
      <c r="J6" s="7">
        <f t="shared" si="2"/>
        <v>-3.7480999978781036</v>
      </c>
      <c r="L6" s="2">
        <v>2</v>
      </c>
      <c r="M6" s="2">
        <v>3</v>
      </c>
      <c r="N6" s="7">
        <f t="shared" si="3"/>
        <v>-17.231049981874246</v>
      </c>
      <c r="O6" s="7">
        <f t="shared" si="4"/>
        <v>-5.7436833272914152</v>
      </c>
    </row>
    <row r="7" spans="1:15" x14ac:dyDescent="0.25">
      <c r="A7" s="1" t="s">
        <v>5</v>
      </c>
      <c r="B7" s="24">
        <v>-200.271095176621</v>
      </c>
      <c r="E7" s="16" t="s">
        <v>10</v>
      </c>
      <c r="F7" s="7">
        <f t="shared" si="0"/>
        <v>-1038.2639035872101</v>
      </c>
      <c r="G7" s="7">
        <f t="shared" si="1"/>
        <v>-45.026874974509042</v>
      </c>
      <c r="H7" s="1" t="s">
        <v>9</v>
      </c>
      <c r="I7" s="24">
        <v>-107.408856957193</v>
      </c>
      <c r="J7" s="7">
        <f t="shared" si="2"/>
        <v>-4.6580499973629541</v>
      </c>
      <c r="L7" s="2">
        <v>2</v>
      </c>
      <c r="M7" s="2">
        <v>5</v>
      </c>
      <c r="N7" s="7">
        <f t="shared" si="3"/>
        <v>-11.067274979783132</v>
      </c>
      <c r="O7" s="7">
        <f t="shared" si="4"/>
        <v>-2.2134549959566265</v>
      </c>
    </row>
    <row r="8" spans="1:15" x14ac:dyDescent="0.25">
      <c r="A8" s="1" t="s">
        <v>5</v>
      </c>
      <c r="B8" s="24">
        <v>-200.271095176621</v>
      </c>
      <c r="E8" s="16" t="s">
        <v>8</v>
      </c>
      <c r="F8" s="7">
        <f t="shared" si="0"/>
        <v>-745.44243991998599</v>
      </c>
      <c r="G8" s="7">
        <f t="shared" si="1"/>
        <v>-32.327949981698325</v>
      </c>
      <c r="H8" s="1" t="s">
        <v>9</v>
      </c>
      <c r="I8" s="24">
        <v>-107.408856957193</v>
      </c>
      <c r="J8" s="7">
        <f t="shared" si="2"/>
        <v>-4.6580499973629541</v>
      </c>
      <c r="L8" s="2">
        <v>2</v>
      </c>
      <c r="M8" s="2">
        <v>3</v>
      </c>
      <c r="N8" s="7">
        <f t="shared" si="3"/>
        <v>-8.2257499869724136</v>
      </c>
      <c r="O8" s="7">
        <f t="shared" si="4"/>
        <v>-2.741916662324138</v>
      </c>
    </row>
    <row r="9" spans="1:15" x14ac:dyDescent="0.25">
      <c r="A9" s="1" t="s">
        <v>6</v>
      </c>
      <c r="B9" s="24">
        <v>-911.12885393018598</v>
      </c>
      <c r="E9" s="16" t="s">
        <v>11</v>
      </c>
      <c r="F9" s="7">
        <f t="shared" si="0"/>
        <v>-546.18247136879199</v>
      </c>
      <c r="G9" s="7">
        <f t="shared" si="1"/>
        <v>-23.686549986590432</v>
      </c>
      <c r="H9" s="1" t="s">
        <v>12</v>
      </c>
      <c r="I9" s="24">
        <v>-75.489768445263294</v>
      </c>
      <c r="J9" s="7">
        <f t="shared" si="2"/>
        <v>-3.2737999981466173</v>
      </c>
      <c r="L9" s="2">
        <v>2</v>
      </c>
      <c r="M9" s="2">
        <v>3</v>
      </c>
      <c r="N9" s="7">
        <f t="shared" si="3"/>
        <v>-2.352849990297198</v>
      </c>
      <c r="O9" s="7">
        <f t="shared" si="4"/>
        <v>-0.78428333009906603</v>
      </c>
    </row>
    <row r="10" spans="1:15" x14ac:dyDescent="0.25">
      <c r="A10" s="1" t="s">
        <v>8</v>
      </c>
      <c r="B10" s="24">
        <v>-745.44243991998599</v>
      </c>
      <c r="E10" s="16" t="s">
        <v>13</v>
      </c>
      <c r="F10" s="7">
        <f t="shared" si="0"/>
        <v>-973.77066562338996</v>
      </c>
      <c r="G10" s="7">
        <f t="shared" si="1"/>
        <v>-42.229966642759194</v>
      </c>
      <c r="H10" s="1" t="s">
        <v>15</v>
      </c>
      <c r="I10" s="24">
        <v>-153.998505041817</v>
      </c>
      <c r="J10" s="7">
        <f t="shared" si="2"/>
        <v>-6.6785249962190942</v>
      </c>
      <c r="L10" s="2">
        <v>2</v>
      </c>
      <c r="M10" s="2">
        <v>3</v>
      </c>
      <c r="N10" s="7">
        <f t="shared" si="3"/>
        <v>-14.086816650321005</v>
      </c>
      <c r="O10" s="7">
        <f t="shared" si="4"/>
        <v>-4.6956055501070013</v>
      </c>
    </row>
    <row r="11" spans="1:15" x14ac:dyDescent="0.25">
      <c r="A11" s="1" t="s">
        <v>10</v>
      </c>
      <c r="B11" s="24">
        <v>-1038.2639035872101</v>
      </c>
      <c r="E11" s="16" t="s">
        <v>14</v>
      </c>
      <c r="F11" s="7">
        <f t="shared" si="0"/>
        <v>-1168.38967441454</v>
      </c>
      <c r="G11" s="7">
        <f t="shared" si="1"/>
        <v>-50.670099971314158</v>
      </c>
      <c r="H11" s="1" t="s">
        <v>15</v>
      </c>
      <c r="I11" s="24">
        <v>-153.998505041817</v>
      </c>
      <c r="J11" s="7">
        <f t="shared" si="2"/>
        <v>-6.6785249962190942</v>
      </c>
      <c r="L11" s="2">
        <v>6</v>
      </c>
      <c r="M11" s="2">
        <v>1</v>
      </c>
      <c r="N11" s="7">
        <f t="shared" si="3"/>
        <v>-5.6702499939995965</v>
      </c>
      <c r="O11" s="7">
        <f t="shared" si="4"/>
        <v>-5.6702499939995965</v>
      </c>
    </row>
    <row r="12" spans="1:15" x14ac:dyDescent="0.25">
      <c r="A12" s="1" t="s">
        <v>10</v>
      </c>
      <c r="B12" s="24">
        <v>-1038.2639035872101</v>
      </c>
      <c r="E12" s="16" t="s">
        <v>18</v>
      </c>
      <c r="F12" s="7">
        <f t="shared" si="0"/>
        <v>-422.00067239709398</v>
      </c>
      <c r="G12" s="7">
        <f t="shared" si="1"/>
        <v>-18.301099989639251</v>
      </c>
      <c r="H12" s="1" t="s">
        <v>17</v>
      </c>
      <c r="I12" s="24">
        <v>-44.378889470875897</v>
      </c>
      <c r="J12" s="7">
        <f t="shared" si="2"/>
        <v>-1.9245999989104314</v>
      </c>
      <c r="L12" s="2">
        <v>2</v>
      </c>
      <c r="M12" s="2">
        <v>2</v>
      </c>
      <c r="N12" s="7">
        <f t="shared" si="3"/>
        <v>-4.5944999918183882</v>
      </c>
      <c r="O12" s="7">
        <f t="shared" si="4"/>
        <v>-2.2972499959091941</v>
      </c>
    </row>
    <row r="13" spans="1:15" x14ac:dyDescent="0.25">
      <c r="A13" s="1" t="s">
        <v>11</v>
      </c>
      <c r="B13" s="24">
        <v>-546.18247136879199</v>
      </c>
      <c r="E13" s="16" t="s">
        <v>16</v>
      </c>
      <c r="F13" s="7">
        <f t="shared" si="0"/>
        <v>-288.912427380439</v>
      </c>
      <c r="G13" s="7">
        <f t="shared" si="1"/>
        <v>-12.529399992906773</v>
      </c>
      <c r="H13" s="1" t="s">
        <v>17</v>
      </c>
      <c r="I13" s="24">
        <v>-44.378889470875897</v>
      </c>
      <c r="J13" s="7">
        <f t="shared" si="2"/>
        <v>-1.9245999989104314</v>
      </c>
      <c r="L13" s="2">
        <v>1</v>
      </c>
      <c r="M13" s="2">
        <v>1</v>
      </c>
      <c r="N13" s="7">
        <f t="shared" si="3"/>
        <v>-5.676099993996341</v>
      </c>
      <c r="O13" s="7">
        <f t="shared" si="4"/>
        <v>-5.676099993996341</v>
      </c>
    </row>
    <row r="14" spans="1:15" x14ac:dyDescent="0.25">
      <c r="A14" s="1" t="s">
        <v>13</v>
      </c>
      <c r="B14" s="24">
        <v>-973.77066562338996</v>
      </c>
      <c r="E14" s="16" t="s">
        <v>19</v>
      </c>
      <c r="F14" s="7">
        <f t="shared" si="0"/>
        <v>-343.77037032738201</v>
      </c>
      <c r="G14" s="7">
        <f t="shared" si="1"/>
        <v>-14.908449991559911</v>
      </c>
      <c r="H14" s="1" t="s">
        <v>20</v>
      </c>
      <c r="I14" s="24">
        <v>-86.2997151271435</v>
      </c>
      <c r="J14" s="7">
        <f t="shared" si="2"/>
        <v>-3.7425999978812174</v>
      </c>
      <c r="L14" s="2">
        <v>1</v>
      </c>
      <c r="M14" s="2">
        <v>1</v>
      </c>
      <c r="N14" s="7">
        <f t="shared" si="3"/>
        <v>-6.2371499936786927</v>
      </c>
      <c r="O14" s="7">
        <f t="shared" si="4"/>
        <v>-6.2371499936786927</v>
      </c>
    </row>
    <row r="15" spans="1:15" x14ac:dyDescent="0.25">
      <c r="A15" s="1" t="s">
        <v>13</v>
      </c>
      <c r="B15" s="24">
        <v>-973.77066562338996</v>
      </c>
      <c r="E15" s="16" t="s">
        <v>23</v>
      </c>
      <c r="F15" s="7">
        <f t="shared" si="0"/>
        <v>-1557.6353782501801</v>
      </c>
      <c r="G15" s="7">
        <f t="shared" si="1"/>
        <v>-67.550699961757701</v>
      </c>
      <c r="H15" s="1" t="s">
        <v>22</v>
      </c>
      <c r="I15" s="24">
        <v>-89.888811119111594</v>
      </c>
      <c r="J15" s="7">
        <f t="shared" si="2"/>
        <v>-3.8982499977930987</v>
      </c>
      <c r="L15" s="2">
        <v>4</v>
      </c>
      <c r="M15" s="2">
        <v>7</v>
      </c>
      <c r="N15" s="7">
        <f t="shared" si="3"/>
        <v>-17.456799970585308</v>
      </c>
      <c r="O15" s="7">
        <f t="shared" si="4"/>
        <v>-2.4938285672264726</v>
      </c>
    </row>
    <row r="16" spans="1:15" x14ac:dyDescent="0.25">
      <c r="A16" s="1" t="s">
        <v>14</v>
      </c>
      <c r="B16" s="24">
        <v>-1168.38967441454</v>
      </c>
      <c r="E16" s="16" t="s">
        <v>24</v>
      </c>
      <c r="F16" s="7">
        <f t="shared" si="0"/>
        <v>-419.43884416254502</v>
      </c>
      <c r="G16" s="7">
        <f t="shared" si="1"/>
        <v>-18.18999998970218</v>
      </c>
      <c r="H16" s="1" t="s">
        <v>22</v>
      </c>
      <c r="I16" s="24">
        <v>-89.888811119111594</v>
      </c>
      <c r="J16" s="7">
        <f t="shared" si="2"/>
        <v>-3.8982499977930987</v>
      </c>
      <c r="L16" s="2">
        <v>1</v>
      </c>
      <c r="M16" s="2">
        <v>2</v>
      </c>
      <c r="N16" s="7">
        <f t="shared" si="3"/>
        <v>-4.4343499919090821</v>
      </c>
      <c r="O16" s="7">
        <f t="shared" si="4"/>
        <v>-2.217174995954541</v>
      </c>
    </row>
    <row r="17" spans="1:15" x14ac:dyDescent="0.25">
      <c r="A17" s="1" t="s">
        <v>16</v>
      </c>
      <c r="B17" s="24">
        <v>-288.912427380439</v>
      </c>
      <c r="E17" s="16" t="s">
        <v>21</v>
      </c>
      <c r="F17" s="7">
        <f t="shared" si="0"/>
        <v>-711.85274424700197</v>
      </c>
      <c r="G17" s="7">
        <f t="shared" si="1"/>
        <v>-30.871249982522997</v>
      </c>
      <c r="H17" s="1" t="s">
        <v>22</v>
      </c>
      <c r="I17" s="24">
        <v>-89.888811119111594</v>
      </c>
      <c r="J17" s="7">
        <f t="shared" si="2"/>
        <v>-3.8982499977930987</v>
      </c>
      <c r="L17" s="2">
        <v>2</v>
      </c>
      <c r="M17" s="2">
        <v>3</v>
      </c>
      <c r="N17" s="7">
        <f t="shared" si="3"/>
        <v>-8.2886499869368002</v>
      </c>
      <c r="O17" s="7">
        <f t="shared" si="4"/>
        <v>-2.7628833289789334</v>
      </c>
    </row>
    <row r="18" spans="1:15" x14ac:dyDescent="0.25">
      <c r="A18" s="1" t="s">
        <v>18</v>
      </c>
      <c r="B18" s="24">
        <v>-422.00067239709398</v>
      </c>
      <c r="E18" s="16" t="s">
        <v>25</v>
      </c>
      <c r="F18" s="7">
        <f t="shared" si="0"/>
        <v>-313.156407630714</v>
      </c>
      <c r="G18" s="7">
        <f t="shared" si="1"/>
        <v>-13.580799992311556</v>
      </c>
      <c r="H18" s="1" t="s">
        <v>26</v>
      </c>
      <c r="I18" s="24">
        <v>-46.190731536850201</v>
      </c>
      <c r="J18" s="7">
        <f t="shared" si="2"/>
        <v>-2.0031749988659495</v>
      </c>
      <c r="L18" s="2">
        <v>1</v>
      </c>
      <c r="M18" s="2">
        <v>1</v>
      </c>
      <c r="N18" s="7">
        <f t="shared" si="3"/>
        <v>-6.6489249934456067</v>
      </c>
      <c r="O18" s="7">
        <f t="shared" si="4"/>
        <v>-6.6489249934456067</v>
      </c>
    </row>
    <row r="19" spans="1:15" x14ac:dyDescent="0.25">
      <c r="A19" s="1" t="s">
        <v>18</v>
      </c>
      <c r="B19" s="24">
        <v>-422.00067239709398</v>
      </c>
      <c r="E19" s="16" t="s">
        <v>27</v>
      </c>
      <c r="F19" s="7">
        <f t="shared" si="0"/>
        <v>-198.65352316353699</v>
      </c>
      <c r="G19" s="7">
        <f t="shared" si="1"/>
        <v>-8.6150999951227636</v>
      </c>
      <c r="H19" s="1" t="s">
        <v>28</v>
      </c>
      <c r="I19" s="24">
        <v>-21.093000698058699</v>
      </c>
      <c r="J19" s="7">
        <f t="shared" si="2"/>
        <v>-0.91474999948213609</v>
      </c>
      <c r="L19" s="2">
        <v>1</v>
      </c>
      <c r="M19" s="2">
        <v>1</v>
      </c>
      <c r="N19" s="7">
        <f t="shared" si="3"/>
        <v>-2.7716499956406278</v>
      </c>
      <c r="O19" s="7">
        <f t="shared" si="4"/>
        <v>-2.7716499956406278</v>
      </c>
    </row>
    <row r="20" spans="1:15" x14ac:dyDescent="0.25">
      <c r="A20" s="1" t="s">
        <v>19</v>
      </c>
      <c r="B20" s="24">
        <v>-343.77037032738201</v>
      </c>
      <c r="E20" s="16" t="s">
        <v>35</v>
      </c>
      <c r="F20" s="7">
        <f t="shared" si="0"/>
        <v>-10435.414772792201</v>
      </c>
      <c r="G20" s="7">
        <f t="shared" si="1"/>
        <v>-452.55749974379376</v>
      </c>
      <c r="H20" s="1" t="s">
        <v>34</v>
      </c>
      <c r="I20" s="24">
        <v>-136.83759939053201</v>
      </c>
      <c r="J20" s="7">
        <f t="shared" si="2"/>
        <v>-5.9342999966404095</v>
      </c>
      <c r="L20" s="2">
        <v>17</v>
      </c>
      <c r="M20" s="2">
        <v>32</v>
      </c>
      <c r="N20" s="7">
        <f t="shared" si="3"/>
        <v>-193.95599980090682</v>
      </c>
      <c r="O20" s="7">
        <f t="shared" si="4"/>
        <v>-6.0611249937783382</v>
      </c>
    </row>
    <row r="21" spans="1:15" x14ac:dyDescent="0.25">
      <c r="A21" s="1" t="s">
        <v>21</v>
      </c>
      <c r="B21" s="24">
        <v>-711.85274424700197</v>
      </c>
      <c r="E21" s="16" t="s">
        <v>36</v>
      </c>
      <c r="F21" s="7">
        <f t="shared" si="0"/>
        <v>-637.35796129517496</v>
      </c>
      <c r="G21" s="7">
        <f t="shared" si="1"/>
        <v>-27.640599984351933</v>
      </c>
      <c r="H21" s="1" t="s">
        <v>34</v>
      </c>
      <c r="I21" s="24">
        <v>-136.83759939053201</v>
      </c>
      <c r="J21" s="7">
        <f t="shared" si="2"/>
        <v>-5.9342999966404095</v>
      </c>
      <c r="L21" s="2">
        <v>1</v>
      </c>
      <c r="M21" s="2">
        <v>2</v>
      </c>
      <c r="N21" s="7">
        <f t="shared" si="3"/>
        <v>-11.848899987711524</v>
      </c>
      <c r="O21" s="7">
        <f t="shared" si="4"/>
        <v>-5.9244499938557622</v>
      </c>
    </row>
    <row r="22" spans="1:15" x14ac:dyDescent="0.25">
      <c r="A22" s="1" t="s">
        <v>23</v>
      </c>
      <c r="B22" s="24">
        <v>-1557.6353782501801</v>
      </c>
      <c r="E22" s="16" t="s">
        <v>29</v>
      </c>
      <c r="F22" s="7">
        <f t="shared" si="0"/>
        <v>-6609.1778813663695</v>
      </c>
      <c r="G22" s="7">
        <f t="shared" si="1"/>
        <v>-286.62329983773498</v>
      </c>
      <c r="H22" s="1" t="s">
        <v>34</v>
      </c>
      <c r="I22" s="24">
        <v>-136.83759939053201</v>
      </c>
      <c r="J22" s="7">
        <f t="shared" si="2"/>
        <v>-5.9342999966404095</v>
      </c>
      <c r="L22" s="2">
        <v>11</v>
      </c>
      <c r="M22" s="2">
        <v>20</v>
      </c>
      <c r="N22" s="7">
        <f t="shared" si="3"/>
        <v>-122.77199987469048</v>
      </c>
      <c r="O22" s="7">
        <f t="shared" si="4"/>
        <v>-6.1385999937345241</v>
      </c>
    </row>
    <row r="23" spans="1:15" x14ac:dyDescent="0.25">
      <c r="A23" s="1" t="s">
        <v>23</v>
      </c>
      <c r="B23" s="24">
        <v>-1557.6353782501801</v>
      </c>
      <c r="E23" s="16" t="s">
        <v>30</v>
      </c>
      <c r="F23" s="7">
        <f t="shared" si="0"/>
        <v>-2984.4284347064299</v>
      </c>
      <c r="G23" s="7">
        <f t="shared" si="1"/>
        <v>-129.42709992672764</v>
      </c>
      <c r="H23" s="1" t="s">
        <v>34</v>
      </c>
      <c r="I23" s="24">
        <v>-136.83759939053201</v>
      </c>
      <c r="J23" s="7">
        <f t="shared" si="2"/>
        <v>-5.9342999966404095</v>
      </c>
      <c r="L23" s="2">
        <v>5</v>
      </c>
      <c r="M23" s="2">
        <v>9</v>
      </c>
      <c r="N23" s="7">
        <f t="shared" si="3"/>
        <v>-55.397299943525596</v>
      </c>
      <c r="O23" s="7">
        <f t="shared" si="4"/>
        <v>-6.1552555492806214</v>
      </c>
    </row>
    <row r="24" spans="1:15" x14ac:dyDescent="0.25">
      <c r="A24" s="1" t="s">
        <v>24</v>
      </c>
      <c r="B24" s="24">
        <v>-419.43884416254502</v>
      </c>
      <c r="E24" s="16" t="s">
        <v>31</v>
      </c>
      <c r="F24" s="7">
        <f t="shared" si="0"/>
        <v>-1050.52338156877</v>
      </c>
      <c r="G24" s="7">
        <f t="shared" si="1"/>
        <v>-45.558537474208066</v>
      </c>
      <c r="H24" s="1" t="s">
        <v>34</v>
      </c>
      <c r="I24" s="24">
        <v>-136.83759939053201</v>
      </c>
      <c r="J24" s="7">
        <f t="shared" si="2"/>
        <v>-5.9342999966404095</v>
      </c>
      <c r="L24" s="2">
        <v>2</v>
      </c>
      <c r="M24" s="2">
        <v>3</v>
      </c>
      <c r="N24" s="7">
        <f t="shared" si="3"/>
        <v>-18.903837480927248</v>
      </c>
      <c r="O24" s="7">
        <f t="shared" si="4"/>
        <v>-6.3012791603090825</v>
      </c>
    </row>
    <row r="25" spans="1:15" x14ac:dyDescent="0.25">
      <c r="A25" s="1" t="s">
        <v>24</v>
      </c>
      <c r="B25" s="24">
        <v>-419.43884416254502</v>
      </c>
      <c r="E25" s="16" t="s">
        <v>33</v>
      </c>
      <c r="F25" s="7">
        <f t="shared" si="0"/>
        <v>-4044.3750667783702</v>
      </c>
      <c r="G25" s="7">
        <f t="shared" si="1"/>
        <v>-175.39429990070457</v>
      </c>
      <c r="H25" s="1" t="s">
        <v>34</v>
      </c>
      <c r="I25" s="24">
        <v>-136.83759939053201</v>
      </c>
      <c r="J25" s="7">
        <f t="shared" si="2"/>
        <v>-5.9342999966404095</v>
      </c>
      <c r="L25" s="2">
        <v>7</v>
      </c>
      <c r="M25" s="2">
        <v>12</v>
      </c>
      <c r="N25" s="7">
        <f t="shared" si="3"/>
        <v>-74.709799924221684</v>
      </c>
      <c r="O25" s="7">
        <f t="shared" si="4"/>
        <v>-6.225816660351807</v>
      </c>
    </row>
    <row r="26" spans="1:15" x14ac:dyDescent="0.25">
      <c r="A26" s="1" t="s">
        <v>24</v>
      </c>
      <c r="B26" s="24">
        <v>-419.43884416254502</v>
      </c>
      <c r="E26" s="16" t="s">
        <v>32</v>
      </c>
      <c r="F26" s="7">
        <f t="shared" si="0"/>
        <v>-400.20553245743298</v>
      </c>
      <c r="G26" s="7">
        <f t="shared" si="1"/>
        <v>-17.355899990174361</v>
      </c>
      <c r="H26" s="1" t="s">
        <v>34</v>
      </c>
      <c r="I26" s="24">
        <v>-136.83759939053201</v>
      </c>
      <c r="J26" s="7">
        <f t="shared" si="2"/>
        <v>-5.9342999966404095</v>
      </c>
      <c r="L26" s="2">
        <v>1</v>
      </c>
      <c r="M26" s="2">
        <v>1</v>
      </c>
      <c r="N26" s="7">
        <f t="shared" si="3"/>
        <v>-6.4928999935339524</v>
      </c>
      <c r="O26" s="7">
        <f t="shared" si="4"/>
        <v>-6.4928999935339524</v>
      </c>
    </row>
    <row r="27" spans="1:15" x14ac:dyDescent="0.25">
      <c r="A27" s="1" t="s">
        <v>25</v>
      </c>
      <c r="B27" s="24">
        <v>-313.156407630714</v>
      </c>
      <c r="E27" s="16" t="s">
        <v>40</v>
      </c>
      <c r="F27" s="7">
        <f t="shared" si="0"/>
        <v>-470.268421739769</v>
      </c>
      <c r="G27" s="7">
        <f t="shared" si="1"/>
        <v>-20.394349988454238</v>
      </c>
      <c r="H27" s="1" t="s">
        <v>39</v>
      </c>
      <c r="I27" s="24">
        <v>-163.94778350718499</v>
      </c>
      <c r="J27" s="7">
        <f t="shared" si="2"/>
        <v>-7.1099999959748486</v>
      </c>
      <c r="L27" s="2">
        <v>1</v>
      </c>
      <c r="M27" s="2">
        <v>2</v>
      </c>
      <c r="N27" s="7">
        <f t="shared" si="3"/>
        <v>-3.426949992479388</v>
      </c>
      <c r="O27" s="7">
        <f t="shared" si="4"/>
        <v>-1.713474996239694</v>
      </c>
    </row>
    <row r="28" spans="1:15" x14ac:dyDescent="0.25">
      <c r="A28" s="1" t="s">
        <v>27</v>
      </c>
      <c r="B28" s="24">
        <v>-198.65352316353699</v>
      </c>
      <c r="E28" s="16" t="s">
        <v>37</v>
      </c>
      <c r="F28" s="7">
        <f t="shared" si="0"/>
        <v>-1175.8122892543399</v>
      </c>
      <c r="G28" s="7">
        <f t="shared" si="1"/>
        <v>-50.99199997113201</v>
      </c>
      <c r="H28" s="1" t="s">
        <v>39</v>
      </c>
      <c r="I28" s="24">
        <v>-163.94778350718499</v>
      </c>
      <c r="J28" s="7">
        <f t="shared" si="2"/>
        <v>-7.1099999959748486</v>
      </c>
      <c r="L28" s="2">
        <v>3</v>
      </c>
      <c r="M28" s="2">
        <v>4</v>
      </c>
      <c r="N28" s="7">
        <f t="shared" si="3"/>
        <v>-9.9471999832074651</v>
      </c>
      <c r="O28" s="7">
        <f t="shared" si="4"/>
        <v>-2.4867999958018663</v>
      </c>
    </row>
    <row r="29" spans="1:15" x14ac:dyDescent="0.25">
      <c r="A29" s="1" t="s">
        <v>29</v>
      </c>
      <c r="B29" s="24">
        <v>-6609.1778813663695</v>
      </c>
      <c r="E29" s="16" t="s">
        <v>38</v>
      </c>
      <c r="F29" s="7">
        <f t="shared" si="0"/>
        <v>-339.09405380202998</v>
      </c>
      <c r="G29" s="7">
        <f t="shared" si="1"/>
        <v>-14.705649991674747</v>
      </c>
      <c r="H29" s="1" t="s">
        <v>39</v>
      </c>
      <c r="I29" s="24">
        <v>-163.94778350718499</v>
      </c>
      <c r="J29" s="7">
        <f t="shared" si="2"/>
        <v>-7.1099999959748486</v>
      </c>
      <c r="L29" s="2">
        <v>1</v>
      </c>
      <c r="M29" s="2">
        <v>1</v>
      </c>
      <c r="N29" s="7">
        <f t="shared" si="3"/>
        <v>-2.6669499956998983</v>
      </c>
      <c r="O29" s="7">
        <f t="shared" si="4"/>
        <v>-2.6669499956998983</v>
      </c>
    </row>
    <row r="30" spans="1:15" x14ac:dyDescent="0.25">
      <c r="A30" s="1" t="s">
        <v>29</v>
      </c>
      <c r="B30" s="24">
        <v>-6609.1778813663695</v>
      </c>
      <c r="E30" s="16" t="s">
        <v>43</v>
      </c>
      <c r="F30" s="7">
        <f t="shared" si="0"/>
        <v>-3200.8908146768899</v>
      </c>
      <c r="G30" s="7">
        <f t="shared" si="1"/>
        <v>-138.81452492141338</v>
      </c>
      <c r="H30" s="1" t="s">
        <v>42</v>
      </c>
      <c r="I30" s="24">
        <v>-222.21035236620099</v>
      </c>
      <c r="J30" s="7">
        <f t="shared" si="2"/>
        <v>-9.6366999945444167</v>
      </c>
      <c r="L30" s="2">
        <v>5</v>
      </c>
      <c r="M30" s="2">
        <v>12</v>
      </c>
      <c r="N30" s="7">
        <f t="shared" si="3"/>
        <v>-31.486624948691301</v>
      </c>
      <c r="O30" s="7">
        <f t="shared" si="4"/>
        <v>-2.6238854123909419</v>
      </c>
    </row>
    <row r="31" spans="1:15" x14ac:dyDescent="0.25">
      <c r="A31" s="1" t="s">
        <v>29</v>
      </c>
      <c r="B31" s="24">
        <v>-6609.1778813663695</v>
      </c>
      <c r="E31" s="16" t="s">
        <v>44</v>
      </c>
      <c r="F31" s="7">
        <f t="shared" si="0"/>
        <v>-591.999074524854</v>
      </c>
      <c r="G31" s="7">
        <f t="shared" si="1"/>
        <v>-25.673499985465568</v>
      </c>
      <c r="H31" s="1" t="s">
        <v>42</v>
      </c>
      <c r="I31" s="24">
        <v>-222.21035236620099</v>
      </c>
      <c r="J31" s="7">
        <f t="shared" si="2"/>
        <v>-9.6366999945444167</v>
      </c>
      <c r="L31" s="2">
        <v>1</v>
      </c>
      <c r="M31" s="2">
        <v>2</v>
      </c>
      <c r="N31" s="7">
        <f t="shared" si="3"/>
        <v>-6.1793999909211532</v>
      </c>
      <c r="O31" s="7">
        <f t="shared" si="4"/>
        <v>-3.0896999954605766</v>
      </c>
    </row>
    <row r="32" spans="1:15" x14ac:dyDescent="0.25">
      <c r="A32" s="1" t="s">
        <v>29</v>
      </c>
      <c r="B32" s="24">
        <v>-6609.1778813663695</v>
      </c>
      <c r="E32" s="16" t="s">
        <v>41</v>
      </c>
      <c r="F32" s="7">
        <f t="shared" si="0"/>
        <v>-1056.73339386775</v>
      </c>
      <c r="G32" s="7">
        <f t="shared" si="1"/>
        <v>-45.827849974055418</v>
      </c>
      <c r="H32" s="1" t="s">
        <v>42</v>
      </c>
      <c r="I32" s="24">
        <v>-222.21035236620099</v>
      </c>
      <c r="J32" s="7">
        <f t="shared" si="2"/>
        <v>-9.6366999945444167</v>
      </c>
      <c r="L32" s="2">
        <v>2</v>
      </c>
      <c r="M32" s="2">
        <v>3</v>
      </c>
      <c r="N32" s="7">
        <f t="shared" si="3"/>
        <v>-11.768349984966584</v>
      </c>
      <c r="O32" s="7">
        <f t="shared" si="4"/>
        <v>-3.9227833283221947</v>
      </c>
    </row>
    <row r="33" spans="1:15" x14ac:dyDescent="0.25">
      <c r="A33" s="1" t="s">
        <v>29</v>
      </c>
      <c r="B33" s="24">
        <v>-6609.1778813663695</v>
      </c>
      <c r="E33" s="16" t="s">
        <v>49</v>
      </c>
      <c r="F33" s="7">
        <f t="shared" si="0"/>
        <v>-382.42953438349599</v>
      </c>
      <c r="G33" s="7">
        <f t="shared" si="1"/>
        <v>-16.584999990610768</v>
      </c>
      <c r="H33" s="1" t="s">
        <v>46</v>
      </c>
      <c r="I33" s="24">
        <v>-20.646813692311301</v>
      </c>
      <c r="J33" s="7">
        <f t="shared" si="2"/>
        <v>-0.89539999949309079</v>
      </c>
      <c r="L33" s="2">
        <v>2</v>
      </c>
      <c r="M33" s="2">
        <v>2</v>
      </c>
      <c r="N33" s="7">
        <f t="shared" si="3"/>
        <v>-4.9367999916245875</v>
      </c>
      <c r="O33" s="7">
        <f t="shared" si="4"/>
        <v>-2.4683999958122937</v>
      </c>
    </row>
    <row r="34" spans="1:15" x14ac:dyDescent="0.25">
      <c r="A34" s="1" t="s">
        <v>35</v>
      </c>
      <c r="B34" s="24">
        <v>-10435.414772792201</v>
      </c>
      <c r="E34" s="16" t="s">
        <v>47</v>
      </c>
      <c r="F34" s="7">
        <f t="shared" si="0"/>
        <v>-237.915673793309</v>
      </c>
      <c r="G34" s="7">
        <f t="shared" si="1"/>
        <v>-10.317799994158793</v>
      </c>
      <c r="H34" s="1" t="s">
        <v>46</v>
      </c>
      <c r="I34" s="24">
        <v>-20.646813692311301</v>
      </c>
      <c r="J34" s="7">
        <f t="shared" si="2"/>
        <v>-0.89539999949309079</v>
      </c>
      <c r="L34" s="2">
        <v>2</v>
      </c>
      <c r="M34" s="2">
        <v>1</v>
      </c>
      <c r="N34" s="7">
        <f t="shared" si="3"/>
        <v>-3.5982999951726127</v>
      </c>
      <c r="O34" s="7">
        <f t="shared" si="4"/>
        <v>-3.5982999951726127</v>
      </c>
    </row>
    <row r="35" spans="1:15" x14ac:dyDescent="0.25">
      <c r="A35" s="1" t="s">
        <v>35</v>
      </c>
      <c r="B35" s="24">
        <v>-10435.414772792201</v>
      </c>
      <c r="E35" s="16" t="s">
        <v>50</v>
      </c>
      <c r="F35" s="7">
        <f t="shared" si="0"/>
        <v>-315.38849559745</v>
      </c>
      <c r="G35" s="7">
        <f t="shared" si="1"/>
        <v>-13.67759999225674</v>
      </c>
      <c r="H35" s="1" t="s">
        <v>46</v>
      </c>
      <c r="I35" s="24">
        <v>-20.646813692311301</v>
      </c>
      <c r="J35" s="7">
        <f t="shared" si="2"/>
        <v>-0.89539999949309079</v>
      </c>
      <c r="L35" s="2">
        <v>1</v>
      </c>
      <c r="M35" s="2">
        <v>2</v>
      </c>
      <c r="N35" s="7">
        <f t="shared" si="3"/>
        <v>-2.9247999927636492</v>
      </c>
      <c r="O35" s="7">
        <f t="shared" si="4"/>
        <v>-1.4623999963818246</v>
      </c>
    </row>
    <row r="36" spans="1:15" x14ac:dyDescent="0.25">
      <c r="A36" s="1" t="s">
        <v>35</v>
      </c>
      <c r="B36" s="24">
        <v>-10435.414772792201</v>
      </c>
      <c r="E36" s="16" t="s">
        <v>48</v>
      </c>
      <c r="F36" s="7">
        <f t="shared" si="0"/>
        <v>-261.99824272367601</v>
      </c>
      <c r="G36" s="7">
        <f t="shared" si="1"/>
        <v>-11.362199993567565</v>
      </c>
      <c r="H36" s="1" t="s">
        <v>46</v>
      </c>
      <c r="I36" s="24">
        <v>-20.646813692311301</v>
      </c>
      <c r="J36" s="7">
        <f t="shared" si="2"/>
        <v>-0.89539999949309079</v>
      </c>
      <c r="L36" s="2">
        <v>3</v>
      </c>
      <c r="M36" s="2">
        <v>1</v>
      </c>
      <c r="N36" s="7">
        <f t="shared" si="3"/>
        <v>-3.7472999950882917</v>
      </c>
      <c r="O36" s="7">
        <f t="shared" si="4"/>
        <v>-3.7472999950882917</v>
      </c>
    </row>
    <row r="37" spans="1:15" x14ac:dyDescent="0.25">
      <c r="A37" s="1" t="s">
        <v>35</v>
      </c>
      <c r="B37" s="24">
        <v>-10435.414772792201</v>
      </c>
      <c r="E37" s="16" t="s">
        <v>45</v>
      </c>
      <c r="F37" s="7">
        <f t="shared" si="0"/>
        <v>-826.30605238020701</v>
      </c>
      <c r="G37" s="7">
        <f t="shared" si="1"/>
        <v>-35.834799979713004</v>
      </c>
      <c r="H37" s="1" t="s">
        <v>46</v>
      </c>
      <c r="I37" s="24">
        <v>-20.646813692311301</v>
      </c>
      <c r="J37" s="7">
        <f t="shared" si="2"/>
        <v>-0.89539999949309079</v>
      </c>
      <c r="L37" s="2">
        <v>11</v>
      </c>
      <c r="M37" s="2">
        <v>3</v>
      </c>
      <c r="N37" s="7">
        <f t="shared" si="3"/>
        <v>-11.199299985289006</v>
      </c>
      <c r="O37" s="7">
        <f t="shared" si="4"/>
        <v>-3.7330999950963353</v>
      </c>
    </row>
    <row r="38" spans="1:15" x14ac:dyDescent="0.25">
      <c r="A38" s="1" t="s">
        <v>35</v>
      </c>
      <c r="B38" s="24">
        <v>-10435.414772792201</v>
      </c>
      <c r="E38" s="16" t="s">
        <v>54</v>
      </c>
      <c r="F38" s="7">
        <f t="shared" si="0"/>
        <v>-252.29972827316601</v>
      </c>
      <c r="G38" s="7">
        <f t="shared" si="1"/>
        <v>-10.941599993805651</v>
      </c>
      <c r="H38" s="1" t="s">
        <v>52</v>
      </c>
      <c r="I38" s="24">
        <v>-94.524774814487103</v>
      </c>
      <c r="J38" s="7">
        <f t="shared" si="2"/>
        <v>-4.0992999976792817</v>
      </c>
      <c r="L38" s="2">
        <v>1</v>
      </c>
      <c r="M38" s="2">
        <v>1</v>
      </c>
      <c r="N38" s="7">
        <f t="shared" si="3"/>
        <v>-1.9135999961263694</v>
      </c>
      <c r="O38" s="7">
        <f t="shared" si="4"/>
        <v>-1.9135999961263694</v>
      </c>
    </row>
    <row r="39" spans="1:15" x14ac:dyDescent="0.25">
      <c r="A39" s="1" t="s">
        <v>35</v>
      </c>
      <c r="B39" s="24">
        <v>-10435.414772792201</v>
      </c>
      <c r="E39" s="16" t="s">
        <v>53</v>
      </c>
      <c r="F39" s="7">
        <f t="shared" si="0"/>
        <v>-627.65397038916899</v>
      </c>
      <c r="G39" s="7">
        <f t="shared" si="1"/>
        <v>-27.219762484590195</v>
      </c>
      <c r="H39" s="1" t="s">
        <v>52</v>
      </c>
      <c r="I39" s="24">
        <v>-94.524774814487103</v>
      </c>
      <c r="J39" s="7">
        <f t="shared" si="2"/>
        <v>-4.0992999976792817</v>
      </c>
      <c r="L39" s="2">
        <v>2</v>
      </c>
      <c r="M39" s="2">
        <v>3</v>
      </c>
      <c r="N39" s="7">
        <f t="shared" si="3"/>
        <v>-4.2350624892316304</v>
      </c>
      <c r="O39" s="7">
        <f t="shared" si="4"/>
        <v>-1.4116874964105435</v>
      </c>
    </row>
    <row r="40" spans="1:15" x14ac:dyDescent="0.25">
      <c r="A40" s="1" t="s">
        <v>31</v>
      </c>
      <c r="B40" s="24">
        <v>-1050.52338156877</v>
      </c>
      <c r="E40" s="16" t="s">
        <v>51</v>
      </c>
      <c r="F40" s="7">
        <f t="shared" si="0"/>
        <v>-347.76875930911899</v>
      </c>
      <c r="G40" s="7">
        <f t="shared" si="1"/>
        <v>-15.08184999146177</v>
      </c>
      <c r="H40" s="1" t="s">
        <v>52</v>
      </c>
      <c r="I40" s="24">
        <v>-94.524774814487103</v>
      </c>
      <c r="J40" s="7">
        <f t="shared" si="2"/>
        <v>-4.0992999976792817</v>
      </c>
      <c r="L40" s="2">
        <v>2</v>
      </c>
      <c r="M40" s="2">
        <v>1</v>
      </c>
      <c r="N40" s="7">
        <f t="shared" si="3"/>
        <v>-1.9545499961032062</v>
      </c>
      <c r="O40" s="7">
        <f t="shared" si="4"/>
        <v>-1.9545499961032062</v>
      </c>
    </row>
    <row r="41" spans="1:15" x14ac:dyDescent="0.25">
      <c r="A41" s="1" t="s">
        <v>31</v>
      </c>
      <c r="B41" s="24">
        <v>-1050.52338156877</v>
      </c>
      <c r="E41" s="16" t="s">
        <v>55</v>
      </c>
      <c r="F41" s="7">
        <f t="shared" si="0"/>
        <v>-1018.07394157714</v>
      </c>
      <c r="G41" s="7">
        <f t="shared" si="1"/>
        <v>-44.151287475004729</v>
      </c>
      <c r="H41" s="1" t="s">
        <v>56</v>
      </c>
      <c r="I41" s="24">
        <v>-106.195966181879</v>
      </c>
      <c r="J41" s="7">
        <f t="shared" si="2"/>
        <v>-4.6054499973927046</v>
      </c>
      <c r="L41" s="2">
        <v>2</v>
      </c>
      <c r="M41" s="2">
        <v>3</v>
      </c>
      <c r="N41" s="7">
        <f t="shared" si="3"/>
        <v>-20.15428748021932</v>
      </c>
      <c r="O41" s="7">
        <f t="shared" si="4"/>
        <v>-6.7180958267397735</v>
      </c>
    </row>
    <row r="42" spans="1:15" x14ac:dyDescent="0.25">
      <c r="A42" s="1" t="s">
        <v>30</v>
      </c>
      <c r="B42" s="24">
        <v>-2984.4284347064299</v>
      </c>
      <c r="E42" s="16" t="s">
        <v>57</v>
      </c>
      <c r="F42" s="7">
        <f t="shared" si="0"/>
        <v>-1021.71809035857</v>
      </c>
      <c r="G42" s="7">
        <f t="shared" si="1"/>
        <v>-44.309324974914958</v>
      </c>
      <c r="H42" s="1" t="s">
        <v>58</v>
      </c>
      <c r="I42" s="24">
        <v>-105.318580364376</v>
      </c>
      <c r="J42" s="7">
        <f t="shared" si="2"/>
        <v>-4.5673999974142587</v>
      </c>
      <c r="L42" s="2">
        <v>2</v>
      </c>
      <c r="M42" s="2">
        <v>3</v>
      </c>
      <c r="N42" s="7">
        <f t="shared" si="3"/>
        <v>-20.388424980086437</v>
      </c>
      <c r="O42" s="7">
        <f t="shared" si="4"/>
        <v>-6.7961416600288125</v>
      </c>
    </row>
    <row r="43" spans="1:15" x14ac:dyDescent="0.25">
      <c r="A43" s="1" t="s">
        <v>30</v>
      </c>
      <c r="B43" s="24">
        <v>-2984.4284347064299</v>
      </c>
      <c r="E43" s="16" t="s">
        <v>59</v>
      </c>
      <c r="F43" s="7">
        <f t="shared" si="0"/>
        <v>-1182.8558757268499</v>
      </c>
      <c r="G43" s="7">
        <f t="shared" si="1"/>
        <v>-51.297462470958976</v>
      </c>
      <c r="H43" s="1" t="s">
        <v>61</v>
      </c>
      <c r="I43" s="24">
        <v>-237.33574597963801</v>
      </c>
      <c r="J43" s="7">
        <f t="shared" si="2"/>
        <v>-10.292649994173061</v>
      </c>
      <c r="L43" s="2">
        <v>2</v>
      </c>
      <c r="M43" s="2">
        <v>3</v>
      </c>
      <c r="N43" s="7">
        <f t="shared" si="3"/>
        <v>-15.926062482612853</v>
      </c>
      <c r="O43" s="7">
        <f t="shared" si="4"/>
        <v>-5.3086874942042845</v>
      </c>
    </row>
    <row r="44" spans="1:15" x14ac:dyDescent="0.25">
      <c r="A44" s="1" t="s">
        <v>30</v>
      </c>
      <c r="B44" s="24">
        <v>-2984.4284347064299</v>
      </c>
      <c r="E44" s="16" t="s">
        <v>60</v>
      </c>
      <c r="F44" s="7">
        <f t="shared" si="0"/>
        <v>-495.76333971933502</v>
      </c>
      <c r="G44" s="7">
        <f t="shared" si="1"/>
        <v>-21.499999987828271</v>
      </c>
      <c r="H44" s="1" t="s">
        <v>61</v>
      </c>
      <c r="I44" s="24">
        <v>-237.33574597963801</v>
      </c>
      <c r="J44" s="7">
        <f t="shared" si="2"/>
        <v>-10.292649994173061</v>
      </c>
      <c r="L44" s="2">
        <v>1</v>
      </c>
      <c r="M44" s="2">
        <v>1</v>
      </c>
      <c r="N44" s="7">
        <f t="shared" si="3"/>
        <v>-6.2786499936552103</v>
      </c>
      <c r="O44" s="7">
        <f t="shared" si="4"/>
        <v>-6.2786499936552103</v>
      </c>
    </row>
    <row r="45" spans="1:15" x14ac:dyDescent="0.25">
      <c r="A45" s="1" t="s">
        <v>30</v>
      </c>
      <c r="B45" s="24">
        <v>-2984.4284347064299</v>
      </c>
      <c r="E45" s="16" t="s">
        <v>62</v>
      </c>
      <c r="F45" s="7">
        <f t="shared" si="0"/>
        <v>-949.03111418972901</v>
      </c>
      <c r="G45" s="7">
        <f t="shared" si="1"/>
        <v>-41.157074976699917</v>
      </c>
      <c r="H45" s="1" t="s">
        <v>65</v>
      </c>
      <c r="I45" s="24">
        <v>-195.07249773756399</v>
      </c>
      <c r="J45" s="7">
        <f t="shared" si="2"/>
        <v>-8.4597999952106697</v>
      </c>
      <c r="L45" s="2">
        <v>2</v>
      </c>
      <c r="M45" s="2">
        <v>3</v>
      </c>
      <c r="N45" s="7">
        <f t="shared" si="3"/>
        <v>-9.4513749862785765</v>
      </c>
      <c r="O45" s="7">
        <f t="shared" si="4"/>
        <v>-3.1504583287595254</v>
      </c>
    </row>
    <row r="46" spans="1:15" x14ac:dyDescent="0.25">
      <c r="A46" s="1" t="s">
        <v>33</v>
      </c>
      <c r="B46" s="24">
        <v>-4044.3750667783702</v>
      </c>
      <c r="E46" s="16" t="s">
        <v>63</v>
      </c>
      <c r="F46" s="7">
        <f t="shared" si="0"/>
        <v>-1337.45419676283</v>
      </c>
      <c r="G46" s="7">
        <f t="shared" si="1"/>
        <v>-58.001999967163457</v>
      </c>
      <c r="H46" s="1" t="s">
        <v>65</v>
      </c>
      <c r="I46" s="24">
        <v>-195.07249773756399</v>
      </c>
      <c r="J46" s="7">
        <f t="shared" si="2"/>
        <v>-8.4597999952106697</v>
      </c>
      <c r="L46" s="2">
        <v>3</v>
      </c>
      <c r="M46" s="2">
        <v>4</v>
      </c>
      <c r="N46" s="7">
        <f t="shared" si="3"/>
        <v>-12.907799981531451</v>
      </c>
      <c r="O46" s="7">
        <f t="shared" si="4"/>
        <v>-3.2269499953828626</v>
      </c>
    </row>
    <row r="47" spans="1:15" x14ac:dyDescent="0.25">
      <c r="A47" s="1" t="s">
        <v>33</v>
      </c>
      <c r="B47" s="24">
        <v>-4044.3750667783702</v>
      </c>
      <c r="E47" s="16" t="s">
        <v>64</v>
      </c>
      <c r="F47" s="7">
        <f t="shared" si="0"/>
        <v>-386.29302961930898</v>
      </c>
      <c r="G47" s="7">
        <f t="shared" si="1"/>
        <v>-16.752549990515924</v>
      </c>
      <c r="H47" s="1" t="s">
        <v>65</v>
      </c>
      <c r="I47" s="24">
        <v>-195.07249773756399</v>
      </c>
      <c r="J47" s="7">
        <f t="shared" si="2"/>
        <v>-8.4597999952106697</v>
      </c>
      <c r="L47" s="2">
        <v>1</v>
      </c>
      <c r="M47" s="2">
        <v>1</v>
      </c>
      <c r="N47" s="7">
        <f t="shared" si="3"/>
        <v>-3.3640499953052538</v>
      </c>
      <c r="O47" s="7">
        <f t="shared" si="4"/>
        <v>-3.3640499953052538</v>
      </c>
    </row>
    <row r="48" spans="1:15" x14ac:dyDescent="0.25">
      <c r="A48" s="1" t="s">
        <v>33</v>
      </c>
      <c r="B48" s="24">
        <v>-4044.3750667783702</v>
      </c>
      <c r="E48" s="16" t="s">
        <v>66</v>
      </c>
      <c r="F48" s="7">
        <f t="shared" si="0"/>
        <v>-744.46013674454196</v>
      </c>
      <c r="G48" s="7">
        <f t="shared" si="1"/>
        <v>-32.285349981722433</v>
      </c>
      <c r="H48" s="1" t="s">
        <v>67</v>
      </c>
      <c r="I48" s="24">
        <v>-70.034642301351596</v>
      </c>
      <c r="J48" s="7">
        <f t="shared" si="2"/>
        <v>-3.037224998280549</v>
      </c>
      <c r="L48" s="2">
        <v>2</v>
      </c>
      <c r="M48" s="2">
        <v>3</v>
      </c>
      <c r="N48" s="7">
        <f t="shared" si="3"/>
        <v>-11.424799985161332</v>
      </c>
      <c r="O48" s="7">
        <f t="shared" si="4"/>
        <v>-3.8082666617204439</v>
      </c>
    </row>
    <row r="49" spans="1:15" x14ac:dyDescent="0.25">
      <c r="A49" s="1" t="s">
        <v>32</v>
      </c>
      <c r="B49" s="24">
        <v>-400.20553245743298</v>
      </c>
      <c r="E49" s="16" t="s">
        <v>68</v>
      </c>
      <c r="F49" s="7">
        <f t="shared" si="0"/>
        <v>-1441.85215613473</v>
      </c>
      <c r="G49" s="7">
        <f t="shared" si="1"/>
        <v>-62.529474964600439</v>
      </c>
      <c r="H49" s="1" t="s">
        <v>69</v>
      </c>
      <c r="I49" s="24">
        <v>-325.04319840398398</v>
      </c>
      <c r="J49" s="7">
        <f t="shared" si="2"/>
        <v>-14.096299992019691</v>
      </c>
      <c r="L49" s="2">
        <v>2</v>
      </c>
      <c r="M49" s="2">
        <v>3</v>
      </c>
      <c r="N49" s="7">
        <f t="shared" si="3"/>
        <v>-19.550774980561055</v>
      </c>
      <c r="O49" s="7">
        <f t="shared" si="4"/>
        <v>-6.5169249935203517</v>
      </c>
    </row>
    <row r="50" spans="1:15" x14ac:dyDescent="0.25">
      <c r="A50" s="1" t="s">
        <v>36</v>
      </c>
      <c r="B50" s="24">
        <v>-637.35796129517496</v>
      </c>
      <c r="E50" s="16" t="s">
        <v>70</v>
      </c>
      <c r="F50" s="7">
        <f t="shared" si="0"/>
        <v>-479.06187986078999</v>
      </c>
      <c r="G50" s="7">
        <f t="shared" si="1"/>
        <v>-20.775699988238308</v>
      </c>
      <c r="H50" s="1" t="s">
        <v>71</v>
      </c>
      <c r="I50" s="24">
        <v>-106.59488272965299</v>
      </c>
      <c r="J50" s="7">
        <f t="shared" si="2"/>
        <v>-4.6227499973829032</v>
      </c>
      <c r="L50" s="2">
        <v>1</v>
      </c>
      <c r="M50" s="2">
        <v>2</v>
      </c>
      <c r="N50" s="7">
        <f t="shared" si="3"/>
        <v>-6.2955499908554042</v>
      </c>
      <c r="O50" s="7">
        <f t="shared" si="4"/>
        <v>-3.1477749954277021</v>
      </c>
    </row>
    <row r="51" spans="1:15" x14ac:dyDescent="0.25">
      <c r="A51" s="1" t="s">
        <v>36</v>
      </c>
      <c r="B51" s="24">
        <v>-637.35796129517496</v>
      </c>
      <c r="E51" s="16" t="s">
        <v>72</v>
      </c>
      <c r="F51" s="7">
        <f t="shared" si="0"/>
        <v>-736.56366438701195</v>
      </c>
      <c r="G51" s="7">
        <f t="shared" si="1"/>
        <v>-31.942899981916284</v>
      </c>
      <c r="H51" s="1" t="s">
        <v>73</v>
      </c>
      <c r="I51" s="24">
        <v>-229.53266160005501</v>
      </c>
      <c r="J51" s="7">
        <f t="shared" si="2"/>
        <v>-9.9542499943646146</v>
      </c>
      <c r="L51" s="2">
        <v>1</v>
      </c>
      <c r="M51" s="2">
        <v>2</v>
      </c>
      <c r="N51" s="7">
        <f t="shared" si="3"/>
        <v>-12.131249987551668</v>
      </c>
      <c r="O51" s="7">
        <f t="shared" si="4"/>
        <v>-6.0656249937758338</v>
      </c>
    </row>
    <row r="52" spans="1:15" x14ac:dyDescent="0.25">
      <c r="A52" s="1" t="s">
        <v>36</v>
      </c>
      <c r="B52" s="24">
        <v>-637.35796129517496</v>
      </c>
      <c r="E52" s="16" t="s">
        <v>74</v>
      </c>
      <c r="F52" s="7">
        <f t="shared" si="0"/>
        <v>-150.63192608372299</v>
      </c>
      <c r="G52" s="7">
        <f t="shared" si="1"/>
        <v>-6.5325249963017518</v>
      </c>
      <c r="H52" s="1" t="s">
        <v>75</v>
      </c>
      <c r="I52" s="24">
        <v>-7.0029454080354503</v>
      </c>
      <c r="J52" s="7">
        <f t="shared" si="2"/>
        <v>-0.30369999982806756</v>
      </c>
      <c r="L52" s="2">
        <v>1</v>
      </c>
      <c r="M52" s="2">
        <v>1</v>
      </c>
      <c r="N52" s="7">
        <f t="shared" si="3"/>
        <v>-1.3001249964736843</v>
      </c>
      <c r="O52" s="7">
        <f t="shared" si="4"/>
        <v>-1.3001249964736843</v>
      </c>
    </row>
    <row r="53" spans="1:15" x14ac:dyDescent="0.25">
      <c r="A53" s="1" t="s">
        <v>36</v>
      </c>
      <c r="B53" s="24">
        <v>-637.35796129517496</v>
      </c>
      <c r="E53" s="16" t="s">
        <v>76</v>
      </c>
      <c r="F53" s="7">
        <f t="shared" si="0"/>
        <v>-1019.7232193852</v>
      </c>
      <c r="G53" s="7">
        <f t="shared" si="1"/>
        <v>-44.222812474963959</v>
      </c>
      <c r="H53" s="1" t="s">
        <v>77</v>
      </c>
      <c r="I53" s="24">
        <v>-105.564156158237</v>
      </c>
      <c r="J53" s="7">
        <f t="shared" si="2"/>
        <v>-4.5780499974082298</v>
      </c>
      <c r="L53" s="2">
        <v>2</v>
      </c>
      <c r="M53" s="2">
        <v>3</v>
      </c>
      <c r="N53" s="7">
        <f t="shared" si="3"/>
        <v>-20.2806124801475</v>
      </c>
      <c r="O53" s="7">
        <f t="shared" si="4"/>
        <v>-6.7602041600491667</v>
      </c>
    </row>
    <row r="54" spans="1:15" x14ac:dyDescent="0.25">
      <c r="A54" s="1" t="s">
        <v>36</v>
      </c>
      <c r="B54" s="24">
        <v>-637.35796129517496</v>
      </c>
      <c r="E54" s="16" t="s">
        <v>78</v>
      </c>
      <c r="F54" s="7">
        <f t="shared" si="0"/>
        <v>-763.62484863869201</v>
      </c>
      <c r="G54" s="7">
        <f t="shared" si="1"/>
        <v>-33.116474981251898</v>
      </c>
      <c r="H54" s="1" t="s">
        <v>79</v>
      </c>
      <c r="I54" s="24">
        <v>-35.027409358170097</v>
      </c>
      <c r="J54" s="7">
        <f t="shared" si="2"/>
        <v>-1.5190499991400275</v>
      </c>
      <c r="L54" s="2">
        <v>2</v>
      </c>
      <c r="M54" s="2">
        <v>5</v>
      </c>
      <c r="N54" s="7">
        <f t="shared" si="3"/>
        <v>-5.434874982971845</v>
      </c>
      <c r="O54" s="7">
        <f t="shared" si="4"/>
        <v>-1.0869749965943689</v>
      </c>
    </row>
    <row r="55" spans="1:15" x14ac:dyDescent="0.25">
      <c r="A55" s="1" t="s">
        <v>36</v>
      </c>
      <c r="B55" s="24">
        <v>-637.35796129517496</v>
      </c>
      <c r="E55" s="16" t="s">
        <v>80</v>
      </c>
      <c r="F55" s="7">
        <f t="shared" si="0"/>
        <v>-700.471805020945</v>
      </c>
      <c r="G55" s="7">
        <f t="shared" si="1"/>
        <v>-30.377687482802415</v>
      </c>
      <c r="H55" s="1" t="s">
        <v>81</v>
      </c>
      <c r="I55" s="24">
        <v>-63.455401608076201</v>
      </c>
      <c r="J55" s="7">
        <f t="shared" si="2"/>
        <v>-2.751899998442076</v>
      </c>
      <c r="L55" s="2">
        <v>2</v>
      </c>
      <c r="M55" s="2">
        <v>3</v>
      </c>
      <c r="N55" s="7">
        <f t="shared" si="3"/>
        <v>-10.087787485918263</v>
      </c>
      <c r="O55" s="7">
        <f t="shared" si="4"/>
        <v>-3.3625958286394209</v>
      </c>
    </row>
    <row r="56" spans="1:15" x14ac:dyDescent="0.25">
      <c r="A56" s="1" t="s">
        <v>36</v>
      </c>
      <c r="B56" s="24">
        <v>-637.35796129517496</v>
      </c>
      <c r="E56" s="16" t="s">
        <v>84</v>
      </c>
      <c r="F56" s="7">
        <f t="shared" si="0"/>
        <v>-637.62169586252605</v>
      </c>
      <c r="G56" s="7">
        <f t="shared" si="1"/>
        <v>-27.652037484345474</v>
      </c>
      <c r="H56" s="1" t="s">
        <v>83</v>
      </c>
      <c r="I56" s="24">
        <v>-204.38823677229001</v>
      </c>
      <c r="J56" s="7">
        <f t="shared" si="2"/>
        <v>-8.8637999949819513</v>
      </c>
      <c r="L56" s="2">
        <v>1</v>
      </c>
      <c r="M56" s="2">
        <v>3</v>
      </c>
      <c r="N56" s="7">
        <f t="shared" si="3"/>
        <v>-4.0021374893635233</v>
      </c>
      <c r="O56" s="7">
        <f t="shared" si="4"/>
        <v>-1.334045829787841</v>
      </c>
    </row>
    <row r="57" spans="1:15" x14ac:dyDescent="0.25">
      <c r="A57" s="1" t="s">
        <v>37</v>
      </c>
      <c r="B57" s="24">
        <v>-1175.8122892543399</v>
      </c>
      <c r="E57" s="16" t="s">
        <v>82</v>
      </c>
      <c r="F57" s="7">
        <f t="shared" si="0"/>
        <v>-519.16452229208699</v>
      </c>
      <c r="G57" s="7">
        <f t="shared" si="1"/>
        <v>-22.514849987253736</v>
      </c>
      <c r="H57" s="1" t="s">
        <v>83</v>
      </c>
      <c r="I57" s="24">
        <v>-204.38823677229001</v>
      </c>
      <c r="J57" s="7">
        <f t="shared" si="2"/>
        <v>-8.8637999949819513</v>
      </c>
      <c r="L57" s="2">
        <v>1</v>
      </c>
      <c r="M57" s="2">
        <v>2</v>
      </c>
      <c r="N57" s="7">
        <f t="shared" si="3"/>
        <v>-3.793649992271785</v>
      </c>
      <c r="O57" s="7">
        <f t="shared" si="4"/>
        <v>-1.8968249961358925</v>
      </c>
    </row>
    <row r="58" spans="1:15" x14ac:dyDescent="0.25">
      <c r="A58" s="1" t="s">
        <v>37</v>
      </c>
      <c r="B58" s="24">
        <v>-1175.8122892543399</v>
      </c>
      <c r="E58" s="16" t="s">
        <v>88</v>
      </c>
      <c r="F58" s="7">
        <f t="shared" si="0"/>
        <v>-320.876480474343</v>
      </c>
      <c r="G58" s="7">
        <f t="shared" si="1"/>
        <v>-13.915599992121995</v>
      </c>
      <c r="H58" s="1" t="s">
        <v>86</v>
      </c>
      <c r="I58" s="24">
        <v>-25.602141213505899</v>
      </c>
      <c r="J58" s="7">
        <f t="shared" si="2"/>
        <v>-1.1102999993714275</v>
      </c>
      <c r="L58" s="2">
        <v>1</v>
      </c>
      <c r="M58" s="2">
        <v>2</v>
      </c>
      <c r="N58" s="7">
        <f t="shared" si="3"/>
        <v>-2.9478999927505676</v>
      </c>
      <c r="O58" s="7">
        <f t="shared" si="4"/>
        <v>-1.4739499963752838</v>
      </c>
    </row>
    <row r="59" spans="1:15" x14ac:dyDescent="0.25">
      <c r="A59" s="1" t="s">
        <v>38</v>
      </c>
      <c r="B59" s="24">
        <v>-339.09405380202998</v>
      </c>
      <c r="E59" s="16" t="s">
        <v>87</v>
      </c>
      <c r="F59" s="7">
        <f t="shared" si="0"/>
        <v>-398.30894944850701</v>
      </c>
      <c r="G59" s="7">
        <f t="shared" si="1"/>
        <v>-17.273649990220942</v>
      </c>
      <c r="H59" s="1" t="s">
        <v>86</v>
      </c>
      <c r="I59" s="24">
        <v>-25.602141213505899</v>
      </c>
      <c r="J59" s="7">
        <f t="shared" si="2"/>
        <v>-1.1102999993714275</v>
      </c>
      <c r="L59" s="2">
        <v>2</v>
      </c>
      <c r="M59" s="2">
        <v>2</v>
      </c>
      <c r="N59" s="7">
        <f t="shared" si="3"/>
        <v>-5.1956499914780867</v>
      </c>
      <c r="O59" s="7">
        <f t="shared" si="4"/>
        <v>-2.5978249957390434</v>
      </c>
    </row>
    <row r="60" spans="1:15" x14ac:dyDescent="0.25">
      <c r="A60" s="1" t="s">
        <v>40</v>
      </c>
      <c r="B60" s="24">
        <v>-470.268421739769</v>
      </c>
      <c r="E60" s="16" t="s">
        <v>85</v>
      </c>
      <c r="F60" s="7">
        <f t="shared" si="0"/>
        <v>-251.97459975735001</v>
      </c>
      <c r="G60" s="7">
        <f t="shared" si="1"/>
        <v>-10.927499993813631</v>
      </c>
      <c r="H60" s="1" t="s">
        <v>86</v>
      </c>
      <c r="I60" s="24">
        <v>-25.602141213505899</v>
      </c>
      <c r="J60" s="7">
        <f t="shared" si="2"/>
        <v>-1.1102999993714275</v>
      </c>
      <c r="L60" s="2">
        <v>2</v>
      </c>
      <c r="M60" s="2">
        <v>1</v>
      </c>
      <c r="N60" s="7">
        <f t="shared" si="3"/>
        <v>-3.7781999950707759</v>
      </c>
      <c r="O60" s="7">
        <f t="shared" si="4"/>
        <v>-3.7781999950707759</v>
      </c>
    </row>
    <row r="61" spans="1:15" x14ac:dyDescent="0.25">
      <c r="A61" s="1" t="s">
        <v>40</v>
      </c>
      <c r="B61" s="24">
        <v>-470.268421739769</v>
      </c>
      <c r="E61" s="16" t="s">
        <v>89</v>
      </c>
      <c r="F61" s="7">
        <f t="shared" si="0"/>
        <v>-1017.6098840324</v>
      </c>
      <c r="G61" s="7">
        <f t="shared" si="1"/>
        <v>-44.131162475016005</v>
      </c>
      <c r="H61" s="1" t="s">
        <v>90</v>
      </c>
      <c r="I61" s="24">
        <v>-114.092438539409</v>
      </c>
      <c r="J61" s="7">
        <f t="shared" si="2"/>
        <v>-4.947899997198852</v>
      </c>
      <c r="L61" s="2">
        <v>2</v>
      </c>
      <c r="M61" s="2">
        <v>3</v>
      </c>
      <c r="N61" s="7">
        <f t="shared" si="3"/>
        <v>-19.449262480618298</v>
      </c>
      <c r="O61" s="7">
        <f t="shared" si="4"/>
        <v>-6.4830874935394327</v>
      </c>
    </row>
    <row r="62" spans="1:15" x14ac:dyDescent="0.25">
      <c r="A62" s="1" t="s">
        <v>40</v>
      </c>
      <c r="B62" s="24">
        <v>-470.268421739769</v>
      </c>
      <c r="E62" s="16" t="s">
        <v>93</v>
      </c>
      <c r="F62" s="7">
        <f t="shared" si="0"/>
        <v>-467.838028437145</v>
      </c>
      <c r="G62" s="7">
        <f t="shared" si="1"/>
        <v>-20.28894998851391</v>
      </c>
      <c r="H62" s="1" t="s">
        <v>92</v>
      </c>
      <c r="I62" s="24">
        <v>-43.996114055092598</v>
      </c>
      <c r="J62" s="7">
        <f t="shared" si="2"/>
        <v>-1.9079999989198291</v>
      </c>
      <c r="L62" s="2">
        <v>2</v>
      </c>
      <c r="M62" s="2">
        <v>2</v>
      </c>
      <c r="N62" s="7">
        <f t="shared" si="3"/>
        <v>-6.6155499906742516</v>
      </c>
      <c r="O62" s="7">
        <f t="shared" si="4"/>
        <v>-3.3077749953371258</v>
      </c>
    </row>
    <row r="63" spans="1:15" x14ac:dyDescent="0.25">
      <c r="A63" s="1" t="s">
        <v>41</v>
      </c>
      <c r="B63" s="24">
        <v>-1056.73339386775</v>
      </c>
      <c r="E63" s="16" t="s">
        <v>91</v>
      </c>
      <c r="F63" s="7">
        <f t="shared" si="0"/>
        <v>-345.09740196463099</v>
      </c>
      <c r="G63" s="7">
        <f t="shared" si="1"/>
        <v>-14.965999991527342</v>
      </c>
      <c r="H63" s="1" t="s">
        <v>92</v>
      </c>
      <c r="I63" s="24">
        <v>-43.996114055092598</v>
      </c>
      <c r="J63" s="7">
        <f t="shared" si="2"/>
        <v>-1.9079999989198291</v>
      </c>
      <c r="L63" s="2">
        <v>2</v>
      </c>
      <c r="M63" s="2">
        <v>1</v>
      </c>
      <c r="N63" s="7">
        <f t="shared" si="3"/>
        <v>-6.2212999936876843</v>
      </c>
      <c r="O63" s="7">
        <f t="shared" si="4"/>
        <v>-6.2212999936876843</v>
      </c>
    </row>
    <row r="64" spans="1:15" x14ac:dyDescent="0.25">
      <c r="A64" s="1" t="s">
        <v>43</v>
      </c>
      <c r="B64" s="24">
        <v>-3200.8908146768899</v>
      </c>
      <c r="E64" s="16" t="s">
        <v>94</v>
      </c>
      <c r="F64" s="7">
        <f t="shared" si="0"/>
        <v>-1027.2879338334201</v>
      </c>
      <c r="G64" s="7">
        <f t="shared" si="1"/>
        <v>-44.550874974778353</v>
      </c>
      <c r="H64" s="1" t="s">
        <v>95</v>
      </c>
      <c r="I64" s="24">
        <v>-104.36048888691801</v>
      </c>
      <c r="J64" s="7">
        <f t="shared" si="2"/>
        <v>-4.5258499974377635</v>
      </c>
      <c r="L64" s="2">
        <v>2</v>
      </c>
      <c r="M64" s="2">
        <v>3</v>
      </c>
      <c r="N64" s="7">
        <f t="shared" si="3"/>
        <v>-20.713074979902824</v>
      </c>
      <c r="O64" s="7">
        <f t="shared" si="4"/>
        <v>-6.9043583266342745</v>
      </c>
    </row>
    <row r="65" spans="1:15" x14ac:dyDescent="0.25">
      <c r="A65" s="1" t="s">
        <v>43</v>
      </c>
      <c r="B65" s="24">
        <v>-3200.8908146768899</v>
      </c>
      <c r="E65" s="16" t="s">
        <v>96</v>
      </c>
      <c r="F65" s="7">
        <f t="shared" si="0"/>
        <v>-292.16140666259997</v>
      </c>
      <c r="G65" s="7">
        <f t="shared" si="1"/>
        <v>-12.670299992827021</v>
      </c>
      <c r="H65" s="1" t="s">
        <v>97</v>
      </c>
      <c r="I65" s="24">
        <v>-36.993937272390099</v>
      </c>
      <c r="J65" s="7">
        <f t="shared" si="2"/>
        <v>-1.6043333324250784</v>
      </c>
      <c r="L65" s="2">
        <v>1</v>
      </c>
      <c r="M65" s="2">
        <v>1</v>
      </c>
      <c r="N65" s="7">
        <f t="shared" si="3"/>
        <v>-6.1372666604019424</v>
      </c>
      <c r="O65" s="7">
        <f t="shared" si="4"/>
        <v>-6.1372666604019424</v>
      </c>
    </row>
    <row r="66" spans="1:15" x14ac:dyDescent="0.25">
      <c r="A66" s="1" t="s">
        <v>43</v>
      </c>
      <c r="B66" s="24">
        <v>-3200.8908146768899</v>
      </c>
      <c r="E66" s="16" t="s">
        <v>102</v>
      </c>
      <c r="F66" s="7">
        <f t="shared" si="0"/>
        <v>-564.049551544677</v>
      </c>
      <c r="G66" s="7">
        <f t="shared" si="1"/>
        <v>-24.461399986151772</v>
      </c>
      <c r="H66" s="1" t="s">
        <v>101</v>
      </c>
      <c r="I66" s="24">
        <v>-211.20090765395099</v>
      </c>
      <c r="J66" s="7">
        <f t="shared" si="2"/>
        <v>-9.1592482706767839</v>
      </c>
      <c r="L66" s="2">
        <v>1</v>
      </c>
      <c r="M66" s="2">
        <v>2</v>
      </c>
      <c r="N66" s="7">
        <f t="shared" si="3"/>
        <v>-5.4447517154749878</v>
      </c>
      <c r="O66" s="7">
        <f t="shared" si="4"/>
        <v>-2.7223758577374939</v>
      </c>
    </row>
    <row r="67" spans="1:15" x14ac:dyDescent="0.25">
      <c r="A67" s="1" t="s">
        <v>44</v>
      </c>
      <c r="B67" s="24">
        <v>-591.999074524854</v>
      </c>
      <c r="E67" s="16" t="s">
        <v>99</v>
      </c>
      <c r="F67" s="7">
        <f t="shared" ref="F67:F130" si="5">IFERROR(VLOOKUP(E67,$A$2:$B$298,2,FALSE),"")</f>
        <v>-1421.8930699590301</v>
      </c>
      <c r="G67" s="7">
        <f t="shared" ref="G67:G130" si="6">F67/$C$2</f>
        <v>-61.663899965090494</v>
      </c>
      <c r="H67" s="1" t="s">
        <v>101</v>
      </c>
      <c r="I67" s="24">
        <v>-211.20090765395099</v>
      </c>
      <c r="J67" s="7">
        <f t="shared" ref="J67:J130" si="7">I67/$C$2</f>
        <v>-9.1592482706767839</v>
      </c>
      <c r="L67" s="2">
        <v>3</v>
      </c>
      <c r="M67" s="2">
        <v>4</v>
      </c>
      <c r="N67" s="7">
        <f t="shared" ref="N67:N130" si="8">G67-L67*J67-M67*$K$2</f>
        <v>-14.471355153060141</v>
      </c>
      <c r="O67" s="7">
        <f t="shared" ref="O67:O130" si="9">N67/M67</f>
        <v>-3.6178387882650354</v>
      </c>
    </row>
    <row r="68" spans="1:15" x14ac:dyDescent="0.25">
      <c r="A68" s="1" t="s">
        <v>44</v>
      </c>
      <c r="B68" s="24">
        <v>-591.999074524854</v>
      </c>
      <c r="E68" s="16" t="s">
        <v>98</v>
      </c>
      <c r="F68" s="7">
        <f t="shared" si="5"/>
        <v>-997.64171846995896</v>
      </c>
      <c r="G68" s="7">
        <f t="shared" si="6"/>
        <v>-43.265193725506442</v>
      </c>
      <c r="H68" s="1" t="s">
        <v>101</v>
      </c>
      <c r="I68" s="24">
        <v>-211.20090765395099</v>
      </c>
      <c r="J68" s="7">
        <f t="shared" si="7"/>
        <v>-9.1592482706767839</v>
      </c>
      <c r="L68" s="2">
        <v>2</v>
      </c>
      <c r="M68" s="2">
        <v>3</v>
      </c>
      <c r="N68" s="7">
        <f t="shared" si="8"/>
        <v>-10.160597184152873</v>
      </c>
      <c r="O68" s="7">
        <f t="shared" si="9"/>
        <v>-3.386865728050958</v>
      </c>
    </row>
    <row r="69" spans="1:15" x14ac:dyDescent="0.25">
      <c r="A69" s="1" t="s">
        <v>45</v>
      </c>
      <c r="B69" s="24">
        <v>-826.30605238020701</v>
      </c>
      <c r="E69" s="16" t="s">
        <v>100</v>
      </c>
      <c r="F69" s="7">
        <f t="shared" si="5"/>
        <v>-417.264403095776</v>
      </c>
      <c r="G69" s="7">
        <f t="shared" si="6"/>
        <v>-18.095699989755563</v>
      </c>
      <c r="H69" s="1" t="s">
        <v>101</v>
      </c>
      <c r="I69" s="24">
        <v>-211.20090765395099</v>
      </c>
      <c r="J69" s="7">
        <f t="shared" si="7"/>
        <v>-9.1592482706767839</v>
      </c>
      <c r="L69" s="2">
        <v>1</v>
      </c>
      <c r="M69" s="2">
        <v>1</v>
      </c>
      <c r="N69" s="7">
        <f t="shared" si="8"/>
        <v>-4.0077517190787786</v>
      </c>
      <c r="O69" s="7">
        <f t="shared" si="9"/>
        <v>-4.0077517190787786</v>
      </c>
    </row>
    <row r="70" spans="1:15" x14ac:dyDescent="0.25">
      <c r="A70" s="1" t="s">
        <v>47</v>
      </c>
      <c r="B70" s="24">
        <v>-237.915673793309</v>
      </c>
      <c r="E70" s="16" t="s">
        <v>103</v>
      </c>
      <c r="F70" s="7">
        <f t="shared" si="5"/>
        <v>-6078.8973073535799</v>
      </c>
      <c r="G70" s="7">
        <f t="shared" si="6"/>
        <v>-263.62637485075436</v>
      </c>
      <c r="H70" s="1" t="s">
        <v>105</v>
      </c>
      <c r="I70" s="24">
        <v>-250.47116860620099</v>
      </c>
      <c r="J70" s="7">
        <f t="shared" si="7"/>
        <v>-10.862299993850536</v>
      </c>
      <c r="L70" s="2">
        <v>8</v>
      </c>
      <c r="M70" s="2">
        <v>23</v>
      </c>
      <c r="N70" s="7">
        <f t="shared" si="8"/>
        <v>-63.367874899950081</v>
      </c>
      <c r="O70" s="7">
        <f t="shared" si="9"/>
        <v>-2.7551249956500037</v>
      </c>
    </row>
    <row r="71" spans="1:15" x14ac:dyDescent="0.25">
      <c r="A71" s="1" t="s">
        <v>47</v>
      </c>
      <c r="B71" s="24">
        <v>-237.915673793309</v>
      </c>
      <c r="E71" s="16" t="s">
        <v>106</v>
      </c>
      <c r="F71" s="7">
        <f t="shared" si="5"/>
        <v>-778.27811414139705</v>
      </c>
      <c r="G71" s="7">
        <f t="shared" si="6"/>
        <v>-33.751949980892171</v>
      </c>
      <c r="H71" s="1" t="s">
        <v>105</v>
      </c>
      <c r="I71" s="24">
        <v>-250.47116860620099</v>
      </c>
      <c r="J71" s="7">
        <f t="shared" si="7"/>
        <v>-10.862299993850536</v>
      </c>
      <c r="L71" s="2">
        <v>1</v>
      </c>
      <c r="M71" s="2">
        <v>3</v>
      </c>
      <c r="N71" s="7">
        <f t="shared" si="8"/>
        <v>-8.1035499870416352</v>
      </c>
      <c r="O71" s="7">
        <f t="shared" si="9"/>
        <v>-2.7011833290138783</v>
      </c>
    </row>
    <row r="72" spans="1:15" x14ac:dyDescent="0.25">
      <c r="A72" s="1" t="s">
        <v>47</v>
      </c>
      <c r="B72" s="24">
        <v>-237.915673793309</v>
      </c>
      <c r="E72" s="16" t="s">
        <v>104</v>
      </c>
      <c r="F72" s="7">
        <f t="shared" si="5"/>
        <v>-626.82760207813601</v>
      </c>
      <c r="G72" s="7">
        <f t="shared" si="6"/>
        <v>-27.183924984610449</v>
      </c>
      <c r="H72" s="1" t="s">
        <v>105</v>
      </c>
      <c r="I72" s="24">
        <v>-250.47116860620099</v>
      </c>
      <c r="J72" s="7">
        <f t="shared" si="7"/>
        <v>-10.862299993850536</v>
      </c>
      <c r="L72" s="2">
        <v>1</v>
      </c>
      <c r="M72" s="2">
        <v>2</v>
      </c>
      <c r="N72" s="7">
        <f t="shared" si="8"/>
        <v>-6.4642249907599147</v>
      </c>
      <c r="O72" s="7">
        <f t="shared" si="9"/>
        <v>-3.2321124953799574</v>
      </c>
    </row>
    <row r="73" spans="1:15" x14ac:dyDescent="0.25">
      <c r="A73" s="1" t="s">
        <v>49</v>
      </c>
      <c r="B73" s="24">
        <v>-382.42953438349599</v>
      </c>
      <c r="E73" s="16" t="s">
        <v>109</v>
      </c>
      <c r="F73" s="7">
        <f t="shared" si="5"/>
        <v>-409.19460572567698</v>
      </c>
      <c r="G73" s="7">
        <f t="shared" si="6"/>
        <v>-17.745733323286984</v>
      </c>
      <c r="H73" s="1" t="s">
        <v>108</v>
      </c>
      <c r="I73" s="24">
        <v>-30.266928358865101</v>
      </c>
      <c r="J73" s="7">
        <f t="shared" si="7"/>
        <v>-1.3125999992569028</v>
      </c>
      <c r="L73" s="2">
        <v>2</v>
      </c>
      <c r="M73" s="2">
        <v>2</v>
      </c>
      <c r="N73" s="7">
        <f t="shared" si="8"/>
        <v>-5.2631333247731789</v>
      </c>
      <c r="O73" s="7">
        <f t="shared" si="9"/>
        <v>-2.6315666623865894</v>
      </c>
    </row>
    <row r="74" spans="1:15" x14ac:dyDescent="0.25">
      <c r="A74" s="1" t="s">
        <v>49</v>
      </c>
      <c r="B74" s="24">
        <v>-382.42953438349599</v>
      </c>
      <c r="E74" s="16" t="s">
        <v>110</v>
      </c>
      <c r="F74" s="7">
        <f t="shared" si="5"/>
        <v>-320.613610610492</v>
      </c>
      <c r="G74" s="7">
        <f t="shared" si="6"/>
        <v>-13.904199992128458</v>
      </c>
      <c r="H74" s="1" t="s">
        <v>108</v>
      </c>
      <c r="I74" s="24">
        <v>-30.266928358865101</v>
      </c>
      <c r="J74" s="7">
        <f t="shared" si="7"/>
        <v>-1.3125999992569028</v>
      </c>
      <c r="L74" s="2">
        <v>1</v>
      </c>
      <c r="M74" s="2">
        <v>2</v>
      </c>
      <c r="N74" s="7">
        <f t="shared" si="8"/>
        <v>-2.7341999928715541</v>
      </c>
      <c r="O74" s="7">
        <f t="shared" si="9"/>
        <v>-1.3670999964357771</v>
      </c>
    </row>
    <row r="75" spans="1:15" x14ac:dyDescent="0.25">
      <c r="A75" s="1" t="s">
        <v>49</v>
      </c>
      <c r="B75" s="24">
        <v>-382.42953438349599</v>
      </c>
      <c r="E75" s="16" t="s">
        <v>107</v>
      </c>
      <c r="F75" s="7">
        <f t="shared" si="5"/>
        <v>-274.95034820834297</v>
      </c>
      <c r="G75" s="7">
        <f t="shared" si="6"/>
        <v>-11.923899993249549</v>
      </c>
      <c r="H75" s="1" t="s">
        <v>108</v>
      </c>
      <c r="I75" s="24">
        <v>-30.266928358865101</v>
      </c>
      <c r="J75" s="7">
        <f t="shared" si="7"/>
        <v>-1.3125999992569028</v>
      </c>
      <c r="L75" s="2">
        <v>2</v>
      </c>
      <c r="M75" s="2">
        <v>1</v>
      </c>
      <c r="N75" s="7">
        <f t="shared" si="8"/>
        <v>-4.3699999947357435</v>
      </c>
      <c r="O75" s="7">
        <f t="shared" si="9"/>
        <v>-4.3699999947357435</v>
      </c>
    </row>
    <row r="76" spans="1:15" x14ac:dyDescent="0.25">
      <c r="A76" s="1" t="s">
        <v>49</v>
      </c>
      <c r="B76" s="24">
        <v>-382.42953438349599</v>
      </c>
      <c r="E76" s="16" t="s">
        <v>111</v>
      </c>
      <c r="F76" s="7">
        <f t="shared" si="5"/>
        <v>-1534.0658667295199</v>
      </c>
      <c r="G76" s="7">
        <f t="shared" si="6"/>
        <v>-66.528549962336228</v>
      </c>
      <c r="H76" s="1" t="s">
        <v>114</v>
      </c>
      <c r="I76" s="24">
        <v>-233.19554562398201</v>
      </c>
      <c r="J76" s="7">
        <f t="shared" si="7"/>
        <v>-10.113099994274714</v>
      </c>
      <c r="L76" s="2">
        <v>2</v>
      </c>
      <c r="M76" s="2">
        <v>5</v>
      </c>
      <c r="N76" s="7">
        <f t="shared" si="8"/>
        <v>-21.658849973786804</v>
      </c>
      <c r="O76" s="7">
        <f t="shared" si="9"/>
        <v>-4.3317699947573605</v>
      </c>
    </row>
    <row r="77" spans="1:15" x14ac:dyDescent="0.25">
      <c r="A77" s="1" t="s">
        <v>48</v>
      </c>
      <c r="B77" s="24">
        <v>-261.99824272367601</v>
      </c>
      <c r="E77" s="16" t="s">
        <v>112</v>
      </c>
      <c r="F77" s="7">
        <f t="shared" si="5"/>
        <v>-662.30811607005</v>
      </c>
      <c r="G77" s="7">
        <f t="shared" si="6"/>
        <v>-28.722624983739369</v>
      </c>
      <c r="H77" s="1" t="s">
        <v>114</v>
      </c>
      <c r="I77" s="24">
        <v>-233.19554562398201</v>
      </c>
      <c r="J77" s="7">
        <f t="shared" si="7"/>
        <v>-10.113099994274714</v>
      </c>
      <c r="L77" s="2">
        <v>1</v>
      </c>
      <c r="M77" s="2">
        <v>2</v>
      </c>
      <c r="N77" s="7">
        <f t="shared" si="8"/>
        <v>-8.7521249894646527</v>
      </c>
      <c r="O77" s="7">
        <f t="shared" si="9"/>
        <v>-4.3760624947323263</v>
      </c>
    </row>
    <row r="78" spans="1:15" x14ac:dyDescent="0.25">
      <c r="A78" s="1" t="s">
        <v>48</v>
      </c>
      <c r="B78" s="24">
        <v>-261.99824272367601</v>
      </c>
      <c r="E78" s="16" t="s">
        <v>113</v>
      </c>
      <c r="F78" s="7">
        <f t="shared" si="5"/>
        <v>-452.820242370313</v>
      </c>
      <c r="G78" s="7">
        <f t="shared" si="6"/>
        <v>-19.637666655549257</v>
      </c>
      <c r="H78" s="1" t="s">
        <v>114</v>
      </c>
      <c r="I78" s="24">
        <v>-233.19554562398201</v>
      </c>
      <c r="J78" s="7">
        <f t="shared" si="7"/>
        <v>-10.113099994274714</v>
      </c>
      <c r="L78" s="2">
        <v>1</v>
      </c>
      <c r="M78" s="2">
        <v>1</v>
      </c>
      <c r="N78" s="7">
        <f t="shared" si="8"/>
        <v>-4.5958666612745427</v>
      </c>
      <c r="O78" s="7">
        <f t="shared" si="9"/>
        <v>-4.5958666612745427</v>
      </c>
    </row>
    <row r="79" spans="1:15" x14ac:dyDescent="0.25">
      <c r="A79" s="1" t="s">
        <v>50</v>
      </c>
      <c r="B79" s="24">
        <v>-315.38849559745</v>
      </c>
      <c r="E79" s="16" t="s">
        <v>115</v>
      </c>
      <c r="F79" s="7">
        <f t="shared" si="5"/>
        <v>-999.21331708032005</v>
      </c>
      <c r="G79" s="7">
        <f t="shared" si="6"/>
        <v>-43.333349975467897</v>
      </c>
      <c r="H79" s="1" t="s">
        <v>116</v>
      </c>
      <c r="I79" s="24">
        <v>-109.877297213795</v>
      </c>
      <c r="J79" s="7">
        <f t="shared" si="7"/>
        <v>-4.7650999973023271</v>
      </c>
      <c r="L79" s="2">
        <v>2</v>
      </c>
      <c r="M79" s="2">
        <v>3</v>
      </c>
      <c r="N79" s="7">
        <f t="shared" si="8"/>
        <v>-19.017049980863238</v>
      </c>
      <c r="O79" s="7">
        <f t="shared" si="9"/>
        <v>-6.3390166602877462</v>
      </c>
    </row>
    <row r="80" spans="1:15" x14ac:dyDescent="0.25">
      <c r="A80" s="1" t="s">
        <v>50</v>
      </c>
      <c r="B80" s="24">
        <v>-315.38849559745</v>
      </c>
      <c r="E80" s="16" t="s">
        <v>117</v>
      </c>
      <c r="F80" s="7">
        <f t="shared" si="5"/>
        <v>-987.859183662747</v>
      </c>
      <c r="G80" s="7">
        <f t="shared" si="6"/>
        <v>-42.840949975746618</v>
      </c>
      <c r="H80" s="1" t="s">
        <v>119</v>
      </c>
      <c r="I80" s="24">
        <v>-133.30499736053201</v>
      </c>
      <c r="J80" s="7">
        <f t="shared" si="7"/>
        <v>-5.7810999967271446</v>
      </c>
      <c r="L80" s="2">
        <v>3</v>
      </c>
      <c r="M80" s="2">
        <v>4</v>
      </c>
      <c r="N80" s="7">
        <f t="shared" si="8"/>
        <v>-5.782849985565182</v>
      </c>
      <c r="O80" s="7">
        <f t="shared" si="9"/>
        <v>-1.4457124963912955</v>
      </c>
    </row>
    <row r="81" spans="1:15" x14ac:dyDescent="0.25">
      <c r="A81" s="1" t="s">
        <v>50</v>
      </c>
      <c r="B81" s="24">
        <v>-315.38849559745</v>
      </c>
      <c r="E81" s="16" t="s">
        <v>118</v>
      </c>
      <c r="F81" s="7">
        <f t="shared" si="5"/>
        <v>-290.10571820976298</v>
      </c>
      <c r="G81" s="7">
        <f t="shared" si="6"/>
        <v>-12.581149992877457</v>
      </c>
      <c r="H81" s="1" t="s">
        <v>119</v>
      </c>
      <c r="I81" s="24">
        <v>-133.30499736053201</v>
      </c>
      <c r="J81" s="7">
        <f t="shared" si="7"/>
        <v>-5.7810999967271446</v>
      </c>
      <c r="L81" s="2">
        <v>1</v>
      </c>
      <c r="M81" s="2">
        <v>1</v>
      </c>
      <c r="N81" s="7">
        <f t="shared" si="8"/>
        <v>-1.8713499961503119</v>
      </c>
      <c r="O81" s="7">
        <f t="shared" si="9"/>
        <v>-1.8713499961503119</v>
      </c>
    </row>
    <row r="82" spans="1:15" x14ac:dyDescent="0.25">
      <c r="A82" s="1" t="s">
        <v>50</v>
      </c>
      <c r="B82" s="24">
        <v>-315.38849559745</v>
      </c>
      <c r="E82" s="16" t="s">
        <v>120</v>
      </c>
      <c r="F82" s="7">
        <f t="shared" si="5"/>
        <v>-775.53066288895195</v>
      </c>
      <c r="G82" s="7">
        <f t="shared" si="6"/>
        <v>-33.632799980959597</v>
      </c>
      <c r="H82" s="1" t="s">
        <v>121</v>
      </c>
      <c r="I82" s="24">
        <v>-298.39995417706803</v>
      </c>
      <c r="J82" s="7">
        <f t="shared" si="7"/>
        <v>-12.940849992673849</v>
      </c>
      <c r="L82" s="2">
        <v>1</v>
      </c>
      <c r="M82" s="2">
        <v>2</v>
      </c>
      <c r="N82" s="7">
        <f t="shared" si="8"/>
        <v>-10.834549988285749</v>
      </c>
      <c r="O82" s="7">
        <f t="shared" si="9"/>
        <v>-5.4172749941428746</v>
      </c>
    </row>
    <row r="83" spans="1:15" x14ac:dyDescent="0.25">
      <c r="A83" s="1" t="s">
        <v>50</v>
      </c>
      <c r="B83" s="24">
        <v>-315.38849559745</v>
      </c>
      <c r="E83" s="16" t="s">
        <v>124</v>
      </c>
      <c r="F83" s="7">
        <f t="shared" si="5"/>
        <v>-892.34288216882203</v>
      </c>
      <c r="G83" s="7">
        <f t="shared" si="6"/>
        <v>-38.698649978091716</v>
      </c>
      <c r="H83" s="1" t="s">
        <v>123</v>
      </c>
      <c r="I83" s="24">
        <v>-258.71467530153501</v>
      </c>
      <c r="J83" s="7">
        <f t="shared" si="7"/>
        <v>-11.219799993648184</v>
      </c>
      <c r="L83" s="2">
        <v>1</v>
      </c>
      <c r="M83" s="2">
        <v>4</v>
      </c>
      <c r="N83" s="7">
        <f t="shared" si="8"/>
        <v>-7.7640499844435311</v>
      </c>
      <c r="O83" s="7">
        <f t="shared" si="9"/>
        <v>-1.9410124961108828</v>
      </c>
    </row>
    <row r="84" spans="1:15" x14ac:dyDescent="0.25">
      <c r="A84" s="1" t="s">
        <v>51</v>
      </c>
      <c r="B84" s="24">
        <v>-347.76875930911899</v>
      </c>
      <c r="E84" s="16" t="s">
        <v>122</v>
      </c>
      <c r="F84" s="7">
        <f t="shared" si="5"/>
        <v>-580.50658854736002</v>
      </c>
      <c r="G84" s="7">
        <f t="shared" si="6"/>
        <v>-25.175099985747718</v>
      </c>
      <c r="H84" s="1" t="s">
        <v>123</v>
      </c>
      <c r="I84" s="24">
        <v>-258.71467530153501</v>
      </c>
      <c r="J84" s="7">
        <f t="shared" si="7"/>
        <v>-11.219799993648184</v>
      </c>
      <c r="L84" s="2">
        <v>1</v>
      </c>
      <c r="M84" s="2">
        <v>2</v>
      </c>
      <c r="N84" s="7">
        <f t="shared" si="8"/>
        <v>-4.0978999920995332</v>
      </c>
      <c r="O84" s="7">
        <f t="shared" si="9"/>
        <v>-2.0489499960497666</v>
      </c>
    </row>
    <row r="85" spans="1:15" x14ac:dyDescent="0.25">
      <c r="A85" s="1" t="s">
        <v>53</v>
      </c>
      <c r="B85" s="24">
        <v>-627.65397038916899</v>
      </c>
      <c r="E85" s="16" t="s">
        <v>125</v>
      </c>
      <c r="F85" s="7">
        <f t="shared" si="5"/>
        <v>-1215.04446349613</v>
      </c>
      <c r="G85" s="7">
        <f t="shared" si="6"/>
        <v>-52.693399970168819</v>
      </c>
      <c r="H85" s="1" t="s">
        <v>126</v>
      </c>
      <c r="I85" s="24">
        <v>-124.74316997376</v>
      </c>
      <c r="J85" s="7">
        <f t="shared" si="7"/>
        <v>-5.4097952350325862</v>
      </c>
      <c r="L85" s="2">
        <v>2</v>
      </c>
      <c r="M85" s="2">
        <v>5</v>
      </c>
      <c r="N85" s="7">
        <f t="shared" si="8"/>
        <v>-17.230309500103647</v>
      </c>
      <c r="O85" s="7">
        <f t="shared" si="9"/>
        <v>-3.4460619000207293</v>
      </c>
    </row>
    <row r="86" spans="1:15" x14ac:dyDescent="0.25">
      <c r="A86" s="1" t="s">
        <v>53</v>
      </c>
      <c r="B86" s="24">
        <v>-627.65397038916899</v>
      </c>
      <c r="E86" s="16" t="s">
        <v>129</v>
      </c>
      <c r="F86" s="7">
        <f t="shared" si="5"/>
        <v>-847.41865302425401</v>
      </c>
      <c r="G86" s="7">
        <f t="shared" si="6"/>
        <v>-36.750399979194633</v>
      </c>
      <c r="H86" s="1" t="s">
        <v>128</v>
      </c>
      <c r="I86" s="24">
        <v>-219.45713642375901</v>
      </c>
      <c r="J86" s="7">
        <f t="shared" si="7"/>
        <v>-9.5172999946119834</v>
      </c>
      <c r="L86" s="2">
        <v>1</v>
      </c>
      <c r="M86" s="2">
        <v>3</v>
      </c>
      <c r="N86" s="7">
        <f t="shared" si="8"/>
        <v>-12.44699998458265</v>
      </c>
      <c r="O86" s="7">
        <f t="shared" si="9"/>
        <v>-4.1489999948608833</v>
      </c>
    </row>
    <row r="87" spans="1:15" x14ac:dyDescent="0.25">
      <c r="A87" s="1" t="s">
        <v>53</v>
      </c>
      <c r="B87" s="24">
        <v>-627.65397038916899</v>
      </c>
      <c r="E87" s="16" t="s">
        <v>127</v>
      </c>
      <c r="F87" s="7">
        <f t="shared" si="5"/>
        <v>-727.10496104036702</v>
      </c>
      <c r="G87" s="7">
        <f t="shared" si="6"/>
        <v>-31.532699982148522</v>
      </c>
      <c r="H87" s="1" t="s">
        <v>128</v>
      </c>
      <c r="I87" s="24">
        <v>-219.45713642375901</v>
      </c>
      <c r="J87" s="7">
        <f t="shared" si="7"/>
        <v>-9.5172999946119834</v>
      </c>
      <c r="L87" s="2">
        <v>1</v>
      </c>
      <c r="M87" s="2">
        <v>2</v>
      </c>
      <c r="N87" s="7">
        <f t="shared" si="8"/>
        <v>-12.15799998753654</v>
      </c>
      <c r="O87" s="7">
        <f t="shared" si="9"/>
        <v>-6.0789999937682699</v>
      </c>
    </row>
    <row r="88" spans="1:15" x14ac:dyDescent="0.25">
      <c r="A88" s="1" t="s">
        <v>54</v>
      </c>
      <c r="B88" s="24">
        <v>-252.29972827316601</v>
      </c>
      <c r="E88" s="16" t="s">
        <v>133</v>
      </c>
      <c r="F88" s="7">
        <f t="shared" si="5"/>
        <v>-404.37109744907502</v>
      </c>
      <c r="G88" s="7">
        <f t="shared" si="6"/>
        <v>-17.536549990072103</v>
      </c>
      <c r="H88" s="1" t="s">
        <v>132</v>
      </c>
      <c r="I88" s="24">
        <v>-85.665599227502497</v>
      </c>
      <c r="J88" s="7">
        <f t="shared" si="7"/>
        <v>-3.7150999978967865</v>
      </c>
      <c r="L88" s="2">
        <v>1</v>
      </c>
      <c r="M88" s="2">
        <v>2</v>
      </c>
      <c r="N88" s="7">
        <f t="shared" si="8"/>
        <v>-3.9640499921753172</v>
      </c>
      <c r="O88" s="7">
        <f t="shared" si="9"/>
        <v>-1.9820249960876586</v>
      </c>
    </row>
    <row r="89" spans="1:15" x14ac:dyDescent="0.25">
      <c r="A89" s="1" t="s">
        <v>54</v>
      </c>
      <c r="B89" s="24">
        <v>-252.29972827316601</v>
      </c>
      <c r="E89" s="16" t="s">
        <v>130</v>
      </c>
      <c r="F89" s="7">
        <f t="shared" si="5"/>
        <v>-948.04189338628896</v>
      </c>
      <c r="G89" s="7">
        <f t="shared" si="6"/>
        <v>-41.1141749767242</v>
      </c>
      <c r="H89" s="1" t="s">
        <v>132</v>
      </c>
      <c r="I89" s="24">
        <v>-85.665599227502497</v>
      </c>
      <c r="J89" s="7">
        <f t="shared" si="7"/>
        <v>-3.7150999978967865</v>
      </c>
      <c r="L89" s="2">
        <v>3</v>
      </c>
      <c r="M89" s="2">
        <v>4</v>
      </c>
      <c r="N89" s="7">
        <f t="shared" si="8"/>
        <v>-10.254074983033842</v>
      </c>
      <c r="O89" s="7">
        <f t="shared" si="9"/>
        <v>-2.5635187457584605</v>
      </c>
    </row>
    <row r="90" spans="1:15" x14ac:dyDescent="0.25">
      <c r="A90" s="1" t="s">
        <v>55</v>
      </c>
      <c r="B90" s="24">
        <v>-1018.07394157714</v>
      </c>
      <c r="E90" s="16" t="s">
        <v>131</v>
      </c>
      <c r="F90" s="7">
        <f t="shared" si="5"/>
        <v>-267.79218852214598</v>
      </c>
      <c r="G90" s="7">
        <f t="shared" si="6"/>
        <v>-11.613468743425319</v>
      </c>
      <c r="H90" s="1" t="s">
        <v>132</v>
      </c>
      <c r="I90" s="24">
        <v>-85.665599227502497</v>
      </c>
      <c r="J90" s="7">
        <f t="shared" si="7"/>
        <v>-3.7150999978967865</v>
      </c>
      <c r="L90" s="2">
        <v>1</v>
      </c>
      <c r="M90" s="2">
        <v>1</v>
      </c>
      <c r="N90" s="7">
        <f t="shared" si="8"/>
        <v>-2.9696687455285327</v>
      </c>
      <c r="O90" s="7">
        <f t="shared" si="9"/>
        <v>-2.9696687455285327</v>
      </c>
    </row>
    <row r="91" spans="1:15" x14ac:dyDescent="0.25">
      <c r="A91" s="1" t="s">
        <v>57</v>
      </c>
      <c r="B91" s="24">
        <v>-1021.71809035857</v>
      </c>
      <c r="E91" s="16" t="s">
        <v>136</v>
      </c>
      <c r="F91" s="7">
        <f t="shared" si="5"/>
        <v>-398.32393764249798</v>
      </c>
      <c r="G91" s="7">
        <f t="shared" si="6"/>
        <v>-17.274299990220548</v>
      </c>
      <c r="H91" s="1" t="s">
        <v>135</v>
      </c>
      <c r="I91" s="24">
        <v>-119.50432950834499</v>
      </c>
      <c r="J91" s="7">
        <f t="shared" si="7"/>
        <v>-5.1825999970659735</v>
      </c>
      <c r="L91" s="2">
        <v>1</v>
      </c>
      <c r="M91" s="2">
        <v>2</v>
      </c>
      <c r="N91" s="7">
        <f t="shared" si="8"/>
        <v>-2.2342999931545737</v>
      </c>
      <c r="O91" s="7">
        <f t="shared" si="9"/>
        <v>-1.1171499965772869</v>
      </c>
    </row>
    <row r="92" spans="1:15" x14ac:dyDescent="0.25">
      <c r="A92" s="1" t="s">
        <v>59</v>
      </c>
      <c r="B92" s="24">
        <v>-1182.8558757268499</v>
      </c>
      <c r="E92" s="16" t="s">
        <v>134</v>
      </c>
      <c r="F92" s="7">
        <f t="shared" si="5"/>
        <v>-270.14259675106501</v>
      </c>
      <c r="G92" s="7">
        <f t="shared" si="6"/>
        <v>-11.715399993367598</v>
      </c>
      <c r="H92" s="1" t="s">
        <v>135</v>
      </c>
      <c r="I92" s="24">
        <v>-119.50432950834499</v>
      </c>
      <c r="J92" s="7">
        <f t="shared" si="7"/>
        <v>-5.1825999970659735</v>
      </c>
      <c r="L92" s="2">
        <v>1</v>
      </c>
      <c r="M92" s="2">
        <v>1</v>
      </c>
      <c r="N92" s="7">
        <f t="shared" si="8"/>
        <v>-1.604099996301624</v>
      </c>
      <c r="O92" s="7">
        <f t="shared" si="9"/>
        <v>-1.604099996301624</v>
      </c>
    </row>
    <row r="93" spans="1:15" x14ac:dyDescent="0.25">
      <c r="A93" s="1" t="s">
        <v>59</v>
      </c>
      <c r="B93" s="24">
        <v>-1182.8558757268499</v>
      </c>
      <c r="E93" s="16" t="s">
        <v>137</v>
      </c>
      <c r="F93" s="7">
        <f t="shared" si="5"/>
        <v>-1004.68890787372</v>
      </c>
      <c r="G93" s="7">
        <f t="shared" si="6"/>
        <v>-43.570812475333454</v>
      </c>
      <c r="H93" s="1" t="s">
        <v>138</v>
      </c>
      <c r="I93" s="24">
        <v>-109.447251340039</v>
      </c>
      <c r="J93" s="7">
        <f t="shared" si="7"/>
        <v>-4.7464499973129088</v>
      </c>
      <c r="L93" s="2">
        <v>2</v>
      </c>
      <c r="M93" s="2">
        <v>3</v>
      </c>
      <c r="N93" s="7">
        <f t="shared" si="8"/>
        <v>-19.291812480707637</v>
      </c>
      <c r="O93" s="7">
        <f t="shared" si="9"/>
        <v>-6.4306041602358794</v>
      </c>
    </row>
    <row r="94" spans="1:15" x14ac:dyDescent="0.25">
      <c r="A94" s="1" t="s">
        <v>60</v>
      </c>
      <c r="B94" s="24">
        <v>-495.76333971933502</v>
      </c>
      <c r="E94" s="16" t="s">
        <v>139</v>
      </c>
      <c r="F94" s="7">
        <f t="shared" si="5"/>
        <v>-994.44101846652097</v>
      </c>
      <c r="G94" s="7">
        <f t="shared" si="6"/>
        <v>-43.126387475585027</v>
      </c>
      <c r="H94" s="1" t="s">
        <v>140</v>
      </c>
      <c r="I94" s="24">
        <v>-110.315413653547</v>
      </c>
      <c r="J94" s="7">
        <f t="shared" si="7"/>
        <v>-4.7840999972915714</v>
      </c>
      <c r="L94" s="2">
        <v>2</v>
      </c>
      <c r="M94" s="2">
        <v>3</v>
      </c>
      <c r="N94" s="7">
        <f t="shared" si="8"/>
        <v>-18.772087481001879</v>
      </c>
      <c r="O94" s="7">
        <f t="shared" si="9"/>
        <v>-6.2573624936672934</v>
      </c>
    </row>
    <row r="95" spans="1:15" x14ac:dyDescent="0.25">
      <c r="A95" s="1" t="s">
        <v>62</v>
      </c>
      <c r="B95" s="24">
        <v>-949.03111418972901</v>
      </c>
      <c r="E95" s="16" t="s">
        <v>143</v>
      </c>
      <c r="F95" s="7">
        <f t="shared" si="5"/>
        <v>-432.318314553253</v>
      </c>
      <c r="G95" s="7">
        <f t="shared" si="6"/>
        <v>-18.748549989385943</v>
      </c>
      <c r="H95" s="1" t="s">
        <v>142</v>
      </c>
      <c r="I95" s="24">
        <v>-139.66229748893301</v>
      </c>
      <c r="J95" s="7">
        <f t="shared" si="7"/>
        <v>-6.0567999965710646</v>
      </c>
      <c r="L95" s="2">
        <v>1</v>
      </c>
      <c r="M95" s="2">
        <v>2</v>
      </c>
      <c r="N95" s="7">
        <f t="shared" si="8"/>
        <v>-2.834349992814877</v>
      </c>
      <c r="O95" s="7">
        <f t="shared" si="9"/>
        <v>-1.4171749964074385</v>
      </c>
    </row>
    <row r="96" spans="1:15" x14ac:dyDescent="0.25">
      <c r="A96" s="1" t="s">
        <v>62</v>
      </c>
      <c r="B96" s="24">
        <v>-949.03111418972901</v>
      </c>
      <c r="E96" s="16" t="s">
        <v>141</v>
      </c>
      <c r="F96" s="7">
        <f t="shared" si="5"/>
        <v>-1010.67697960783</v>
      </c>
      <c r="G96" s="7">
        <f t="shared" si="6"/>
        <v>-43.830499975186441</v>
      </c>
      <c r="H96" s="1" t="s">
        <v>142</v>
      </c>
      <c r="I96" s="24">
        <v>-139.66229748893301</v>
      </c>
      <c r="J96" s="7">
        <f t="shared" si="7"/>
        <v>-6.0567999965710646</v>
      </c>
      <c r="L96" s="2">
        <v>3</v>
      </c>
      <c r="M96" s="2">
        <v>4</v>
      </c>
      <c r="N96" s="7">
        <f t="shared" si="8"/>
        <v>-5.9452999854732482</v>
      </c>
      <c r="O96" s="7">
        <f t="shared" si="9"/>
        <v>-1.4863249963683121</v>
      </c>
    </row>
    <row r="97" spans="1:15" x14ac:dyDescent="0.25">
      <c r="A97" s="1" t="s">
        <v>62</v>
      </c>
      <c r="B97" s="24">
        <v>-949.03111418972901</v>
      </c>
      <c r="E97" s="16" t="s">
        <v>146</v>
      </c>
      <c r="F97" s="7">
        <f t="shared" si="5"/>
        <v>-808.74450077414895</v>
      </c>
      <c r="G97" s="7">
        <f t="shared" si="6"/>
        <v>-35.07319998014416</v>
      </c>
      <c r="H97" s="1" t="s">
        <v>145</v>
      </c>
      <c r="I97" s="24">
        <v>-330.47281579465999</v>
      </c>
      <c r="J97" s="7">
        <f t="shared" si="7"/>
        <v>-14.33176874188638</v>
      </c>
      <c r="L97" s="2">
        <v>1</v>
      </c>
      <c r="M97" s="2">
        <v>2</v>
      </c>
      <c r="N97" s="7">
        <f t="shared" si="8"/>
        <v>-10.884031238257782</v>
      </c>
      <c r="O97" s="7">
        <f t="shared" si="9"/>
        <v>-5.4420156191288909</v>
      </c>
    </row>
    <row r="98" spans="1:15" x14ac:dyDescent="0.25">
      <c r="A98" s="1" t="s">
        <v>63</v>
      </c>
      <c r="B98" s="24">
        <v>-1337.45419676283</v>
      </c>
      <c r="E98" s="16" t="s">
        <v>144</v>
      </c>
      <c r="F98" s="7">
        <f t="shared" si="5"/>
        <v>-1400.3847233467</v>
      </c>
      <c r="G98" s="7">
        <f t="shared" si="6"/>
        <v>-60.731137465618275</v>
      </c>
      <c r="H98" s="1" t="s">
        <v>145</v>
      </c>
      <c r="I98" s="24">
        <v>-330.47281579465999</v>
      </c>
      <c r="J98" s="7">
        <f t="shared" si="7"/>
        <v>-14.33176874188638</v>
      </c>
      <c r="L98" s="2">
        <v>2</v>
      </c>
      <c r="M98" s="2">
        <v>3</v>
      </c>
      <c r="N98" s="7">
        <f t="shared" si="8"/>
        <v>-17.281499981845517</v>
      </c>
      <c r="O98" s="7">
        <f t="shared" si="9"/>
        <v>-5.760499993948506</v>
      </c>
    </row>
    <row r="99" spans="1:15" x14ac:dyDescent="0.25">
      <c r="A99" s="1" t="s">
        <v>63</v>
      </c>
      <c r="B99" s="24">
        <v>-1337.45419676283</v>
      </c>
      <c r="E99" s="16" t="s">
        <v>150</v>
      </c>
      <c r="F99" s="7">
        <f t="shared" si="5"/>
        <v>-386.56397004915601</v>
      </c>
      <c r="G99" s="7">
        <f t="shared" si="6"/>
        <v>-16.76429999050929</v>
      </c>
      <c r="H99" s="1" t="s">
        <v>149</v>
      </c>
      <c r="I99" s="24">
        <v>-23.439229526730401</v>
      </c>
      <c r="J99" s="7">
        <f t="shared" si="7"/>
        <v>-1.0164999994245312</v>
      </c>
      <c r="L99" s="2">
        <v>2</v>
      </c>
      <c r="M99" s="2">
        <v>2</v>
      </c>
      <c r="N99" s="7">
        <f t="shared" si="8"/>
        <v>-4.8738999916602275</v>
      </c>
      <c r="O99" s="7">
        <f t="shared" si="9"/>
        <v>-2.4369499958301137</v>
      </c>
    </row>
    <row r="100" spans="1:15" x14ac:dyDescent="0.25">
      <c r="A100" s="1" t="s">
        <v>64</v>
      </c>
      <c r="B100" s="24">
        <v>-386.29302961930898</v>
      </c>
      <c r="E100" s="16" t="s">
        <v>151</v>
      </c>
      <c r="F100" s="7">
        <f t="shared" si="5"/>
        <v>-316.85733860861899</v>
      </c>
      <c r="G100" s="7">
        <f t="shared" si="6"/>
        <v>-13.7412999922207</v>
      </c>
      <c r="H100" s="1" t="s">
        <v>149</v>
      </c>
      <c r="I100" s="24">
        <v>-23.439229526730401</v>
      </c>
      <c r="J100" s="7">
        <f t="shared" si="7"/>
        <v>-1.0164999994245312</v>
      </c>
      <c r="L100" s="2">
        <v>1</v>
      </c>
      <c r="M100" s="2">
        <v>2</v>
      </c>
      <c r="N100" s="7">
        <f t="shared" si="8"/>
        <v>-2.8673999927961678</v>
      </c>
      <c r="O100" s="7">
        <f t="shared" si="9"/>
        <v>-1.4336999963980839</v>
      </c>
    </row>
    <row r="101" spans="1:15" x14ac:dyDescent="0.25">
      <c r="A101" s="1" t="s">
        <v>66</v>
      </c>
      <c r="B101" s="24">
        <v>-744.46013674454196</v>
      </c>
      <c r="E101" s="16" t="s">
        <v>147</v>
      </c>
      <c r="F101" s="7">
        <f t="shared" si="5"/>
        <v>-238.03788522124</v>
      </c>
      <c r="G101" s="7">
        <f t="shared" si="6"/>
        <v>-10.3230999941558</v>
      </c>
      <c r="H101" s="1" t="s">
        <v>149</v>
      </c>
      <c r="I101" s="24">
        <v>-23.439229526730401</v>
      </c>
      <c r="J101" s="7">
        <f t="shared" si="7"/>
        <v>-1.0164999994245312</v>
      </c>
      <c r="L101" s="2">
        <v>2</v>
      </c>
      <c r="M101" s="2">
        <v>1</v>
      </c>
      <c r="N101" s="7">
        <f t="shared" si="8"/>
        <v>-3.3613999953067379</v>
      </c>
      <c r="O101" s="7">
        <f t="shared" si="9"/>
        <v>-3.3613999953067379</v>
      </c>
    </row>
    <row r="102" spans="1:15" x14ac:dyDescent="0.25">
      <c r="A102" s="1" t="s">
        <v>68</v>
      </c>
      <c r="B102" s="24">
        <v>-1441.85215613473</v>
      </c>
      <c r="E102" s="16" t="s">
        <v>148</v>
      </c>
      <c r="F102" s="7">
        <f t="shared" si="5"/>
        <v>-599.07465502684795</v>
      </c>
      <c r="G102" s="7">
        <f t="shared" si="6"/>
        <v>-25.980349985291834</v>
      </c>
      <c r="H102" s="1" t="s">
        <v>149</v>
      </c>
      <c r="I102" s="24">
        <v>-23.439229526730401</v>
      </c>
      <c r="J102" s="7">
        <f t="shared" si="7"/>
        <v>-1.0164999994245312</v>
      </c>
      <c r="L102" s="2">
        <v>9</v>
      </c>
      <c r="M102" s="2">
        <v>2</v>
      </c>
      <c r="N102" s="7">
        <f t="shared" si="8"/>
        <v>-6.9744499904710526</v>
      </c>
      <c r="O102" s="7">
        <f t="shared" si="9"/>
        <v>-3.4872249952355263</v>
      </c>
    </row>
    <row r="103" spans="1:15" x14ac:dyDescent="0.25">
      <c r="A103" s="1" t="s">
        <v>70</v>
      </c>
      <c r="B103" s="24">
        <v>-479.06187986078999</v>
      </c>
      <c r="E103" s="16" t="s">
        <v>152</v>
      </c>
      <c r="F103" s="7">
        <f t="shared" si="5"/>
        <v>-1795.538081491</v>
      </c>
      <c r="G103" s="7">
        <f t="shared" si="6"/>
        <v>-77.867937455916973</v>
      </c>
      <c r="H103" s="1" t="s">
        <v>154</v>
      </c>
      <c r="I103" s="24">
        <v>-286.93975046355598</v>
      </c>
      <c r="J103" s="7">
        <f t="shared" si="7"/>
        <v>-12.443849992955215</v>
      </c>
      <c r="L103" s="2">
        <v>2</v>
      </c>
      <c r="M103" s="2">
        <v>7</v>
      </c>
      <c r="N103" s="7">
        <f t="shared" si="8"/>
        <v>-18.479337470006541</v>
      </c>
      <c r="O103" s="7">
        <f t="shared" si="9"/>
        <v>-2.6399053528580771</v>
      </c>
    </row>
    <row r="104" spans="1:15" x14ac:dyDescent="0.25">
      <c r="A104" s="1" t="s">
        <v>72</v>
      </c>
      <c r="B104" s="24">
        <v>-736.56366438701195</v>
      </c>
      <c r="E104" s="16" t="s">
        <v>153</v>
      </c>
      <c r="F104" s="7">
        <f t="shared" si="5"/>
        <v>-827.09927372375796</v>
      </c>
      <c r="G104" s="7">
        <f t="shared" si="6"/>
        <v>-35.869199979693526</v>
      </c>
      <c r="H104" s="1" t="s">
        <v>154</v>
      </c>
      <c r="I104" s="24">
        <v>-286.93975046355598</v>
      </c>
      <c r="J104" s="7">
        <f t="shared" si="7"/>
        <v>-12.443849992955215</v>
      </c>
      <c r="L104" s="2">
        <v>1</v>
      </c>
      <c r="M104" s="2">
        <v>3</v>
      </c>
      <c r="N104" s="7">
        <f t="shared" si="8"/>
        <v>-8.6392499867383101</v>
      </c>
      <c r="O104" s="7">
        <f t="shared" si="9"/>
        <v>-2.8797499955794366</v>
      </c>
    </row>
    <row r="105" spans="1:15" x14ac:dyDescent="0.25">
      <c r="A105" s="1" t="s">
        <v>74</v>
      </c>
      <c r="B105" s="24">
        <v>-150.63192608372299</v>
      </c>
      <c r="E105" s="16" t="s">
        <v>155</v>
      </c>
      <c r="F105" s="7">
        <f t="shared" si="5"/>
        <v>-482.72706976071601</v>
      </c>
      <c r="G105" s="7">
        <f t="shared" si="6"/>
        <v>-20.934649988148365</v>
      </c>
      <c r="H105" s="1" t="s">
        <v>156</v>
      </c>
      <c r="I105" s="24">
        <v>-169.64329722395999</v>
      </c>
      <c r="J105" s="7">
        <f t="shared" si="7"/>
        <v>-7.3569999958349879</v>
      </c>
      <c r="L105" s="2">
        <v>1</v>
      </c>
      <c r="M105" s="2">
        <v>2</v>
      </c>
      <c r="N105" s="7">
        <f t="shared" si="8"/>
        <v>-3.7202499923133772</v>
      </c>
      <c r="O105" s="7">
        <f t="shared" si="9"/>
        <v>-1.8601249961566886</v>
      </c>
    </row>
    <row r="106" spans="1:15" x14ac:dyDescent="0.25">
      <c r="A106" s="1" t="s">
        <v>76</v>
      </c>
      <c r="B106" s="24">
        <v>-1019.7232193852</v>
      </c>
      <c r="E106" s="16" t="s">
        <v>159</v>
      </c>
      <c r="F106" s="7">
        <f t="shared" si="5"/>
        <v>-807.66131552376203</v>
      </c>
      <c r="G106" s="7">
        <f t="shared" si="6"/>
        <v>-35.026224980170745</v>
      </c>
      <c r="H106" s="1" t="s">
        <v>158</v>
      </c>
      <c r="I106" s="24">
        <v>-213.90112820490501</v>
      </c>
      <c r="J106" s="7">
        <f t="shared" si="7"/>
        <v>-9.2763499947484167</v>
      </c>
      <c r="L106" s="2">
        <v>1</v>
      </c>
      <c r="M106" s="2">
        <v>4</v>
      </c>
      <c r="N106" s="7">
        <f t="shared" si="8"/>
        <v>-6.0350749854223302</v>
      </c>
      <c r="O106" s="7">
        <f t="shared" si="9"/>
        <v>-1.5087687463555826</v>
      </c>
    </row>
    <row r="107" spans="1:15" x14ac:dyDescent="0.25">
      <c r="A107" s="1" t="s">
        <v>78</v>
      </c>
      <c r="B107" s="24">
        <v>-763.62484863869201</v>
      </c>
      <c r="E107" s="16" t="s">
        <v>157</v>
      </c>
      <c r="F107" s="7">
        <f t="shared" si="5"/>
        <v>-543.17215025249595</v>
      </c>
      <c r="G107" s="7">
        <f t="shared" si="6"/>
        <v>-23.555999986664329</v>
      </c>
      <c r="H107" s="1" t="s">
        <v>158</v>
      </c>
      <c r="I107" s="24">
        <v>-213.90112820490501</v>
      </c>
      <c r="J107" s="7">
        <f t="shared" si="7"/>
        <v>-9.2763499947484167</v>
      </c>
      <c r="L107" s="2">
        <v>1</v>
      </c>
      <c r="M107" s="2">
        <v>2</v>
      </c>
      <c r="N107" s="7">
        <f t="shared" si="8"/>
        <v>-4.4222499919159119</v>
      </c>
      <c r="O107" s="7">
        <f t="shared" si="9"/>
        <v>-2.211124995957956</v>
      </c>
    </row>
    <row r="108" spans="1:15" x14ac:dyDescent="0.25">
      <c r="A108" s="1" t="s">
        <v>80</v>
      </c>
      <c r="B108" s="24">
        <v>-700.471805020945</v>
      </c>
      <c r="E108" s="16" t="s">
        <v>162</v>
      </c>
      <c r="F108" s="7">
        <f t="shared" si="5"/>
        <v>-1044.3854278947399</v>
      </c>
      <c r="G108" s="7">
        <f t="shared" si="6"/>
        <v>-45.292349974358551</v>
      </c>
      <c r="H108" s="1" t="s">
        <v>161</v>
      </c>
      <c r="I108" s="24">
        <v>-95.180796536115693</v>
      </c>
      <c r="J108" s="7">
        <f t="shared" si="7"/>
        <v>-4.127749997663174</v>
      </c>
      <c r="L108" s="2">
        <v>2</v>
      </c>
      <c r="M108" s="2">
        <v>5</v>
      </c>
      <c r="N108" s="7">
        <f t="shared" si="8"/>
        <v>-12.393349979032205</v>
      </c>
      <c r="O108" s="7">
        <f t="shared" si="9"/>
        <v>-2.4786699958064409</v>
      </c>
    </row>
    <row r="109" spans="1:15" x14ac:dyDescent="0.25">
      <c r="A109" s="1" t="s">
        <v>82</v>
      </c>
      <c r="B109" s="24">
        <v>-519.16452229208699</v>
      </c>
      <c r="E109" s="16" t="s">
        <v>163</v>
      </c>
      <c r="F109" s="7">
        <f t="shared" si="5"/>
        <v>-451.079786382132</v>
      </c>
      <c r="G109" s="7">
        <f t="shared" si="6"/>
        <v>-19.562187488925336</v>
      </c>
      <c r="H109" s="1" t="s">
        <v>161</v>
      </c>
      <c r="I109" s="24">
        <v>-95.180796536115693</v>
      </c>
      <c r="J109" s="7">
        <f t="shared" si="7"/>
        <v>-4.127749997663174</v>
      </c>
      <c r="L109" s="2">
        <v>1</v>
      </c>
      <c r="M109" s="2">
        <v>2</v>
      </c>
      <c r="N109" s="7">
        <f t="shared" si="8"/>
        <v>-5.5770374912621623</v>
      </c>
      <c r="O109" s="7">
        <f t="shared" si="9"/>
        <v>-2.7885187456310812</v>
      </c>
    </row>
    <row r="110" spans="1:15" x14ac:dyDescent="0.25">
      <c r="A110" s="1" t="s">
        <v>84</v>
      </c>
      <c r="B110" s="24">
        <v>-637.62169586252605</v>
      </c>
      <c r="E110" s="16" t="s">
        <v>160</v>
      </c>
      <c r="F110" s="7">
        <f t="shared" si="5"/>
        <v>-735.45799684563804</v>
      </c>
      <c r="G110" s="7">
        <f t="shared" si="6"/>
        <v>-31.894949981943437</v>
      </c>
      <c r="H110" s="1" t="s">
        <v>161</v>
      </c>
      <c r="I110" s="24">
        <v>-95.180796536115693</v>
      </c>
      <c r="J110" s="7">
        <f t="shared" si="7"/>
        <v>-4.127749997663174</v>
      </c>
      <c r="L110" s="2">
        <v>2</v>
      </c>
      <c r="M110" s="2">
        <v>3</v>
      </c>
      <c r="N110" s="7">
        <f t="shared" si="8"/>
        <v>-8.8533499866170864</v>
      </c>
      <c r="O110" s="7">
        <f t="shared" si="9"/>
        <v>-2.9511166622056955</v>
      </c>
    </row>
    <row r="111" spans="1:15" x14ac:dyDescent="0.25">
      <c r="A111" s="1" t="s">
        <v>84</v>
      </c>
      <c r="B111" s="24">
        <v>-637.62169586252605</v>
      </c>
      <c r="E111" s="16" t="s">
        <v>164</v>
      </c>
      <c r="F111" s="7">
        <f t="shared" si="5"/>
        <v>-1092.9238294327599</v>
      </c>
      <c r="G111" s="7">
        <f t="shared" si="6"/>
        <v>-47.397337473166814</v>
      </c>
      <c r="H111" s="1" t="s">
        <v>165</v>
      </c>
      <c r="I111" s="24">
        <v>-146.08185626929901</v>
      </c>
      <c r="J111" s="7">
        <f t="shared" si="7"/>
        <v>-6.3351999964134675</v>
      </c>
      <c r="L111" s="2">
        <v>2</v>
      </c>
      <c r="M111" s="2">
        <v>3</v>
      </c>
      <c r="N111" s="7">
        <f t="shared" si="8"/>
        <v>-19.940837480339876</v>
      </c>
      <c r="O111" s="7">
        <f t="shared" si="9"/>
        <v>-6.6469458267799588</v>
      </c>
    </row>
    <row r="112" spans="1:15" x14ac:dyDescent="0.25">
      <c r="A112" s="1" t="s">
        <v>85</v>
      </c>
      <c r="B112" s="24">
        <v>-251.97459975735001</v>
      </c>
      <c r="E112" s="16" t="s">
        <v>166</v>
      </c>
      <c r="F112" s="7">
        <f t="shared" si="5"/>
        <v>-897.056669179153</v>
      </c>
      <c r="G112" s="7">
        <f t="shared" si="6"/>
        <v>-38.903074977975962</v>
      </c>
      <c r="H112" s="1" t="s">
        <v>168</v>
      </c>
      <c r="I112" s="24">
        <v>-80.463542974447506</v>
      </c>
      <c r="J112" s="7">
        <f t="shared" si="7"/>
        <v>-3.4894999980245038</v>
      </c>
      <c r="L112" s="2">
        <v>2</v>
      </c>
      <c r="M112" s="2">
        <v>5</v>
      </c>
      <c r="N112" s="7">
        <f t="shared" si="8"/>
        <v>-7.2805749819269536</v>
      </c>
      <c r="O112" s="7">
        <f t="shared" si="9"/>
        <v>-1.4561149963853908</v>
      </c>
    </row>
    <row r="113" spans="1:15" x14ac:dyDescent="0.25">
      <c r="A113" s="1" t="s">
        <v>87</v>
      </c>
      <c r="B113" s="24">
        <v>-398.30894944850701</v>
      </c>
      <c r="E113" s="16" t="s">
        <v>167</v>
      </c>
      <c r="F113" s="7">
        <f t="shared" si="5"/>
        <v>-388.82026971387899</v>
      </c>
      <c r="G113" s="7">
        <f t="shared" si="6"/>
        <v>-16.862149990453911</v>
      </c>
      <c r="H113" s="1" t="s">
        <v>168</v>
      </c>
      <c r="I113" s="24">
        <v>-80.463542974447506</v>
      </c>
      <c r="J113" s="7">
        <f t="shared" si="7"/>
        <v>-3.4894999980245038</v>
      </c>
      <c r="L113" s="2">
        <v>1</v>
      </c>
      <c r="M113" s="2">
        <v>2</v>
      </c>
      <c r="N113" s="7">
        <f t="shared" si="8"/>
        <v>-3.5152499924294069</v>
      </c>
      <c r="O113" s="7">
        <f t="shared" si="9"/>
        <v>-1.7576249962147035</v>
      </c>
    </row>
    <row r="114" spans="1:15" x14ac:dyDescent="0.25">
      <c r="A114" s="1" t="s">
        <v>87</v>
      </c>
      <c r="B114" s="24">
        <v>-398.30894944850701</v>
      </c>
      <c r="E114" s="16" t="s">
        <v>169</v>
      </c>
      <c r="F114" s="7">
        <f t="shared" si="5"/>
        <v>-579.94078422417999</v>
      </c>
      <c r="G114" s="7">
        <f t="shared" si="6"/>
        <v>-25.150562485761593</v>
      </c>
      <c r="H114" s="1" t="s">
        <v>170</v>
      </c>
      <c r="I114" s="24">
        <v>-125.101843495176</v>
      </c>
      <c r="J114" s="7">
        <f t="shared" si="7"/>
        <v>-5.425349996928543</v>
      </c>
      <c r="L114" s="2">
        <v>1</v>
      </c>
      <c r="M114" s="2">
        <v>2</v>
      </c>
      <c r="N114" s="7">
        <f t="shared" si="8"/>
        <v>-9.8678124888330512</v>
      </c>
      <c r="O114" s="7">
        <f t="shared" si="9"/>
        <v>-4.9339062444165256</v>
      </c>
    </row>
    <row r="115" spans="1:15" x14ac:dyDescent="0.25">
      <c r="A115" s="1" t="s">
        <v>88</v>
      </c>
      <c r="B115" s="24">
        <v>-320.876480474343</v>
      </c>
      <c r="E115" s="16" t="s">
        <v>171</v>
      </c>
      <c r="F115" s="7">
        <f t="shared" si="5"/>
        <v>-1006.19868018386</v>
      </c>
      <c r="G115" s="7">
        <f t="shared" si="6"/>
        <v>-43.636287475296157</v>
      </c>
      <c r="H115" s="1" t="s">
        <v>172</v>
      </c>
      <c r="I115" s="24">
        <v>-108.753182664432</v>
      </c>
      <c r="J115" s="7">
        <f t="shared" si="7"/>
        <v>-4.7163499973299521</v>
      </c>
      <c r="L115" s="2">
        <v>2</v>
      </c>
      <c r="M115" s="2">
        <v>3</v>
      </c>
      <c r="N115" s="7">
        <f t="shared" si="8"/>
        <v>-19.41748748063625</v>
      </c>
      <c r="O115" s="7">
        <f t="shared" si="9"/>
        <v>-6.4724958268787498</v>
      </c>
    </row>
    <row r="116" spans="1:15" x14ac:dyDescent="0.25">
      <c r="A116" s="1" t="s">
        <v>88</v>
      </c>
      <c r="B116" s="24">
        <v>-320.876480474343</v>
      </c>
      <c r="E116" s="16" t="s">
        <v>173</v>
      </c>
      <c r="F116" s="7">
        <f t="shared" si="5"/>
        <v>-1595.8206847885599</v>
      </c>
      <c r="G116" s="7">
        <f t="shared" si="6"/>
        <v>-69.206699960820089</v>
      </c>
      <c r="H116" s="1" t="s">
        <v>175</v>
      </c>
      <c r="I116" s="24">
        <v>-92.451792291660695</v>
      </c>
      <c r="J116" s="7">
        <f t="shared" si="7"/>
        <v>-4.0093999977301769</v>
      </c>
      <c r="L116" s="2">
        <v>5</v>
      </c>
      <c r="M116" s="2">
        <v>6</v>
      </c>
      <c r="N116" s="7">
        <f t="shared" si="8"/>
        <v>-19.587499972169205</v>
      </c>
      <c r="O116" s="7">
        <f t="shared" si="9"/>
        <v>-3.2645833286948673</v>
      </c>
    </row>
    <row r="117" spans="1:15" x14ac:dyDescent="0.25">
      <c r="A117" s="1" t="s">
        <v>88</v>
      </c>
      <c r="B117" s="24">
        <v>-320.876480474343</v>
      </c>
      <c r="E117" s="16" t="s">
        <v>176</v>
      </c>
      <c r="F117" s="7">
        <f t="shared" si="5"/>
        <v>-467.05518353558801</v>
      </c>
      <c r="G117" s="7">
        <f t="shared" si="6"/>
        <v>-20.254999988533122</v>
      </c>
      <c r="H117" s="1" t="s">
        <v>175</v>
      </c>
      <c r="I117" s="24">
        <v>-92.451792291660695</v>
      </c>
      <c r="J117" s="7">
        <f t="shared" si="7"/>
        <v>-4.0093999977301769</v>
      </c>
      <c r="L117" s="2">
        <v>1</v>
      </c>
      <c r="M117" s="2">
        <v>2</v>
      </c>
      <c r="N117" s="7">
        <f t="shared" si="8"/>
        <v>-6.3881999908029439</v>
      </c>
      <c r="O117" s="7">
        <f t="shared" si="9"/>
        <v>-3.1940999954014719</v>
      </c>
    </row>
    <row r="118" spans="1:15" x14ac:dyDescent="0.25">
      <c r="A118" s="1" t="s">
        <v>89</v>
      </c>
      <c r="B118" s="24">
        <v>-1017.6098840324</v>
      </c>
      <c r="E118" s="16" t="s">
        <v>174</v>
      </c>
      <c r="F118" s="7">
        <f t="shared" si="5"/>
        <v>-282.08472854830399</v>
      </c>
      <c r="G118" s="7">
        <f t="shared" si="6"/>
        <v>-12.23329999307439</v>
      </c>
      <c r="H118" s="1" t="s">
        <v>175</v>
      </c>
      <c r="I118" s="24">
        <v>-92.451792291660695</v>
      </c>
      <c r="J118" s="7">
        <f t="shared" si="7"/>
        <v>-4.0093999977301769</v>
      </c>
      <c r="L118" s="2">
        <v>1</v>
      </c>
      <c r="M118" s="2">
        <v>1</v>
      </c>
      <c r="N118" s="7">
        <f t="shared" si="8"/>
        <v>-3.2951999953442117</v>
      </c>
      <c r="O118" s="7">
        <f t="shared" si="9"/>
        <v>-3.2951999953442117</v>
      </c>
    </row>
    <row r="119" spans="1:15" x14ac:dyDescent="0.25">
      <c r="A119" s="1" t="s">
        <v>91</v>
      </c>
      <c r="B119" s="24">
        <v>-345.09740196463099</v>
      </c>
      <c r="E119" s="16" t="s">
        <v>179</v>
      </c>
      <c r="F119" s="7">
        <f t="shared" si="5"/>
        <v>-419.12985677871899</v>
      </c>
      <c r="G119" s="7">
        <f t="shared" si="6"/>
        <v>-18.176599989709725</v>
      </c>
      <c r="H119" s="1" t="s">
        <v>178</v>
      </c>
      <c r="I119" s="24">
        <v>-38.877069337990697</v>
      </c>
      <c r="J119" s="7">
        <f t="shared" si="7"/>
        <v>-1.6859999990455123</v>
      </c>
      <c r="L119" s="2">
        <v>1</v>
      </c>
      <c r="M119" s="2">
        <v>2</v>
      </c>
      <c r="N119" s="7">
        <f t="shared" si="8"/>
        <v>-6.6331999906642114</v>
      </c>
      <c r="O119" s="7">
        <f t="shared" si="9"/>
        <v>-3.3165999953321057</v>
      </c>
    </row>
    <row r="120" spans="1:15" x14ac:dyDescent="0.25">
      <c r="A120" s="1" t="s">
        <v>93</v>
      </c>
      <c r="B120" s="24">
        <v>-467.838028437145</v>
      </c>
      <c r="E120" s="16" t="s">
        <v>177</v>
      </c>
      <c r="F120" s="7">
        <f t="shared" si="5"/>
        <v>-295.31123327681598</v>
      </c>
      <c r="G120" s="7">
        <f t="shared" si="6"/>
        <v>-12.806899992749653</v>
      </c>
      <c r="H120" s="1" t="s">
        <v>178</v>
      </c>
      <c r="I120" s="24">
        <v>-38.877069337990697</v>
      </c>
      <c r="J120" s="7">
        <f t="shared" si="7"/>
        <v>-1.6859999990455123</v>
      </c>
      <c r="L120" s="2">
        <v>1</v>
      </c>
      <c r="M120" s="2">
        <v>1</v>
      </c>
      <c r="N120" s="7">
        <f t="shared" si="8"/>
        <v>-6.1921999937041408</v>
      </c>
      <c r="O120" s="7">
        <f t="shared" si="9"/>
        <v>-6.1921999937041408</v>
      </c>
    </row>
    <row r="121" spans="1:15" x14ac:dyDescent="0.25">
      <c r="A121" s="1" t="s">
        <v>93</v>
      </c>
      <c r="B121" s="24">
        <v>-467.838028437145</v>
      </c>
      <c r="E121" s="16" t="s">
        <v>180</v>
      </c>
      <c r="F121" s="7">
        <f t="shared" si="5"/>
        <v>-1657.31032710775</v>
      </c>
      <c r="G121" s="7">
        <f t="shared" si="6"/>
        <v>-71.873349959310474</v>
      </c>
      <c r="H121" s="1" t="s">
        <v>181</v>
      </c>
      <c r="I121" s="24">
        <v>-273.37312902523598</v>
      </c>
      <c r="J121" s="7">
        <f t="shared" si="7"/>
        <v>-11.855499993288277</v>
      </c>
      <c r="L121" s="2">
        <v>2</v>
      </c>
      <c r="M121" s="2">
        <v>5</v>
      </c>
      <c r="N121" s="7">
        <f t="shared" si="8"/>
        <v>-23.518849972733921</v>
      </c>
      <c r="O121" s="7">
        <f t="shared" si="9"/>
        <v>-4.7037699945467839</v>
      </c>
    </row>
    <row r="122" spans="1:15" x14ac:dyDescent="0.25">
      <c r="A122" s="1" t="s">
        <v>94</v>
      </c>
      <c r="B122" s="24">
        <v>-1027.2879338334201</v>
      </c>
      <c r="E122" s="16" t="s">
        <v>182</v>
      </c>
      <c r="F122" s="7">
        <f t="shared" si="5"/>
        <v>-1016.33386990162</v>
      </c>
      <c r="G122" s="7">
        <f t="shared" si="6"/>
        <v>-44.075824975047226</v>
      </c>
      <c r="H122" s="1" t="s">
        <v>183</v>
      </c>
      <c r="I122" s="24">
        <v>-106.75514111156301</v>
      </c>
      <c r="J122" s="7">
        <f t="shared" si="7"/>
        <v>-4.6296999973790012</v>
      </c>
      <c r="L122" s="2">
        <v>2</v>
      </c>
      <c r="M122" s="2">
        <v>3</v>
      </c>
      <c r="N122" s="7">
        <f t="shared" si="8"/>
        <v>-20.030324980289226</v>
      </c>
      <c r="O122" s="7">
        <f t="shared" si="9"/>
        <v>-6.676774993429742</v>
      </c>
    </row>
    <row r="123" spans="1:15" x14ac:dyDescent="0.25">
      <c r="A123" s="1" t="s">
        <v>96</v>
      </c>
      <c r="B123" s="24">
        <v>-292.16140666259997</v>
      </c>
      <c r="E123" s="16" t="s">
        <v>184</v>
      </c>
      <c r="F123" s="7">
        <f t="shared" si="5"/>
        <v>-1651.6223074879699</v>
      </c>
      <c r="G123" s="7">
        <f t="shared" si="6"/>
        <v>-71.626674959450114</v>
      </c>
      <c r="H123" s="1" t="s">
        <v>186</v>
      </c>
      <c r="I123" s="24">
        <v>-238.85416532477799</v>
      </c>
      <c r="J123" s="7">
        <f t="shared" si="7"/>
        <v>-10.358499994135764</v>
      </c>
      <c r="L123" s="2">
        <v>2</v>
      </c>
      <c r="M123" s="2">
        <v>7</v>
      </c>
      <c r="N123" s="7">
        <f t="shared" si="8"/>
        <v>-16.408774971178588</v>
      </c>
      <c r="O123" s="7">
        <f t="shared" si="9"/>
        <v>-2.3441107101683696</v>
      </c>
    </row>
    <row r="124" spans="1:15" x14ac:dyDescent="0.25">
      <c r="A124" s="1" t="s">
        <v>98</v>
      </c>
      <c r="B124" s="24">
        <v>-997.64171846995896</v>
      </c>
      <c r="E124" s="16" t="s">
        <v>185</v>
      </c>
      <c r="F124" s="7">
        <f t="shared" si="5"/>
        <v>-597.898081798514</v>
      </c>
      <c r="G124" s="7">
        <f t="shared" si="6"/>
        <v>-25.929324985320719</v>
      </c>
      <c r="H124" s="1" t="s">
        <v>186</v>
      </c>
      <c r="I124" s="24">
        <v>-238.85416532477799</v>
      </c>
      <c r="J124" s="7">
        <f t="shared" si="7"/>
        <v>-10.358499994135764</v>
      </c>
      <c r="L124" s="2">
        <v>1</v>
      </c>
      <c r="M124" s="2">
        <v>2</v>
      </c>
      <c r="N124" s="7">
        <f t="shared" si="8"/>
        <v>-5.7134249911849544</v>
      </c>
      <c r="O124" s="7">
        <f t="shared" si="9"/>
        <v>-2.8567124955924772</v>
      </c>
    </row>
    <row r="125" spans="1:15" x14ac:dyDescent="0.25">
      <c r="A125" s="1" t="s">
        <v>98</v>
      </c>
      <c r="B125" s="24">
        <v>-997.64171846995896</v>
      </c>
      <c r="E125" s="16" t="s">
        <v>187</v>
      </c>
      <c r="F125" s="7">
        <f t="shared" si="5"/>
        <v>-945.41031240277903</v>
      </c>
      <c r="G125" s="7">
        <f t="shared" si="6"/>
        <v>-41.000049976788823</v>
      </c>
      <c r="H125" s="1" t="s">
        <v>189</v>
      </c>
      <c r="I125" s="24">
        <v>-72.459847382978595</v>
      </c>
      <c r="J125" s="7">
        <f t="shared" si="7"/>
        <v>-3.1423999982210056</v>
      </c>
      <c r="L125" s="2">
        <v>2</v>
      </c>
      <c r="M125" s="2">
        <v>5</v>
      </c>
      <c r="N125" s="7">
        <f t="shared" si="8"/>
        <v>-10.071749980346812</v>
      </c>
      <c r="O125" s="7">
        <f t="shared" si="9"/>
        <v>-2.0143499960693623</v>
      </c>
    </row>
    <row r="126" spans="1:15" x14ac:dyDescent="0.25">
      <c r="A126" s="1" t="s">
        <v>98</v>
      </c>
      <c r="B126" s="24">
        <v>-997.64171846995896</v>
      </c>
      <c r="E126" s="16" t="s">
        <v>190</v>
      </c>
      <c r="F126" s="7">
        <f t="shared" si="5"/>
        <v>-539.24178461272095</v>
      </c>
      <c r="G126" s="7">
        <f t="shared" si="6"/>
        <v>-23.385549986760822</v>
      </c>
      <c r="H126" s="1" t="s">
        <v>189</v>
      </c>
      <c r="I126" s="24">
        <v>-72.459847382978595</v>
      </c>
      <c r="J126" s="7">
        <f t="shared" si="7"/>
        <v>-3.1423999982210056</v>
      </c>
      <c r="L126" s="2">
        <v>1</v>
      </c>
      <c r="M126" s="2">
        <v>3</v>
      </c>
      <c r="N126" s="7">
        <f t="shared" si="8"/>
        <v>-5.4570499885398149</v>
      </c>
      <c r="O126" s="7">
        <f t="shared" si="9"/>
        <v>-1.8190166628466049</v>
      </c>
    </row>
    <row r="127" spans="1:15" x14ac:dyDescent="0.25">
      <c r="A127" s="1" t="s">
        <v>99</v>
      </c>
      <c r="B127" s="24">
        <v>-1421.8930699590301</v>
      </c>
      <c r="E127" s="16" t="s">
        <v>188</v>
      </c>
      <c r="F127" s="7">
        <f t="shared" si="5"/>
        <v>-404.484085373011</v>
      </c>
      <c r="G127" s="7">
        <f t="shared" si="6"/>
        <v>-17.541449990069328</v>
      </c>
      <c r="H127" s="1" t="s">
        <v>189</v>
      </c>
      <c r="I127" s="24">
        <v>-72.459847382978595</v>
      </c>
      <c r="J127" s="7">
        <f t="shared" si="7"/>
        <v>-3.1423999982210056</v>
      </c>
      <c r="L127" s="2">
        <v>1</v>
      </c>
      <c r="M127" s="2">
        <v>2</v>
      </c>
      <c r="N127" s="7">
        <f t="shared" si="8"/>
        <v>-4.5416499918483222</v>
      </c>
      <c r="O127" s="7">
        <f t="shared" si="9"/>
        <v>-2.2708249959241611</v>
      </c>
    </row>
    <row r="128" spans="1:15" x14ac:dyDescent="0.25">
      <c r="A128" s="1" t="s">
        <v>99</v>
      </c>
      <c r="B128" s="24">
        <v>-1421.8930699590301</v>
      </c>
      <c r="E128" s="16" t="s">
        <v>191</v>
      </c>
      <c r="F128" s="7">
        <f t="shared" si="5"/>
        <v>-701.97091265459596</v>
      </c>
      <c r="G128" s="7">
        <f t="shared" si="6"/>
        <v>-30.442699982765596</v>
      </c>
      <c r="H128" s="1" t="s">
        <v>192</v>
      </c>
      <c r="I128" s="24">
        <v>-170.890776139254</v>
      </c>
      <c r="J128" s="7">
        <f t="shared" si="7"/>
        <v>-7.4110999958043715</v>
      </c>
      <c r="L128" s="2">
        <v>1</v>
      </c>
      <c r="M128" s="2">
        <v>2</v>
      </c>
      <c r="N128" s="7">
        <f t="shared" si="8"/>
        <v>-13.174199986961225</v>
      </c>
      <c r="O128" s="7">
        <f t="shared" si="9"/>
        <v>-6.5870999934806127</v>
      </c>
    </row>
    <row r="129" spans="1:15" x14ac:dyDescent="0.25">
      <c r="A129" s="1" t="s">
        <v>100</v>
      </c>
      <c r="B129" s="24">
        <v>-417.264403095776</v>
      </c>
      <c r="E129" s="16" t="s">
        <v>200</v>
      </c>
      <c r="F129" s="7">
        <f t="shared" si="5"/>
        <v>-653.13188253324495</v>
      </c>
      <c r="G129" s="7">
        <f t="shared" si="6"/>
        <v>-28.324674983964663</v>
      </c>
      <c r="H129" s="1" t="s">
        <v>196</v>
      </c>
      <c r="I129" s="24">
        <v>-182.09810211824299</v>
      </c>
      <c r="J129" s="7">
        <f t="shared" si="7"/>
        <v>-7.8971333288625667</v>
      </c>
      <c r="L129" s="2">
        <v>1</v>
      </c>
      <c r="M129" s="2">
        <v>2</v>
      </c>
      <c r="N129" s="7">
        <f t="shared" si="8"/>
        <v>-10.570141655102097</v>
      </c>
      <c r="O129" s="7">
        <f t="shared" si="9"/>
        <v>-5.2850708275510483</v>
      </c>
    </row>
    <row r="130" spans="1:15" x14ac:dyDescent="0.25">
      <c r="A130" s="1" t="s">
        <v>102</v>
      </c>
      <c r="B130" s="24">
        <v>-564.049551544677</v>
      </c>
      <c r="E130" s="16" t="s">
        <v>198</v>
      </c>
      <c r="F130" s="7">
        <f t="shared" si="5"/>
        <v>-430.60005262155897</v>
      </c>
      <c r="G130" s="7">
        <f t="shared" si="6"/>
        <v>-18.674033322761456</v>
      </c>
      <c r="H130" s="1" t="s">
        <v>196</v>
      </c>
      <c r="I130" s="24">
        <v>-182.09810211824299</v>
      </c>
      <c r="J130" s="7">
        <f t="shared" si="7"/>
        <v>-7.8971333288625667</v>
      </c>
      <c r="L130" s="2">
        <v>1</v>
      </c>
      <c r="M130" s="2">
        <v>1</v>
      </c>
      <c r="N130" s="7">
        <f t="shared" si="8"/>
        <v>-5.8481999938988904</v>
      </c>
      <c r="O130" s="7">
        <f t="shared" si="9"/>
        <v>-5.8481999938988904</v>
      </c>
    </row>
    <row r="131" spans="1:15" x14ac:dyDescent="0.25">
      <c r="A131" s="1" t="s">
        <v>102</v>
      </c>
      <c r="B131" s="24">
        <v>-564.049551544677</v>
      </c>
      <c r="E131" s="16" t="s">
        <v>193</v>
      </c>
      <c r="F131" s="7">
        <f t="shared" ref="F131:F155" si="10">IFERROR(VLOOKUP(E131,$A$2:$B$298,2,FALSE),"")</f>
        <v>-619.34906974537</v>
      </c>
      <c r="G131" s="7">
        <f t="shared" ref="G131:G155" si="11">F131/$C$2</f>
        <v>-26.859599984794066</v>
      </c>
      <c r="H131" s="1" t="s">
        <v>196</v>
      </c>
      <c r="I131" s="24">
        <v>-182.09810211824299</v>
      </c>
      <c r="J131" s="7">
        <f t="shared" ref="J131:J155" si="12">I131/$C$2</f>
        <v>-7.8971333288625667</v>
      </c>
      <c r="L131" s="2">
        <v>2</v>
      </c>
      <c r="M131" s="2">
        <v>1</v>
      </c>
      <c r="N131" s="7">
        <f t="shared" ref="N131:N155" si="13">G131-L131*J131-M131*$K$2</f>
        <v>-6.1366333270689326</v>
      </c>
      <c r="O131" s="7">
        <f t="shared" ref="O131:O155" si="14">N131/M131</f>
        <v>-6.1366333270689326</v>
      </c>
    </row>
    <row r="132" spans="1:15" x14ac:dyDescent="0.25">
      <c r="A132" s="1" t="s">
        <v>102</v>
      </c>
      <c r="B132" s="24">
        <v>-564.049551544677</v>
      </c>
      <c r="E132" s="16" t="s">
        <v>195</v>
      </c>
      <c r="F132" s="7">
        <f t="shared" si="10"/>
        <v>-805.45343925501197</v>
      </c>
      <c r="G132" s="7">
        <f t="shared" si="11"/>
        <v>-34.930474980224957</v>
      </c>
      <c r="H132" s="1" t="s">
        <v>196</v>
      </c>
      <c r="I132" s="24">
        <v>-182.09810211824299</v>
      </c>
      <c r="J132" s="7">
        <f t="shared" si="12"/>
        <v>-7.8971333288625667</v>
      </c>
      <c r="L132" s="2">
        <v>3</v>
      </c>
      <c r="M132" s="2">
        <v>1</v>
      </c>
      <c r="N132" s="7">
        <f t="shared" si="13"/>
        <v>-6.3103749936372564</v>
      </c>
      <c r="O132" s="7">
        <f t="shared" si="14"/>
        <v>-6.3103749936372564</v>
      </c>
    </row>
    <row r="133" spans="1:15" x14ac:dyDescent="0.25">
      <c r="A133" s="1" t="s">
        <v>102</v>
      </c>
      <c r="B133" s="24">
        <v>-564.049551544677</v>
      </c>
      <c r="E133" s="16" t="s">
        <v>199</v>
      </c>
      <c r="F133" s="7">
        <f t="shared" si="10"/>
        <v>-1742.7222799753999</v>
      </c>
      <c r="G133" s="7">
        <f t="shared" si="11"/>
        <v>-75.577449957213659</v>
      </c>
      <c r="H133" s="1" t="s">
        <v>196</v>
      </c>
      <c r="I133" s="24">
        <v>-182.09810211824299</v>
      </c>
      <c r="J133" s="7">
        <f t="shared" si="12"/>
        <v>-7.8971333288625667</v>
      </c>
      <c r="L133" s="2">
        <v>3</v>
      </c>
      <c r="M133" s="2">
        <v>5</v>
      </c>
      <c r="N133" s="7">
        <f t="shared" si="13"/>
        <v>-27.242549970625962</v>
      </c>
      <c r="O133" s="7">
        <f t="shared" si="14"/>
        <v>-5.4485099941251924</v>
      </c>
    </row>
    <row r="134" spans="1:15" x14ac:dyDescent="0.25">
      <c r="A134" s="1" t="s">
        <v>103</v>
      </c>
      <c r="B134" s="24">
        <v>-6078.8973073535799</v>
      </c>
      <c r="E134" s="16" t="s">
        <v>197</v>
      </c>
      <c r="F134" s="7">
        <f t="shared" si="10"/>
        <v>-1088.2627893358999</v>
      </c>
      <c r="G134" s="7">
        <f t="shared" si="11"/>
        <v>-47.195199973281305</v>
      </c>
      <c r="H134" s="1" t="s">
        <v>196</v>
      </c>
      <c r="I134" s="24">
        <v>-182.09810211824299</v>
      </c>
      <c r="J134" s="7">
        <f t="shared" si="12"/>
        <v>-7.8971333288625667</v>
      </c>
      <c r="L134" s="2">
        <v>2</v>
      </c>
      <c r="M134" s="2">
        <v>3</v>
      </c>
      <c r="N134" s="7">
        <f t="shared" si="13"/>
        <v>-16.614833315556172</v>
      </c>
      <c r="O134" s="7">
        <f t="shared" si="14"/>
        <v>-5.5382777718520577</v>
      </c>
    </row>
    <row r="135" spans="1:15" x14ac:dyDescent="0.25">
      <c r="A135" s="1" t="s">
        <v>103</v>
      </c>
      <c r="B135" s="24">
        <v>-6078.8973073535799</v>
      </c>
      <c r="E135" s="16" t="s">
        <v>194</v>
      </c>
      <c r="F135" s="7">
        <f t="shared" si="10"/>
        <v>-1354.6894669150699</v>
      </c>
      <c r="G135" s="7">
        <f t="shared" si="11"/>
        <v>-58.749449966740187</v>
      </c>
      <c r="H135" s="1" t="s">
        <v>196</v>
      </c>
      <c r="I135" s="24">
        <v>-182.09810211824299</v>
      </c>
      <c r="J135" s="7">
        <f t="shared" si="12"/>
        <v>-7.8971333288625667</v>
      </c>
      <c r="L135" s="2">
        <v>6</v>
      </c>
      <c r="M135" s="2">
        <v>1</v>
      </c>
      <c r="N135" s="7">
        <f t="shared" si="13"/>
        <v>-6.4379499935647848</v>
      </c>
      <c r="O135" s="7">
        <f t="shared" si="14"/>
        <v>-6.4379499935647848</v>
      </c>
    </row>
    <row r="136" spans="1:15" x14ac:dyDescent="0.25">
      <c r="A136" s="1" t="s">
        <v>104</v>
      </c>
      <c r="B136" s="24">
        <v>-626.82760207813601</v>
      </c>
      <c r="E136" s="16" t="s">
        <v>204</v>
      </c>
      <c r="F136" s="7">
        <f t="shared" si="10"/>
        <v>-712.47187195265099</v>
      </c>
      <c r="G136" s="7">
        <f t="shared" si="11"/>
        <v>-30.898099982507777</v>
      </c>
      <c r="H136" s="1" t="s">
        <v>202</v>
      </c>
      <c r="I136" s="24">
        <v>-54.584696641098198</v>
      </c>
      <c r="J136" s="7">
        <f t="shared" si="12"/>
        <v>-2.3671999986598671</v>
      </c>
      <c r="L136" s="2">
        <v>4</v>
      </c>
      <c r="M136" s="2">
        <v>3</v>
      </c>
      <c r="N136" s="7">
        <f t="shared" si="13"/>
        <v>-6.6431999878683072</v>
      </c>
      <c r="O136" s="7">
        <f t="shared" si="14"/>
        <v>-2.2143999959561023</v>
      </c>
    </row>
    <row r="137" spans="1:15" x14ac:dyDescent="0.25">
      <c r="A137" s="1" t="s">
        <v>106</v>
      </c>
      <c r="B137" s="24">
        <v>-778.27811414139705</v>
      </c>
      <c r="E137" s="16" t="s">
        <v>203</v>
      </c>
      <c r="F137" s="7">
        <f t="shared" si="10"/>
        <v>-579.75112592328799</v>
      </c>
      <c r="G137" s="7">
        <f t="shared" si="11"/>
        <v>-25.142337485766276</v>
      </c>
      <c r="H137" s="1" t="s">
        <v>202</v>
      </c>
      <c r="I137" s="24">
        <v>-54.584696641098198</v>
      </c>
      <c r="J137" s="7">
        <f t="shared" si="12"/>
        <v>-2.3671999986598671</v>
      </c>
      <c r="L137" s="2">
        <v>2</v>
      </c>
      <c r="M137" s="2">
        <v>3</v>
      </c>
      <c r="N137" s="7">
        <f t="shared" si="13"/>
        <v>-5.6218374884465412</v>
      </c>
      <c r="O137" s="7">
        <f t="shared" si="14"/>
        <v>-1.8739458294821805</v>
      </c>
    </row>
    <row r="138" spans="1:15" x14ac:dyDescent="0.25">
      <c r="A138" s="1" t="s">
        <v>106</v>
      </c>
      <c r="B138" s="24">
        <v>-778.27811414139705</v>
      </c>
      <c r="E138" s="16" t="s">
        <v>201</v>
      </c>
      <c r="F138" s="7">
        <f t="shared" si="10"/>
        <v>-279.93219330352298</v>
      </c>
      <c r="G138" s="7">
        <f t="shared" si="11"/>
        <v>-12.139949993127253</v>
      </c>
      <c r="H138" s="1" t="s">
        <v>202</v>
      </c>
      <c r="I138" s="24">
        <v>-54.584696641098198</v>
      </c>
      <c r="J138" s="7">
        <f t="shared" si="12"/>
        <v>-2.3671999986598671</v>
      </c>
      <c r="L138" s="2">
        <v>2</v>
      </c>
      <c r="M138" s="2">
        <v>1</v>
      </c>
      <c r="N138" s="7">
        <f t="shared" si="13"/>
        <v>-2.4768499958075187</v>
      </c>
      <c r="O138" s="7">
        <f t="shared" si="14"/>
        <v>-2.4768499958075187</v>
      </c>
    </row>
    <row r="139" spans="1:15" x14ac:dyDescent="0.25">
      <c r="A139" s="1" t="s">
        <v>106</v>
      </c>
      <c r="B139" s="24">
        <v>-778.27811414139705</v>
      </c>
      <c r="E139" s="16" t="s">
        <v>205</v>
      </c>
      <c r="F139" s="7">
        <f t="shared" si="10"/>
        <v>-1021.57282017066</v>
      </c>
      <c r="G139" s="7">
        <f t="shared" si="11"/>
        <v>-44.303024974918856</v>
      </c>
      <c r="H139" s="1" t="s">
        <v>206</v>
      </c>
      <c r="I139" s="24">
        <v>-103.26173897354001</v>
      </c>
      <c r="J139" s="7">
        <f t="shared" si="12"/>
        <v>-4.4781999974647384</v>
      </c>
      <c r="L139" s="2">
        <v>2</v>
      </c>
      <c r="M139" s="2">
        <v>3</v>
      </c>
      <c r="N139" s="7">
        <f t="shared" si="13"/>
        <v>-20.560524979989378</v>
      </c>
      <c r="O139" s="7">
        <f t="shared" si="14"/>
        <v>-6.8535083266631256</v>
      </c>
    </row>
    <row r="140" spans="1:15" x14ac:dyDescent="0.25">
      <c r="A140" s="1" t="s">
        <v>107</v>
      </c>
      <c r="B140" s="24">
        <v>-274.95034820834297</v>
      </c>
      <c r="E140" s="16" t="s">
        <v>210</v>
      </c>
      <c r="F140" s="7">
        <f t="shared" si="10"/>
        <v>-936.67911293372197</v>
      </c>
      <c r="G140" s="7">
        <f t="shared" si="11"/>
        <v>-40.621399977003186</v>
      </c>
      <c r="H140" s="1" t="s">
        <v>209</v>
      </c>
      <c r="I140" s="24">
        <v>-260.57090548048399</v>
      </c>
      <c r="J140" s="7">
        <f t="shared" si="12"/>
        <v>-11.300299993602604</v>
      </c>
      <c r="L140" s="2">
        <v>1</v>
      </c>
      <c r="M140" s="2">
        <v>3</v>
      </c>
      <c r="N140" s="7">
        <f t="shared" si="13"/>
        <v>-14.534999983400581</v>
      </c>
      <c r="O140" s="7">
        <f t="shared" si="14"/>
        <v>-4.8449999944668605</v>
      </c>
    </row>
    <row r="141" spans="1:15" x14ac:dyDescent="0.25">
      <c r="A141" s="1" t="s">
        <v>109</v>
      </c>
      <c r="B141" s="24">
        <v>-409.19460572567698</v>
      </c>
      <c r="E141" s="16" t="s">
        <v>207</v>
      </c>
      <c r="F141" s="7">
        <f t="shared" si="10"/>
        <v>-2635.29206034249</v>
      </c>
      <c r="G141" s="7">
        <f t="shared" si="11"/>
        <v>-114.28593993529965</v>
      </c>
      <c r="H141" s="1" t="s">
        <v>209</v>
      </c>
      <c r="I141" s="24">
        <v>-260.57090548048399</v>
      </c>
      <c r="J141" s="7">
        <f t="shared" si="12"/>
        <v>-11.300299993602604</v>
      </c>
      <c r="L141" s="2">
        <v>3</v>
      </c>
      <c r="M141" s="2">
        <v>8</v>
      </c>
      <c r="N141" s="7">
        <f t="shared" si="13"/>
        <v>-40.955439954491844</v>
      </c>
      <c r="O141" s="7">
        <f t="shared" si="14"/>
        <v>-5.1194299943114805</v>
      </c>
    </row>
    <row r="142" spans="1:15" x14ac:dyDescent="0.25">
      <c r="A142" s="1" t="s">
        <v>109</v>
      </c>
      <c r="B142" s="24">
        <v>-409.19460572567698</v>
      </c>
      <c r="E142" s="16" t="s">
        <v>208</v>
      </c>
      <c r="F142" s="7">
        <f t="shared" si="10"/>
        <v>-749.25549411832696</v>
      </c>
      <c r="G142" s="7">
        <f t="shared" si="11"/>
        <v>-32.49331248160469</v>
      </c>
      <c r="H142" s="1" t="s">
        <v>209</v>
      </c>
      <c r="I142" s="24">
        <v>-260.57090548048399</v>
      </c>
      <c r="J142" s="7">
        <f t="shared" si="12"/>
        <v>-11.300299993602604</v>
      </c>
      <c r="L142" s="2">
        <v>1</v>
      </c>
      <c r="M142" s="2">
        <v>2</v>
      </c>
      <c r="N142" s="7">
        <f t="shared" si="13"/>
        <v>-11.335612488002086</v>
      </c>
      <c r="O142" s="7">
        <f t="shared" si="14"/>
        <v>-5.667806244001043</v>
      </c>
    </row>
    <row r="143" spans="1:15" x14ac:dyDescent="0.25">
      <c r="A143" s="1" t="s">
        <v>110</v>
      </c>
      <c r="B143" s="24">
        <v>-320.613610610492</v>
      </c>
      <c r="E143" s="16" t="s">
        <v>215</v>
      </c>
      <c r="F143" s="7">
        <f t="shared" si="10"/>
        <v>-1972.1546359695101</v>
      </c>
      <c r="G143" s="7">
        <f t="shared" si="11"/>
        <v>-85.527349951580661</v>
      </c>
      <c r="H143" s="1" t="s">
        <v>212</v>
      </c>
      <c r="I143" s="24">
        <v>-209.525728497382</v>
      </c>
      <c r="J143" s="7">
        <f t="shared" si="12"/>
        <v>-9.0865999948558382</v>
      </c>
      <c r="L143" s="2">
        <v>3</v>
      </c>
      <c r="M143" s="2">
        <v>7</v>
      </c>
      <c r="N143" s="7">
        <f t="shared" si="13"/>
        <v>-23.766649967013144</v>
      </c>
      <c r="O143" s="7">
        <f t="shared" si="14"/>
        <v>-3.3952357095733063</v>
      </c>
    </row>
    <row r="144" spans="1:15" x14ac:dyDescent="0.25">
      <c r="A144" s="1" t="s">
        <v>110</v>
      </c>
      <c r="B144" s="24">
        <v>-320.613610610492</v>
      </c>
      <c r="E144" s="16" t="s">
        <v>214</v>
      </c>
      <c r="F144" s="7">
        <f t="shared" si="10"/>
        <v>-1662.64843004473</v>
      </c>
      <c r="G144" s="7">
        <f t="shared" si="11"/>
        <v>-72.104849959179504</v>
      </c>
      <c r="H144" s="1" t="s">
        <v>212</v>
      </c>
      <c r="I144" s="24">
        <v>-209.525728497382</v>
      </c>
      <c r="J144" s="7">
        <f t="shared" si="12"/>
        <v>-9.0865999948558382</v>
      </c>
      <c r="L144" s="2">
        <v>3</v>
      </c>
      <c r="M144" s="2">
        <v>5</v>
      </c>
      <c r="N144" s="7">
        <f t="shared" si="13"/>
        <v>-20.201549974611989</v>
      </c>
      <c r="O144" s="7">
        <f t="shared" si="14"/>
        <v>-4.0403099949223975</v>
      </c>
    </row>
    <row r="145" spans="1:15" x14ac:dyDescent="0.25">
      <c r="A145" s="1" t="s">
        <v>110</v>
      </c>
      <c r="B145" s="24">
        <v>-320.613610610492</v>
      </c>
      <c r="E145" s="16" t="s">
        <v>213</v>
      </c>
      <c r="F145" s="7">
        <f t="shared" si="10"/>
        <v>-1359.5191241943401</v>
      </c>
      <c r="G145" s="7">
        <f t="shared" si="11"/>
        <v>-58.9588999666218</v>
      </c>
      <c r="H145" s="1" t="s">
        <v>212</v>
      </c>
      <c r="I145" s="24">
        <v>-209.525728497382</v>
      </c>
      <c r="J145" s="7">
        <f t="shared" si="12"/>
        <v>-9.0865999948558382</v>
      </c>
      <c r="L145" s="2">
        <v>2</v>
      </c>
      <c r="M145" s="2">
        <v>5</v>
      </c>
      <c r="N145" s="7">
        <f t="shared" si="13"/>
        <v>-16.142199976910124</v>
      </c>
      <c r="O145" s="7">
        <f t="shared" si="14"/>
        <v>-3.2284399953820246</v>
      </c>
    </row>
    <row r="146" spans="1:15" x14ac:dyDescent="0.25">
      <c r="A146" s="1" t="s">
        <v>111</v>
      </c>
      <c r="B146" s="24">
        <v>-1534.0658667295199</v>
      </c>
      <c r="E146" s="16" t="s">
        <v>216</v>
      </c>
      <c r="F146" s="7">
        <f t="shared" si="10"/>
        <v>-608.99107475923404</v>
      </c>
      <c r="G146" s="7">
        <f t="shared" si="11"/>
        <v>-26.410399985048375</v>
      </c>
      <c r="H146" s="1" t="s">
        <v>212</v>
      </c>
      <c r="I146" s="24">
        <v>-209.525728497382</v>
      </c>
      <c r="J146" s="7">
        <f t="shared" si="12"/>
        <v>-9.0865999948558382</v>
      </c>
      <c r="L146" s="2">
        <v>1</v>
      </c>
      <c r="M146" s="2">
        <v>2</v>
      </c>
      <c r="N146" s="7">
        <f t="shared" si="13"/>
        <v>-7.4663999901925369</v>
      </c>
      <c r="O146" s="7">
        <f t="shared" si="14"/>
        <v>-3.7331999950962684</v>
      </c>
    </row>
    <row r="147" spans="1:15" x14ac:dyDescent="0.25">
      <c r="A147" s="1" t="s">
        <v>111</v>
      </c>
      <c r="B147" s="24">
        <v>-1534.0658667295199</v>
      </c>
      <c r="E147" s="16" t="s">
        <v>211</v>
      </c>
      <c r="F147" s="7">
        <f t="shared" si="10"/>
        <v>-1052.2369356703</v>
      </c>
      <c r="G147" s="7">
        <f t="shared" si="11"/>
        <v>-45.632849974166</v>
      </c>
      <c r="H147" s="1" t="s">
        <v>212</v>
      </c>
      <c r="I147" s="24">
        <v>-209.525728497382</v>
      </c>
      <c r="J147" s="7">
        <f t="shared" si="12"/>
        <v>-9.0865999948558382</v>
      </c>
      <c r="L147" s="2">
        <v>2</v>
      </c>
      <c r="M147" s="2">
        <v>3</v>
      </c>
      <c r="N147" s="7">
        <f t="shared" si="13"/>
        <v>-12.673549984454322</v>
      </c>
      <c r="O147" s="7">
        <f t="shared" si="14"/>
        <v>-4.224516661484774</v>
      </c>
    </row>
    <row r="148" spans="1:15" x14ac:dyDescent="0.25">
      <c r="A148" s="1" t="s">
        <v>111</v>
      </c>
      <c r="B148" s="24">
        <v>-1534.0658667295199</v>
      </c>
      <c r="E148" s="16" t="s">
        <v>217</v>
      </c>
      <c r="F148" s="7">
        <f t="shared" si="10"/>
        <v>-14279.469168060001</v>
      </c>
      <c r="G148" s="7">
        <f t="shared" si="11"/>
        <v>-619.26439964941744</v>
      </c>
      <c r="H148" s="1" t="s">
        <v>219</v>
      </c>
      <c r="I148" s="24">
        <v>-298.83230592682298</v>
      </c>
      <c r="J148" s="7">
        <f t="shared" si="12"/>
        <v>-12.959599992663222</v>
      </c>
      <c r="L148" s="2">
        <v>18</v>
      </c>
      <c r="M148" s="2">
        <v>49</v>
      </c>
      <c r="N148" s="7">
        <f t="shared" si="13"/>
        <v>-144.48529978147945</v>
      </c>
      <c r="O148" s="7">
        <f t="shared" si="14"/>
        <v>-2.9486795873771317</v>
      </c>
    </row>
    <row r="149" spans="1:15" x14ac:dyDescent="0.25">
      <c r="A149" s="1" t="s">
        <v>113</v>
      </c>
      <c r="B149" s="24">
        <v>-452.820242370313</v>
      </c>
      <c r="E149" s="16" t="s">
        <v>220</v>
      </c>
      <c r="F149" s="7">
        <f t="shared" si="10"/>
        <v>-841.67241003550703</v>
      </c>
      <c r="G149" s="7">
        <f t="shared" si="11"/>
        <v>-36.501199979335709</v>
      </c>
      <c r="H149" s="1" t="s">
        <v>219</v>
      </c>
      <c r="I149" s="24">
        <v>-298.83230592682298</v>
      </c>
      <c r="J149" s="7">
        <f t="shared" si="12"/>
        <v>-12.959599992663222</v>
      </c>
      <c r="L149" s="2">
        <v>1</v>
      </c>
      <c r="M149" s="2">
        <v>3</v>
      </c>
      <c r="N149" s="7">
        <f t="shared" si="13"/>
        <v>-8.7554999866724863</v>
      </c>
      <c r="O149" s="7">
        <f t="shared" si="14"/>
        <v>-2.9184999955574953</v>
      </c>
    </row>
    <row r="150" spans="1:15" x14ac:dyDescent="0.25">
      <c r="A150" s="1" t="s">
        <v>112</v>
      </c>
      <c r="B150" s="24">
        <v>-662.30811607005</v>
      </c>
      <c r="E150" s="16" t="s">
        <v>218</v>
      </c>
      <c r="F150" s="7">
        <f t="shared" si="10"/>
        <v>-667.01440898338603</v>
      </c>
      <c r="G150" s="7">
        <f t="shared" si="11"/>
        <v>-28.926724983623838</v>
      </c>
      <c r="H150" s="1" t="s">
        <v>219</v>
      </c>
      <c r="I150" s="24">
        <v>-298.83230592682298</v>
      </c>
      <c r="J150" s="7">
        <f t="shared" si="12"/>
        <v>-12.959599992663222</v>
      </c>
      <c r="L150" s="2">
        <v>1</v>
      </c>
      <c r="M150" s="2">
        <v>2</v>
      </c>
      <c r="N150" s="7">
        <f t="shared" si="13"/>
        <v>-6.1097249909606166</v>
      </c>
      <c r="O150" s="7">
        <f t="shared" si="14"/>
        <v>-3.0548624954803083</v>
      </c>
    </row>
    <row r="151" spans="1:15" x14ac:dyDescent="0.25">
      <c r="A151" s="1" t="s">
        <v>112</v>
      </c>
      <c r="B151" s="24">
        <v>-662.30811607005</v>
      </c>
      <c r="E151" s="16" t="s">
        <v>221</v>
      </c>
      <c r="F151" s="7">
        <f t="shared" si="10"/>
        <v>-1099.2825707336599</v>
      </c>
      <c r="G151" s="7">
        <f t="shared" si="11"/>
        <v>-47.673099973010686</v>
      </c>
      <c r="H151" s="1" t="s">
        <v>222</v>
      </c>
      <c r="I151" s="24">
        <v>-149.130224339573</v>
      </c>
      <c r="J151" s="7">
        <f t="shared" si="12"/>
        <v>-6.4673999963386155</v>
      </c>
      <c r="L151" s="2">
        <v>2</v>
      </c>
      <c r="M151" s="2">
        <v>3</v>
      </c>
      <c r="N151" s="7">
        <f t="shared" si="13"/>
        <v>-19.95219998033345</v>
      </c>
      <c r="O151" s="7">
        <f t="shared" si="14"/>
        <v>-6.650733326777817</v>
      </c>
    </row>
    <row r="152" spans="1:15" x14ac:dyDescent="0.25">
      <c r="A152" s="1" t="s">
        <v>115</v>
      </c>
      <c r="B152" s="24">
        <v>-999.21331708032005</v>
      </c>
      <c r="E152" s="16" t="s">
        <v>223</v>
      </c>
      <c r="F152" s="7">
        <f t="shared" si="10"/>
        <v>-317.33234906435001</v>
      </c>
      <c r="G152" s="7">
        <f t="shared" si="11"/>
        <v>-13.761899992209036</v>
      </c>
      <c r="H152" s="1" t="s">
        <v>224</v>
      </c>
      <c r="I152" s="24">
        <v>-35.252232268042803</v>
      </c>
      <c r="J152" s="7">
        <f t="shared" si="12"/>
        <v>-1.5287999991345069</v>
      </c>
      <c r="L152" s="2">
        <v>1</v>
      </c>
      <c r="M152" s="2">
        <v>1</v>
      </c>
      <c r="N152" s="7">
        <f t="shared" si="13"/>
        <v>-7.3043999930745285</v>
      </c>
      <c r="O152" s="7">
        <f t="shared" si="14"/>
        <v>-7.3043999930745285</v>
      </c>
    </row>
    <row r="153" spans="1:15" x14ac:dyDescent="0.25">
      <c r="A153" s="1" t="s">
        <v>117</v>
      </c>
      <c r="B153" s="24">
        <v>-987.859183662747</v>
      </c>
      <c r="E153" s="16" t="s">
        <v>225</v>
      </c>
      <c r="F153" s="7">
        <f t="shared" si="10"/>
        <v>-226.042718276031</v>
      </c>
      <c r="G153" s="7">
        <f t="shared" si="11"/>
        <v>-9.8028999944503088</v>
      </c>
      <c r="H153" s="1" t="s">
        <v>226</v>
      </c>
      <c r="I153" s="24">
        <v>-29.350342649384</v>
      </c>
      <c r="J153" s="7">
        <f t="shared" si="12"/>
        <v>-1.2728499992794062</v>
      </c>
      <c r="L153" s="2">
        <v>1</v>
      </c>
      <c r="M153" s="2">
        <v>1</v>
      </c>
      <c r="N153" s="7">
        <f t="shared" si="13"/>
        <v>-3.601349995170902</v>
      </c>
      <c r="O153" s="7">
        <f t="shared" si="14"/>
        <v>-3.601349995170902</v>
      </c>
    </row>
    <row r="154" spans="1:15" x14ac:dyDescent="0.25">
      <c r="A154" s="1" t="s">
        <v>117</v>
      </c>
      <c r="B154" s="24">
        <v>-987.859183662747</v>
      </c>
      <c r="E154" s="16" t="s">
        <v>229</v>
      </c>
      <c r="F154" s="7">
        <f t="shared" si="10"/>
        <v>-689.87716951044297</v>
      </c>
      <c r="G154" s="7">
        <f t="shared" si="11"/>
        <v>-29.918224983062533</v>
      </c>
      <c r="H154" s="1" t="s">
        <v>228</v>
      </c>
      <c r="I154" s="24">
        <v>-197.09475098841901</v>
      </c>
      <c r="J154" s="7">
        <f t="shared" si="12"/>
        <v>-8.5474999951610151</v>
      </c>
      <c r="L154" s="2">
        <v>1</v>
      </c>
      <c r="M154" s="2">
        <v>2</v>
      </c>
      <c r="N154" s="7">
        <f t="shared" si="13"/>
        <v>-11.513324987901518</v>
      </c>
      <c r="O154" s="7">
        <f t="shared" si="14"/>
        <v>-5.7566624939507589</v>
      </c>
    </row>
    <row r="155" spans="1:15" x14ac:dyDescent="0.25">
      <c r="A155" s="1" t="s">
        <v>118</v>
      </c>
      <c r="B155" s="24">
        <v>-290.10571820976298</v>
      </c>
      <c r="E155" s="16" t="s">
        <v>227</v>
      </c>
      <c r="F155" s="7">
        <f t="shared" si="10"/>
        <v>-848.24473310078702</v>
      </c>
      <c r="G155" s="7">
        <f t="shared" si="11"/>
        <v>-36.786224979174378</v>
      </c>
      <c r="H155" s="1" t="s">
        <v>228</v>
      </c>
      <c r="I155" s="24">
        <v>-197.09475098841901</v>
      </c>
      <c r="J155" s="7">
        <f t="shared" si="12"/>
        <v>-8.5474999951610151</v>
      </c>
      <c r="L155" s="2">
        <v>3</v>
      </c>
      <c r="M155" s="2">
        <v>1</v>
      </c>
      <c r="N155" s="7">
        <f t="shared" si="13"/>
        <v>-6.2150249936913324</v>
      </c>
      <c r="O155" s="7">
        <f t="shared" si="14"/>
        <v>-6.2150249936913324</v>
      </c>
    </row>
    <row r="156" spans="1:15" x14ac:dyDescent="0.25">
      <c r="A156" s="1" t="s">
        <v>120</v>
      </c>
      <c r="B156" s="24">
        <v>-775.53066288895195</v>
      </c>
      <c r="E156" s="16"/>
    </row>
    <row r="157" spans="1:15" x14ac:dyDescent="0.25">
      <c r="A157" s="1" t="s">
        <v>122</v>
      </c>
      <c r="B157" s="24">
        <v>-580.50658854736002</v>
      </c>
      <c r="E157" s="16"/>
    </row>
    <row r="158" spans="1:15" x14ac:dyDescent="0.25">
      <c r="A158" s="1" t="s">
        <v>124</v>
      </c>
      <c r="B158" s="24">
        <v>-892.34288216882203</v>
      </c>
      <c r="E158" s="16"/>
    </row>
    <row r="159" spans="1:15" x14ac:dyDescent="0.25">
      <c r="A159" s="1" t="s">
        <v>124</v>
      </c>
      <c r="B159" s="24">
        <v>-892.34288216882203</v>
      </c>
      <c r="E159" s="16"/>
    </row>
    <row r="160" spans="1:15" x14ac:dyDescent="0.25">
      <c r="A160" s="1" t="s">
        <v>125</v>
      </c>
      <c r="B160" s="24">
        <v>-1215.04446349613</v>
      </c>
      <c r="E160" s="16"/>
    </row>
    <row r="161" spans="1:5" x14ac:dyDescent="0.25">
      <c r="A161" s="1" t="s">
        <v>127</v>
      </c>
      <c r="B161" s="24">
        <v>-727.10496104036702</v>
      </c>
      <c r="E161" s="16"/>
    </row>
    <row r="162" spans="1:5" x14ac:dyDescent="0.25">
      <c r="A162" s="1" t="s">
        <v>129</v>
      </c>
      <c r="B162" s="24">
        <v>-847.41865302425401</v>
      </c>
      <c r="E162" s="16"/>
    </row>
    <row r="163" spans="1:5" x14ac:dyDescent="0.25">
      <c r="A163" s="1" t="s">
        <v>129</v>
      </c>
      <c r="B163" s="24">
        <v>-847.41865302425401</v>
      </c>
      <c r="E163" s="16"/>
    </row>
    <row r="164" spans="1:5" x14ac:dyDescent="0.25">
      <c r="A164" s="1" t="s">
        <v>130</v>
      </c>
      <c r="B164" s="24">
        <v>-948.04189338628896</v>
      </c>
      <c r="E164" s="16"/>
    </row>
    <row r="165" spans="1:5" x14ac:dyDescent="0.25">
      <c r="A165" s="1" t="s">
        <v>130</v>
      </c>
      <c r="B165" s="24">
        <v>-948.04189338628896</v>
      </c>
      <c r="E165" s="16"/>
    </row>
    <row r="166" spans="1:5" x14ac:dyDescent="0.25">
      <c r="A166" s="1" t="s">
        <v>131</v>
      </c>
      <c r="B166" s="24">
        <v>-267.79218852214598</v>
      </c>
      <c r="E166" s="16"/>
    </row>
    <row r="167" spans="1:5" x14ac:dyDescent="0.25">
      <c r="A167" s="1" t="s">
        <v>133</v>
      </c>
      <c r="B167" s="24">
        <v>-404.37109744907502</v>
      </c>
      <c r="E167" s="16"/>
    </row>
    <row r="168" spans="1:5" x14ac:dyDescent="0.25">
      <c r="A168" s="1" t="s">
        <v>133</v>
      </c>
      <c r="B168" s="24">
        <v>-404.37109744907502</v>
      </c>
      <c r="E168" s="16"/>
    </row>
    <row r="169" spans="1:5" x14ac:dyDescent="0.25">
      <c r="A169" s="1" t="s">
        <v>133</v>
      </c>
      <c r="B169" s="24">
        <v>-404.37109744907502</v>
      </c>
      <c r="E169" s="16"/>
    </row>
    <row r="170" spans="1:5" x14ac:dyDescent="0.25">
      <c r="A170" s="1" t="s">
        <v>134</v>
      </c>
      <c r="B170" s="24">
        <v>-270.14259675106501</v>
      </c>
      <c r="E170" s="16"/>
    </row>
    <row r="171" spans="1:5" x14ac:dyDescent="0.25">
      <c r="A171" s="1" t="s">
        <v>136</v>
      </c>
      <c r="B171" s="24">
        <v>-398.32393764249798</v>
      </c>
      <c r="E171" s="16"/>
    </row>
    <row r="172" spans="1:5" x14ac:dyDescent="0.25">
      <c r="A172" s="1" t="s">
        <v>136</v>
      </c>
      <c r="B172" s="24">
        <v>-398.32393764249798</v>
      </c>
      <c r="E172" s="16"/>
    </row>
    <row r="173" spans="1:5" x14ac:dyDescent="0.25">
      <c r="A173" s="1" t="s">
        <v>137</v>
      </c>
      <c r="B173" s="24">
        <v>-1004.68890787372</v>
      </c>
      <c r="E173" s="16"/>
    </row>
    <row r="174" spans="1:5" x14ac:dyDescent="0.25">
      <c r="A174" s="1" t="s">
        <v>139</v>
      </c>
      <c r="B174" s="24">
        <v>-994.44101846652097</v>
      </c>
      <c r="E174" s="16"/>
    </row>
    <row r="175" spans="1:5" x14ac:dyDescent="0.25">
      <c r="A175" s="1" t="s">
        <v>141</v>
      </c>
      <c r="B175" s="24">
        <v>-1010.67697960783</v>
      </c>
      <c r="E175" s="16"/>
    </row>
    <row r="176" spans="1:5" x14ac:dyDescent="0.25">
      <c r="A176" s="1" t="s">
        <v>143</v>
      </c>
      <c r="B176" s="24">
        <v>-432.318314553253</v>
      </c>
      <c r="E176" s="16"/>
    </row>
    <row r="177" spans="1:5" x14ac:dyDescent="0.25">
      <c r="A177" s="1" t="s">
        <v>143</v>
      </c>
      <c r="B177" s="24">
        <v>-432.318314553253</v>
      </c>
      <c r="E177" s="16"/>
    </row>
    <row r="178" spans="1:5" x14ac:dyDescent="0.25">
      <c r="A178" s="1" t="s">
        <v>144</v>
      </c>
      <c r="B178" s="24">
        <v>-1400.3847233467</v>
      </c>
      <c r="E178" s="16"/>
    </row>
    <row r="179" spans="1:5" x14ac:dyDescent="0.25">
      <c r="A179" s="1" t="s">
        <v>146</v>
      </c>
      <c r="B179" s="24">
        <v>-808.74450077414895</v>
      </c>
      <c r="E179" s="16"/>
    </row>
    <row r="180" spans="1:5" x14ac:dyDescent="0.25">
      <c r="A180" s="1" t="s">
        <v>146</v>
      </c>
      <c r="B180" s="24">
        <v>-808.74450077414895</v>
      </c>
      <c r="E180" s="16"/>
    </row>
    <row r="181" spans="1:5" x14ac:dyDescent="0.25">
      <c r="A181" s="1" t="s">
        <v>147</v>
      </c>
      <c r="B181" s="24">
        <v>-238.03788522124</v>
      </c>
      <c r="E181" s="16"/>
    </row>
    <row r="182" spans="1:5" x14ac:dyDescent="0.25">
      <c r="A182" s="1" t="s">
        <v>147</v>
      </c>
      <c r="B182" s="24">
        <v>-238.03788522124</v>
      </c>
      <c r="E182" s="16"/>
    </row>
    <row r="183" spans="1:5" x14ac:dyDescent="0.25">
      <c r="A183" s="1" t="s">
        <v>150</v>
      </c>
      <c r="B183" s="24">
        <v>-386.56397004915601</v>
      </c>
      <c r="E183" s="16"/>
    </row>
    <row r="184" spans="1:5" x14ac:dyDescent="0.25">
      <c r="A184" s="1" t="s">
        <v>150</v>
      </c>
      <c r="B184" s="24">
        <v>-386.56397004915601</v>
      </c>
      <c r="E184" s="16"/>
    </row>
    <row r="185" spans="1:5" x14ac:dyDescent="0.25">
      <c r="A185" s="1" t="s">
        <v>150</v>
      </c>
      <c r="B185" s="24">
        <v>-386.56397004915601</v>
      </c>
      <c r="E185" s="16"/>
    </row>
    <row r="186" spans="1:5" x14ac:dyDescent="0.25">
      <c r="A186" s="1" t="s">
        <v>148</v>
      </c>
      <c r="B186" s="24">
        <v>-599.07465502684795</v>
      </c>
      <c r="E186" s="16"/>
    </row>
    <row r="187" spans="1:5" x14ac:dyDescent="0.25">
      <c r="A187" s="1" t="s">
        <v>151</v>
      </c>
      <c r="B187" s="24">
        <v>-316.85733860861899</v>
      </c>
      <c r="E187" s="16"/>
    </row>
    <row r="188" spans="1:5" x14ac:dyDescent="0.25">
      <c r="A188" s="1" t="s">
        <v>151</v>
      </c>
      <c r="B188" s="24">
        <v>-316.85733860861899</v>
      </c>
      <c r="E188" s="16"/>
    </row>
    <row r="189" spans="1:5" x14ac:dyDescent="0.25">
      <c r="A189" s="1" t="s">
        <v>151</v>
      </c>
      <c r="B189" s="24">
        <v>-316.85733860861899</v>
      </c>
      <c r="E189" s="16"/>
    </row>
    <row r="190" spans="1:5" x14ac:dyDescent="0.25">
      <c r="A190" s="1" t="s">
        <v>151</v>
      </c>
      <c r="B190" s="24">
        <v>-316.85733860861899</v>
      </c>
      <c r="E190" s="16"/>
    </row>
    <row r="191" spans="1:5" x14ac:dyDescent="0.25">
      <c r="A191" s="1" t="s">
        <v>152</v>
      </c>
      <c r="B191" s="24">
        <v>-1795.538081491</v>
      </c>
      <c r="E191" s="16"/>
    </row>
    <row r="192" spans="1:5" x14ac:dyDescent="0.25">
      <c r="A192" s="1" t="s">
        <v>152</v>
      </c>
      <c r="B192" s="24">
        <v>-1795.538081491</v>
      </c>
      <c r="E192" s="16"/>
    </row>
    <row r="193" spans="1:5" x14ac:dyDescent="0.25">
      <c r="A193" s="1" t="s">
        <v>153</v>
      </c>
      <c r="B193" s="24">
        <v>-827.09927372375796</v>
      </c>
      <c r="E193" s="16"/>
    </row>
    <row r="194" spans="1:5" x14ac:dyDescent="0.25">
      <c r="A194" s="1" t="s">
        <v>155</v>
      </c>
      <c r="B194" s="24">
        <v>-482.72706976071601</v>
      </c>
      <c r="E194" s="16"/>
    </row>
    <row r="195" spans="1:5" x14ac:dyDescent="0.25">
      <c r="A195" s="1" t="s">
        <v>157</v>
      </c>
      <c r="B195" s="24">
        <v>-543.17215025249595</v>
      </c>
      <c r="E195" s="16"/>
    </row>
    <row r="196" spans="1:5" x14ac:dyDescent="0.25">
      <c r="A196" s="1" t="s">
        <v>159</v>
      </c>
      <c r="B196" s="24">
        <v>-807.66131552376203</v>
      </c>
      <c r="E196" s="16"/>
    </row>
    <row r="197" spans="1:5" x14ac:dyDescent="0.25">
      <c r="A197" s="1" t="s">
        <v>159</v>
      </c>
      <c r="B197" s="24">
        <v>-807.66131552376203</v>
      </c>
      <c r="E197" s="16"/>
    </row>
    <row r="198" spans="1:5" x14ac:dyDescent="0.25">
      <c r="A198" s="1" t="s">
        <v>160</v>
      </c>
      <c r="B198" s="24">
        <v>-735.45799684563804</v>
      </c>
      <c r="E198" s="16"/>
    </row>
    <row r="199" spans="1:5" x14ac:dyDescent="0.25">
      <c r="A199" s="1" t="s">
        <v>162</v>
      </c>
      <c r="B199" s="24">
        <v>-1044.3854278947399</v>
      </c>
      <c r="E199" s="16"/>
    </row>
    <row r="200" spans="1:5" x14ac:dyDescent="0.25">
      <c r="A200" s="1" t="s">
        <v>162</v>
      </c>
      <c r="B200" s="24">
        <v>-1044.3854278947399</v>
      </c>
      <c r="E200" s="16"/>
    </row>
    <row r="201" spans="1:5" x14ac:dyDescent="0.25">
      <c r="A201" s="1" t="s">
        <v>162</v>
      </c>
      <c r="B201" s="24">
        <v>-1044.3854278947399</v>
      </c>
      <c r="E201" s="16"/>
    </row>
    <row r="202" spans="1:5" x14ac:dyDescent="0.25">
      <c r="A202" s="1" t="s">
        <v>163</v>
      </c>
      <c r="B202" s="24">
        <v>-451.079786382132</v>
      </c>
      <c r="E202" s="16"/>
    </row>
    <row r="203" spans="1:5" x14ac:dyDescent="0.25">
      <c r="A203" s="1" t="s">
        <v>163</v>
      </c>
      <c r="B203" s="24">
        <v>-451.079786382132</v>
      </c>
      <c r="E203" s="16"/>
    </row>
    <row r="204" spans="1:5" x14ac:dyDescent="0.25">
      <c r="A204" s="1" t="s">
        <v>164</v>
      </c>
      <c r="B204" s="24">
        <v>-1092.9238294327599</v>
      </c>
      <c r="E204" s="16"/>
    </row>
    <row r="205" spans="1:5" x14ac:dyDescent="0.25">
      <c r="A205" s="1" t="s">
        <v>166</v>
      </c>
      <c r="B205" s="24">
        <v>-897.056669179153</v>
      </c>
      <c r="E205" s="16"/>
    </row>
    <row r="206" spans="1:5" x14ac:dyDescent="0.25">
      <c r="A206" s="1" t="s">
        <v>166</v>
      </c>
      <c r="B206" s="24">
        <v>-897.056669179153</v>
      </c>
      <c r="E206" s="16"/>
    </row>
    <row r="207" spans="1:5" x14ac:dyDescent="0.25">
      <c r="A207" s="1" t="s">
        <v>167</v>
      </c>
      <c r="B207" s="24">
        <v>-388.82026971387899</v>
      </c>
      <c r="E207" s="16"/>
    </row>
    <row r="208" spans="1:5" x14ac:dyDescent="0.25">
      <c r="A208" s="1" t="s">
        <v>169</v>
      </c>
      <c r="B208" s="24">
        <v>-579.94078422417999</v>
      </c>
      <c r="E208" s="16"/>
    </row>
    <row r="209" spans="1:5" x14ac:dyDescent="0.25">
      <c r="A209" s="1" t="s">
        <v>171</v>
      </c>
      <c r="B209" s="24">
        <v>-1006.19868018386</v>
      </c>
      <c r="E209" s="16"/>
    </row>
    <row r="210" spans="1:5" x14ac:dyDescent="0.25">
      <c r="A210" s="1" t="s">
        <v>173</v>
      </c>
      <c r="B210" s="24">
        <v>-1595.8206847885599</v>
      </c>
      <c r="E210" s="16"/>
    </row>
    <row r="211" spans="1:5" x14ac:dyDescent="0.25">
      <c r="A211" s="1" t="s">
        <v>173</v>
      </c>
      <c r="B211" s="24">
        <v>-1595.8206847885599</v>
      </c>
      <c r="E211" s="16"/>
    </row>
    <row r="212" spans="1:5" x14ac:dyDescent="0.25">
      <c r="A212" s="1" t="s">
        <v>174</v>
      </c>
      <c r="B212" s="24">
        <v>-282.08472854830399</v>
      </c>
      <c r="E212" s="16"/>
    </row>
    <row r="213" spans="1:5" x14ac:dyDescent="0.25">
      <c r="A213" s="1" t="s">
        <v>176</v>
      </c>
      <c r="B213" s="24">
        <v>-467.05518353558801</v>
      </c>
      <c r="E213" s="16"/>
    </row>
    <row r="214" spans="1:5" x14ac:dyDescent="0.25">
      <c r="A214" s="1" t="s">
        <v>176</v>
      </c>
      <c r="B214" s="24">
        <v>-467.05518353558801</v>
      </c>
      <c r="E214" s="16"/>
    </row>
    <row r="215" spans="1:5" x14ac:dyDescent="0.25">
      <c r="A215" s="1" t="s">
        <v>176</v>
      </c>
      <c r="B215" s="24">
        <v>-467.05518353558801</v>
      </c>
      <c r="E215" s="16"/>
    </row>
    <row r="216" spans="1:5" x14ac:dyDescent="0.25">
      <c r="A216" s="1" t="s">
        <v>177</v>
      </c>
      <c r="B216" s="24">
        <v>-295.31123327681598</v>
      </c>
      <c r="E216" s="16"/>
    </row>
    <row r="217" spans="1:5" x14ac:dyDescent="0.25">
      <c r="A217" s="1" t="s">
        <v>179</v>
      </c>
      <c r="B217" s="24">
        <v>-419.12985677871899</v>
      </c>
      <c r="E217" s="16"/>
    </row>
    <row r="218" spans="1:5" x14ac:dyDescent="0.25">
      <c r="A218" s="1" t="s">
        <v>179</v>
      </c>
      <c r="B218" s="24">
        <v>-419.12985677871899</v>
      </c>
      <c r="E218" s="16"/>
    </row>
    <row r="219" spans="1:5" x14ac:dyDescent="0.25">
      <c r="A219" s="1" t="s">
        <v>180</v>
      </c>
      <c r="B219" s="24">
        <v>-1657.31032710775</v>
      </c>
      <c r="E219" s="16"/>
    </row>
    <row r="220" spans="1:5" x14ac:dyDescent="0.25">
      <c r="A220" s="1" t="s">
        <v>182</v>
      </c>
      <c r="B220" s="24">
        <v>-1016.33386990162</v>
      </c>
      <c r="E220" s="16"/>
    </row>
    <row r="221" spans="1:5" x14ac:dyDescent="0.25">
      <c r="A221" s="1" t="s">
        <v>184</v>
      </c>
      <c r="B221" s="24">
        <v>-1651.6223074879699</v>
      </c>
      <c r="E221" s="16"/>
    </row>
    <row r="222" spans="1:5" x14ac:dyDescent="0.25">
      <c r="A222" s="1" t="s">
        <v>184</v>
      </c>
      <c r="B222" s="24">
        <v>-1651.6223074879699</v>
      </c>
      <c r="E222" s="16"/>
    </row>
    <row r="223" spans="1:5" x14ac:dyDescent="0.25">
      <c r="A223" s="1" t="s">
        <v>185</v>
      </c>
      <c r="B223" s="24">
        <v>-597.898081798514</v>
      </c>
      <c r="E223" s="16"/>
    </row>
    <row r="224" spans="1:5" x14ac:dyDescent="0.25">
      <c r="A224" s="1" t="s">
        <v>187</v>
      </c>
      <c r="B224" s="24">
        <v>-945.41031240277903</v>
      </c>
      <c r="E224" s="16"/>
    </row>
    <row r="225" spans="1:5" x14ac:dyDescent="0.25">
      <c r="A225" s="1" t="s">
        <v>187</v>
      </c>
      <c r="B225" s="24">
        <v>-945.41031240277903</v>
      </c>
      <c r="E225" s="16"/>
    </row>
    <row r="226" spans="1:5" x14ac:dyDescent="0.25">
      <c r="A226" s="1" t="s">
        <v>188</v>
      </c>
      <c r="B226" s="24">
        <v>-404.484085373011</v>
      </c>
      <c r="E226" s="16"/>
    </row>
    <row r="227" spans="1:5" x14ac:dyDescent="0.25">
      <c r="A227" s="1" t="s">
        <v>190</v>
      </c>
      <c r="B227" s="24">
        <v>-539.24178461272095</v>
      </c>
      <c r="E227" s="16"/>
    </row>
    <row r="228" spans="1:5" x14ac:dyDescent="0.25">
      <c r="A228" s="1" t="s">
        <v>190</v>
      </c>
      <c r="B228" s="24">
        <v>-539.24178461272095</v>
      </c>
      <c r="E228" s="16"/>
    </row>
    <row r="229" spans="1:5" x14ac:dyDescent="0.25">
      <c r="A229" s="1" t="s">
        <v>190</v>
      </c>
      <c r="B229" s="24">
        <v>-539.24178461272095</v>
      </c>
      <c r="E229" s="16"/>
    </row>
    <row r="230" spans="1:5" x14ac:dyDescent="0.25">
      <c r="A230" s="1" t="s">
        <v>191</v>
      </c>
      <c r="B230" s="24">
        <v>-701.97091265459596</v>
      </c>
      <c r="E230" s="16"/>
    </row>
    <row r="231" spans="1:5" x14ac:dyDescent="0.25">
      <c r="A231" s="1" t="s">
        <v>193</v>
      </c>
      <c r="B231" s="24">
        <v>-619.34906974537</v>
      </c>
      <c r="E231" s="16"/>
    </row>
    <row r="232" spans="1:5" x14ac:dyDescent="0.25">
      <c r="A232" s="1" t="s">
        <v>193</v>
      </c>
      <c r="B232" s="24">
        <v>-619.34906974537</v>
      </c>
      <c r="E232" s="16"/>
    </row>
    <row r="233" spans="1:5" x14ac:dyDescent="0.25">
      <c r="A233" s="1" t="s">
        <v>193</v>
      </c>
      <c r="B233" s="24">
        <v>-619.34906974537</v>
      </c>
      <c r="E233" s="16"/>
    </row>
    <row r="234" spans="1:5" x14ac:dyDescent="0.25">
      <c r="A234" s="1" t="s">
        <v>197</v>
      </c>
      <c r="B234" s="24">
        <v>-1088.2627893358999</v>
      </c>
      <c r="E234" s="16"/>
    </row>
    <row r="235" spans="1:5" x14ac:dyDescent="0.25">
      <c r="A235" s="1" t="s">
        <v>197</v>
      </c>
      <c r="B235" s="24">
        <v>-1088.2627893358999</v>
      </c>
      <c r="E235" s="16"/>
    </row>
    <row r="236" spans="1:5" x14ac:dyDescent="0.25">
      <c r="A236" s="1" t="s">
        <v>197</v>
      </c>
      <c r="B236" s="24">
        <v>-1088.2627893358999</v>
      </c>
      <c r="E236" s="16"/>
    </row>
    <row r="237" spans="1:5" x14ac:dyDescent="0.25">
      <c r="A237" s="1" t="s">
        <v>197</v>
      </c>
      <c r="B237" s="24">
        <v>-1088.2627893358999</v>
      </c>
      <c r="E237" s="16"/>
    </row>
    <row r="238" spans="1:5" x14ac:dyDescent="0.25">
      <c r="A238" s="1" t="s">
        <v>197</v>
      </c>
      <c r="B238" s="24">
        <v>-1088.2627893358999</v>
      </c>
      <c r="E238" s="16"/>
    </row>
    <row r="239" spans="1:5" x14ac:dyDescent="0.25">
      <c r="A239" s="1" t="s">
        <v>195</v>
      </c>
      <c r="B239" s="24">
        <v>-805.45343925501197</v>
      </c>
      <c r="E239" s="16"/>
    </row>
    <row r="240" spans="1:5" x14ac:dyDescent="0.25">
      <c r="A240" s="1" t="s">
        <v>195</v>
      </c>
      <c r="B240" s="24">
        <v>-805.45343925501197</v>
      </c>
      <c r="E240" s="16"/>
    </row>
    <row r="241" spans="1:5" x14ac:dyDescent="0.25">
      <c r="A241" s="1" t="s">
        <v>199</v>
      </c>
      <c r="B241" s="24">
        <v>-1742.7222799753999</v>
      </c>
      <c r="E241" s="16"/>
    </row>
    <row r="242" spans="1:5" x14ac:dyDescent="0.25">
      <c r="A242" s="1" t="s">
        <v>199</v>
      </c>
      <c r="B242" s="24">
        <v>-1742.7222799753999</v>
      </c>
      <c r="E242" s="16"/>
    </row>
    <row r="243" spans="1:5" x14ac:dyDescent="0.25">
      <c r="A243" s="1" t="s">
        <v>199</v>
      </c>
      <c r="B243" s="24">
        <v>-1742.7222799753999</v>
      </c>
      <c r="E243" s="16"/>
    </row>
    <row r="244" spans="1:5" x14ac:dyDescent="0.25">
      <c r="A244" s="1" t="s">
        <v>199</v>
      </c>
      <c r="B244" s="24">
        <v>-1742.7222799753999</v>
      </c>
      <c r="E244" s="16"/>
    </row>
    <row r="245" spans="1:5" x14ac:dyDescent="0.25">
      <c r="A245" s="1" t="s">
        <v>199</v>
      </c>
      <c r="B245" s="24">
        <v>-1742.7222799753999</v>
      </c>
      <c r="E245" s="16"/>
    </row>
    <row r="246" spans="1:5" x14ac:dyDescent="0.25">
      <c r="A246" s="1" t="s">
        <v>199</v>
      </c>
      <c r="B246" s="24">
        <v>-1742.7222799753999</v>
      </c>
      <c r="E246" s="16"/>
    </row>
    <row r="247" spans="1:5" x14ac:dyDescent="0.25">
      <c r="A247" s="1" t="s">
        <v>194</v>
      </c>
      <c r="B247" s="24">
        <v>-1354.6894669150699</v>
      </c>
      <c r="E247" s="16"/>
    </row>
    <row r="248" spans="1:5" x14ac:dyDescent="0.25">
      <c r="A248" s="1" t="s">
        <v>198</v>
      </c>
      <c r="B248" s="24">
        <v>-430.60005262155897</v>
      </c>
      <c r="E248" s="16"/>
    </row>
    <row r="249" spans="1:5" x14ac:dyDescent="0.25">
      <c r="A249" s="1" t="s">
        <v>198</v>
      </c>
      <c r="B249" s="24">
        <v>-430.60005262155897</v>
      </c>
      <c r="E249" s="16"/>
    </row>
    <row r="250" spans="1:5" x14ac:dyDescent="0.25">
      <c r="A250" s="1" t="s">
        <v>198</v>
      </c>
      <c r="B250" s="24">
        <v>-430.60005262155897</v>
      </c>
      <c r="E250" s="16"/>
    </row>
    <row r="251" spans="1:5" x14ac:dyDescent="0.25">
      <c r="A251" s="1" t="s">
        <v>198</v>
      </c>
      <c r="B251" s="24">
        <v>-430.60005262155897</v>
      </c>
      <c r="E251" s="16"/>
    </row>
    <row r="252" spans="1:5" x14ac:dyDescent="0.25">
      <c r="A252" s="1" t="s">
        <v>200</v>
      </c>
      <c r="B252" s="24">
        <v>-653.13188253324495</v>
      </c>
      <c r="E252" s="16"/>
    </row>
    <row r="253" spans="1:5" x14ac:dyDescent="0.25">
      <c r="A253" s="1" t="s">
        <v>200</v>
      </c>
      <c r="B253" s="24">
        <v>-653.13188253324495</v>
      </c>
      <c r="E253" s="16"/>
    </row>
    <row r="254" spans="1:5" x14ac:dyDescent="0.25">
      <c r="A254" s="1" t="s">
        <v>200</v>
      </c>
      <c r="B254" s="24">
        <v>-653.13188253324495</v>
      </c>
      <c r="E254" s="16"/>
    </row>
    <row r="255" spans="1:5" x14ac:dyDescent="0.25">
      <c r="A255" s="1" t="s">
        <v>200</v>
      </c>
      <c r="B255" s="24">
        <v>-653.13188253324495</v>
      </c>
      <c r="E255" s="16"/>
    </row>
    <row r="256" spans="1:5" x14ac:dyDescent="0.25">
      <c r="A256" s="1" t="s">
        <v>200</v>
      </c>
      <c r="B256" s="24">
        <v>-653.13188253324495</v>
      </c>
      <c r="E256" s="16"/>
    </row>
    <row r="257" spans="1:5" x14ac:dyDescent="0.25">
      <c r="A257" s="1" t="s">
        <v>200</v>
      </c>
      <c r="B257" s="24">
        <v>-653.13188253324495</v>
      </c>
      <c r="E257" s="16"/>
    </row>
    <row r="258" spans="1:5" x14ac:dyDescent="0.25">
      <c r="A258" s="1" t="s">
        <v>200</v>
      </c>
      <c r="B258" s="24">
        <v>-653.13188253324495</v>
      </c>
      <c r="E258" s="16"/>
    </row>
    <row r="259" spans="1:5" x14ac:dyDescent="0.25">
      <c r="A259" s="1" t="s">
        <v>201</v>
      </c>
      <c r="B259" s="24">
        <v>-279.93219330352298</v>
      </c>
      <c r="E259" s="16"/>
    </row>
    <row r="260" spans="1:5" x14ac:dyDescent="0.25">
      <c r="A260" s="1" t="s">
        <v>203</v>
      </c>
      <c r="B260" s="24">
        <v>-579.75112592328799</v>
      </c>
      <c r="E260" s="16"/>
    </row>
    <row r="261" spans="1:5" x14ac:dyDescent="0.25">
      <c r="A261" s="1" t="s">
        <v>203</v>
      </c>
      <c r="B261" s="24">
        <v>-579.75112592328799</v>
      </c>
      <c r="E261" s="16"/>
    </row>
    <row r="262" spans="1:5" x14ac:dyDescent="0.25">
      <c r="A262" s="1" t="s">
        <v>203</v>
      </c>
      <c r="B262" s="24">
        <v>-579.75112592328799</v>
      </c>
      <c r="E262" s="16"/>
    </row>
    <row r="263" spans="1:5" x14ac:dyDescent="0.25">
      <c r="A263" s="1" t="s">
        <v>204</v>
      </c>
      <c r="B263" s="24">
        <v>-712.47187195265099</v>
      </c>
      <c r="E263" s="16"/>
    </row>
    <row r="264" spans="1:5" x14ac:dyDescent="0.25">
      <c r="A264" s="1" t="s">
        <v>204</v>
      </c>
      <c r="B264" s="24">
        <v>-712.47187195265099</v>
      </c>
      <c r="E264" s="16"/>
    </row>
    <row r="265" spans="1:5" x14ac:dyDescent="0.25">
      <c r="A265" s="1" t="s">
        <v>205</v>
      </c>
      <c r="B265" s="24">
        <v>-1021.57282017066</v>
      </c>
      <c r="E265" s="16"/>
    </row>
    <row r="266" spans="1:5" x14ac:dyDescent="0.25">
      <c r="A266" s="1" t="s">
        <v>207</v>
      </c>
      <c r="B266" s="24">
        <v>-2635.29206034249</v>
      </c>
      <c r="E266" s="16"/>
    </row>
    <row r="267" spans="1:5" x14ac:dyDescent="0.25">
      <c r="A267" s="1" t="s">
        <v>207</v>
      </c>
      <c r="B267" s="24">
        <v>-2635.29206034249</v>
      </c>
      <c r="E267" s="16"/>
    </row>
    <row r="268" spans="1:5" x14ac:dyDescent="0.25">
      <c r="A268" s="1" t="s">
        <v>208</v>
      </c>
      <c r="B268" s="24">
        <v>-749.25549411832696</v>
      </c>
      <c r="E268" s="16"/>
    </row>
    <row r="269" spans="1:5" x14ac:dyDescent="0.25">
      <c r="A269" s="1" t="s">
        <v>210</v>
      </c>
      <c r="B269" s="24">
        <v>-936.67911293372197</v>
      </c>
      <c r="E269" s="16"/>
    </row>
    <row r="270" spans="1:5" x14ac:dyDescent="0.25">
      <c r="A270" s="1" t="s">
        <v>210</v>
      </c>
      <c r="B270" s="24">
        <v>-936.67911293372197</v>
      </c>
      <c r="E270" s="16"/>
    </row>
    <row r="271" spans="1:5" x14ac:dyDescent="0.25">
      <c r="A271" s="1" t="s">
        <v>210</v>
      </c>
      <c r="B271" s="24">
        <v>-936.67911293372197</v>
      </c>
      <c r="E271" s="16"/>
    </row>
    <row r="272" spans="1:5" x14ac:dyDescent="0.25">
      <c r="A272" s="1" t="s">
        <v>211</v>
      </c>
      <c r="B272" s="24">
        <v>-1052.2369356703</v>
      </c>
      <c r="E272" s="16"/>
    </row>
    <row r="273" spans="1:5" x14ac:dyDescent="0.25">
      <c r="A273" s="1" t="s">
        <v>213</v>
      </c>
      <c r="B273" s="24">
        <v>-1359.5191241943401</v>
      </c>
      <c r="E273" s="16"/>
    </row>
    <row r="274" spans="1:5" x14ac:dyDescent="0.25">
      <c r="A274" s="1" t="s">
        <v>213</v>
      </c>
      <c r="B274" s="24">
        <v>-1359.5191241943401</v>
      </c>
      <c r="E274" s="16"/>
    </row>
    <row r="275" spans="1:5" x14ac:dyDescent="0.25">
      <c r="A275" s="1" t="s">
        <v>213</v>
      </c>
      <c r="B275" s="24">
        <v>-1359.5191241943401</v>
      </c>
      <c r="E275" s="16"/>
    </row>
    <row r="276" spans="1:5" x14ac:dyDescent="0.25">
      <c r="A276" s="1" t="s">
        <v>213</v>
      </c>
      <c r="B276" s="24">
        <v>-1359.5191241943401</v>
      </c>
      <c r="E276" s="16"/>
    </row>
    <row r="277" spans="1:5" x14ac:dyDescent="0.25">
      <c r="A277" s="1" t="s">
        <v>213</v>
      </c>
      <c r="B277" s="24">
        <v>-1359.5191241943401</v>
      </c>
      <c r="E277" s="16"/>
    </row>
    <row r="278" spans="1:5" x14ac:dyDescent="0.25">
      <c r="A278" s="1" t="s">
        <v>214</v>
      </c>
      <c r="B278" s="24">
        <v>-1662.64843004473</v>
      </c>
      <c r="E278" s="16"/>
    </row>
    <row r="279" spans="1:5" x14ac:dyDescent="0.25">
      <c r="A279" s="1" t="s">
        <v>214</v>
      </c>
      <c r="B279" s="24">
        <v>-1662.64843004473</v>
      </c>
      <c r="E279" s="16"/>
    </row>
    <row r="280" spans="1:5" x14ac:dyDescent="0.25">
      <c r="A280" s="1" t="s">
        <v>215</v>
      </c>
      <c r="B280" s="24">
        <v>-1972.1546359695101</v>
      </c>
      <c r="E280" s="16"/>
    </row>
    <row r="281" spans="1:5" x14ac:dyDescent="0.25">
      <c r="A281" s="1" t="s">
        <v>215</v>
      </c>
      <c r="B281" s="24">
        <v>-1972.1546359695101</v>
      </c>
      <c r="E281" s="16"/>
    </row>
    <row r="282" spans="1:5" x14ac:dyDescent="0.25">
      <c r="A282" s="1" t="s">
        <v>215</v>
      </c>
      <c r="B282" s="24">
        <v>-1972.1546359695101</v>
      </c>
      <c r="E282" s="16"/>
    </row>
    <row r="283" spans="1:5" x14ac:dyDescent="0.25">
      <c r="A283" s="1" t="s">
        <v>215</v>
      </c>
      <c r="B283" s="24">
        <v>-1972.1546359695101</v>
      </c>
      <c r="E283" s="16"/>
    </row>
    <row r="284" spans="1:5" x14ac:dyDescent="0.25">
      <c r="A284" s="1" t="s">
        <v>216</v>
      </c>
      <c r="B284" s="24">
        <v>-608.99107475923404</v>
      </c>
      <c r="E284" s="16"/>
    </row>
    <row r="285" spans="1:5" x14ac:dyDescent="0.25">
      <c r="A285" s="1" t="s">
        <v>216</v>
      </c>
      <c r="B285" s="24">
        <v>-608.99107475923404</v>
      </c>
      <c r="E285" s="16"/>
    </row>
    <row r="286" spans="1:5" x14ac:dyDescent="0.25">
      <c r="A286" s="1" t="s">
        <v>216</v>
      </c>
      <c r="B286" s="24">
        <v>-608.99107475923404</v>
      </c>
      <c r="E286" s="16"/>
    </row>
    <row r="287" spans="1:5" x14ac:dyDescent="0.25">
      <c r="A287" s="1" t="s">
        <v>217</v>
      </c>
      <c r="B287" s="24">
        <v>-14279.469168060001</v>
      </c>
      <c r="E287" s="16"/>
    </row>
    <row r="288" spans="1:5" x14ac:dyDescent="0.25">
      <c r="A288" s="1" t="s">
        <v>217</v>
      </c>
      <c r="B288" s="24">
        <v>-14279.469168060001</v>
      </c>
      <c r="E288" s="16"/>
    </row>
    <row r="289" spans="1:5" x14ac:dyDescent="0.25">
      <c r="A289" s="1" t="s">
        <v>218</v>
      </c>
      <c r="B289" s="24">
        <v>-667.01440898338603</v>
      </c>
      <c r="E289" s="16"/>
    </row>
    <row r="290" spans="1:5" x14ac:dyDescent="0.25">
      <c r="A290" s="1" t="s">
        <v>220</v>
      </c>
      <c r="B290" s="24">
        <v>-841.67241003550703</v>
      </c>
      <c r="E290" s="16"/>
    </row>
    <row r="291" spans="1:5" x14ac:dyDescent="0.25">
      <c r="A291" s="1" t="s">
        <v>220</v>
      </c>
      <c r="B291" s="24">
        <v>-841.67241003550703</v>
      </c>
      <c r="E291" s="16"/>
    </row>
    <row r="292" spans="1:5" x14ac:dyDescent="0.25">
      <c r="A292" s="1" t="s">
        <v>220</v>
      </c>
      <c r="B292" s="24">
        <v>-841.67241003550703</v>
      </c>
      <c r="E292" s="16"/>
    </row>
    <row r="293" spans="1:5" x14ac:dyDescent="0.25">
      <c r="A293" s="1" t="s">
        <v>221</v>
      </c>
      <c r="B293" s="24">
        <v>-1099.2825707336599</v>
      </c>
      <c r="E293" s="16"/>
    </row>
    <row r="294" spans="1:5" x14ac:dyDescent="0.25">
      <c r="A294" s="1" t="s">
        <v>223</v>
      </c>
      <c r="B294" s="24">
        <v>-317.33234906435001</v>
      </c>
      <c r="E294" s="16"/>
    </row>
    <row r="295" spans="1:5" x14ac:dyDescent="0.25">
      <c r="A295" s="1" t="s">
        <v>225</v>
      </c>
      <c r="B295" s="24">
        <v>-226.042718276031</v>
      </c>
      <c r="E295" s="16"/>
    </row>
    <row r="296" spans="1:5" x14ac:dyDescent="0.25">
      <c r="A296" s="1" t="s">
        <v>227</v>
      </c>
      <c r="B296" s="24">
        <v>-848.24473310078702</v>
      </c>
      <c r="E296" s="16"/>
    </row>
    <row r="297" spans="1:5" x14ac:dyDescent="0.25">
      <c r="A297" s="1" t="s">
        <v>229</v>
      </c>
      <c r="B297" s="24">
        <v>-689.87716951044297</v>
      </c>
      <c r="E297" s="16"/>
    </row>
    <row r="298" spans="1:5" x14ac:dyDescent="0.25">
      <c r="A298" s="1" t="s">
        <v>229</v>
      </c>
      <c r="B298" s="24">
        <v>-689.87716951044297</v>
      </c>
      <c r="E2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0254-5CEC-4CFA-8812-D61E5E995C32}">
  <dimension ref="A1:F41"/>
  <sheetViews>
    <sheetView topLeftCell="A16" workbookViewId="0">
      <selection activeCell="E46" sqref="E46"/>
    </sheetView>
  </sheetViews>
  <sheetFormatPr defaultRowHeight="15" x14ac:dyDescent="0.25"/>
  <cols>
    <col min="1" max="1" width="9.140625" style="45"/>
    <col min="2" max="2" width="40" style="45" customWidth="1"/>
    <col min="3" max="3" width="32.28515625" style="44" customWidth="1"/>
    <col min="4" max="4" width="41.42578125" style="43" customWidth="1"/>
    <col min="5" max="5" width="45.5703125" style="43" customWidth="1"/>
    <col min="6" max="6" width="54" style="43" customWidth="1"/>
    <col min="7" max="11" width="9.140625" style="45"/>
    <col min="12" max="12" width="24.140625" style="45" customWidth="1"/>
    <col min="13" max="16384" width="9.140625" style="45"/>
  </cols>
  <sheetData>
    <row r="1" spans="1:6" ht="15.75" thickBot="1" x14ac:dyDescent="0.3">
      <c r="A1" s="51" t="s">
        <v>571</v>
      </c>
      <c r="B1" s="52" t="s">
        <v>572</v>
      </c>
      <c r="C1" s="53" t="s">
        <v>573</v>
      </c>
      <c r="D1" s="100" t="s">
        <v>592</v>
      </c>
      <c r="E1" s="47" t="s">
        <v>595</v>
      </c>
      <c r="F1" s="46" t="s">
        <v>602</v>
      </c>
    </row>
    <row r="2" spans="1:6" x14ac:dyDescent="0.25">
      <c r="A2" s="160" t="s">
        <v>460</v>
      </c>
      <c r="B2" s="162" t="s">
        <v>337</v>
      </c>
      <c r="C2" s="164">
        <v>3.3904109706261301E-2</v>
      </c>
      <c r="D2" s="127">
        <v>3.0308439874054298</v>
      </c>
      <c r="E2" s="142" t="s">
        <v>326</v>
      </c>
      <c r="F2" s="169" t="s">
        <v>597</v>
      </c>
    </row>
    <row r="3" spans="1:6" ht="15.75" thickBot="1" x14ac:dyDescent="0.3">
      <c r="A3" s="161"/>
      <c r="B3" s="163"/>
      <c r="C3" s="165"/>
      <c r="D3" s="129">
        <v>3.3239820074054398</v>
      </c>
      <c r="E3" s="143"/>
      <c r="F3" s="169"/>
    </row>
    <row r="4" spans="1:6" x14ac:dyDescent="0.25">
      <c r="A4" s="160" t="s">
        <v>468</v>
      </c>
      <c r="B4" s="125">
        <v>100</v>
      </c>
      <c r="C4" s="126">
        <v>6.3377620032820797E-2</v>
      </c>
      <c r="D4" s="130">
        <v>1.91862856740539</v>
      </c>
      <c r="E4" s="142" t="s">
        <v>326</v>
      </c>
      <c r="F4" s="169" t="s">
        <v>596</v>
      </c>
    </row>
    <row r="5" spans="1:6" x14ac:dyDescent="0.25">
      <c r="A5" s="166"/>
      <c r="B5" s="131" t="s">
        <v>578</v>
      </c>
      <c r="C5" s="132">
        <v>0.32205517697242098</v>
      </c>
      <c r="D5" s="133">
        <v>2.5098057874054498</v>
      </c>
      <c r="E5" s="144"/>
      <c r="F5" s="169"/>
    </row>
    <row r="6" spans="1:6" ht="15.75" thickBot="1" x14ac:dyDescent="0.3">
      <c r="A6" s="161"/>
      <c r="B6" s="111" t="s">
        <v>579</v>
      </c>
      <c r="C6" s="112">
        <v>0.269542600903181</v>
      </c>
      <c r="D6" s="129">
        <v>-1.12009968259455</v>
      </c>
      <c r="E6" s="143"/>
      <c r="F6" s="169"/>
    </row>
    <row r="7" spans="1:6" x14ac:dyDescent="0.25">
      <c r="A7" s="167" t="s">
        <v>469</v>
      </c>
      <c r="B7" s="54" t="s">
        <v>580</v>
      </c>
      <c r="C7" s="55">
        <v>5.5445421405581598E-2</v>
      </c>
      <c r="D7" s="56">
        <v>2.3577677274054101</v>
      </c>
      <c r="E7" s="145" t="s">
        <v>603</v>
      </c>
      <c r="F7" s="169"/>
    </row>
    <row r="8" spans="1:6" ht="41.25" customHeight="1" thickBot="1" x14ac:dyDescent="0.3">
      <c r="A8" s="168"/>
      <c r="B8" s="57" t="s">
        <v>581</v>
      </c>
      <c r="C8" s="58">
        <v>0.244539410765303</v>
      </c>
      <c r="D8" s="59">
        <v>-3.8362542594540999E-2</v>
      </c>
      <c r="E8" s="146"/>
      <c r="F8" s="169"/>
    </row>
    <row r="9" spans="1:6" x14ac:dyDescent="0.25">
      <c r="A9" s="138" t="s">
        <v>470</v>
      </c>
      <c r="B9" s="125">
        <v>100</v>
      </c>
      <c r="C9" s="126">
        <v>0.13227137270485201</v>
      </c>
      <c r="D9" s="127">
        <v>0.57635066740544905</v>
      </c>
      <c r="E9" s="147" t="s">
        <v>327</v>
      </c>
      <c r="F9" s="169"/>
    </row>
    <row r="10" spans="1:6" x14ac:dyDescent="0.25">
      <c r="A10" s="152"/>
      <c r="B10" s="48" t="s">
        <v>578</v>
      </c>
      <c r="C10" s="49">
        <v>0.57080615585029004</v>
      </c>
      <c r="D10" s="62">
        <v>1.83464093740545</v>
      </c>
      <c r="E10" s="148"/>
      <c r="F10" s="169"/>
    </row>
    <row r="11" spans="1:6" ht="15.75" thickBot="1" x14ac:dyDescent="0.3">
      <c r="A11" s="139"/>
      <c r="B11" s="63" t="s">
        <v>579</v>
      </c>
      <c r="C11" s="64">
        <v>0.15876409968765501</v>
      </c>
      <c r="D11" s="65">
        <v>-0.54624473259457296</v>
      </c>
      <c r="E11" s="149"/>
      <c r="F11" s="169"/>
    </row>
    <row r="12" spans="1:6" x14ac:dyDescent="0.25">
      <c r="A12" s="153" t="s">
        <v>472</v>
      </c>
      <c r="B12" s="66" t="s">
        <v>582</v>
      </c>
      <c r="C12" s="55">
        <v>0.23859638425782301</v>
      </c>
      <c r="D12" s="67">
        <v>4.0221599874054101</v>
      </c>
      <c r="E12" s="147" t="s">
        <v>327</v>
      </c>
      <c r="F12" s="170"/>
    </row>
    <row r="13" spans="1:6" ht="15.75" thickBot="1" x14ac:dyDescent="0.3">
      <c r="A13" s="154"/>
      <c r="B13" s="71" t="s">
        <v>583</v>
      </c>
      <c r="C13" s="50">
        <v>0.37717382066015598</v>
      </c>
      <c r="D13" s="72">
        <v>-3.2670075425946798</v>
      </c>
      <c r="E13" s="149"/>
      <c r="F13" s="170"/>
    </row>
    <row r="14" spans="1:6" x14ac:dyDescent="0.25">
      <c r="A14" s="155" t="s">
        <v>473</v>
      </c>
      <c r="B14" s="114" t="s">
        <v>584</v>
      </c>
      <c r="C14" s="115">
        <v>0.15602959110056999</v>
      </c>
      <c r="D14" s="116">
        <v>1.6800129474054299</v>
      </c>
      <c r="E14" s="147" t="s">
        <v>327</v>
      </c>
      <c r="F14" s="170"/>
    </row>
    <row r="15" spans="1:6" ht="15.75" thickBot="1" x14ac:dyDescent="0.3">
      <c r="A15" s="156"/>
      <c r="B15" s="111" t="s">
        <v>585</v>
      </c>
      <c r="C15" s="112">
        <v>0.136699803612056</v>
      </c>
      <c r="D15" s="113">
        <v>1.8519125174054201</v>
      </c>
      <c r="E15" s="149"/>
      <c r="F15" s="170"/>
    </row>
    <row r="16" spans="1:6" x14ac:dyDescent="0.25">
      <c r="A16" s="140" t="s">
        <v>474</v>
      </c>
      <c r="B16" s="54">
        <v>110</v>
      </c>
      <c r="C16" s="55">
        <v>0.17338531265295301</v>
      </c>
      <c r="D16" s="56">
        <v>3.6845018674054302</v>
      </c>
      <c r="E16" s="147" t="s">
        <v>327</v>
      </c>
      <c r="F16" s="169"/>
    </row>
    <row r="17" spans="1:6" x14ac:dyDescent="0.25">
      <c r="A17" s="157"/>
      <c r="B17" s="48" t="s">
        <v>578</v>
      </c>
      <c r="C17" s="49">
        <v>0.560067840147913</v>
      </c>
      <c r="D17" s="62" t="s">
        <v>304</v>
      </c>
      <c r="E17" s="148"/>
      <c r="F17" s="169"/>
    </row>
    <row r="18" spans="1:6" ht="15.75" thickBot="1" x14ac:dyDescent="0.3">
      <c r="A18" s="141"/>
      <c r="B18" s="73" t="s">
        <v>579</v>
      </c>
      <c r="C18" s="74">
        <v>-6.5601907175453396E-3</v>
      </c>
      <c r="D18" s="75">
        <v>2.5016611374053901</v>
      </c>
      <c r="E18" s="149"/>
      <c r="F18" s="169"/>
    </row>
    <row r="19" spans="1:6" ht="15.75" thickBot="1" x14ac:dyDescent="0.3">
      <c r="A19" s="120" t="s">
        <v>475</v>
      </c>
      <c r="B19" s="121" t="s">
        <v>586</v>
      </c>
      <c r="C19" s="122">
        <v>0.124803014354723</v>
      </c>
      <c r="D19" s="128">
        <v>2.7846094374053698</v>
      </c>
      <c r="E19" s="108" t="s">
        <v>326</v>
      </c>
      <c r="F19" s="97" t="s">
        <v>598</v>
      </c>
    </row>
    <row r="20" spans="1:6" x14ac:dyDescent="0.25">
      <c r="A20" s="158" t="s">
        <v>476</v>
      </c>
      <c r="B20" s="54">
        <v>100</v>
      </c>
      <c r="C20" s="55">
        <v>0.38926066175920798</v>
      </c>
      <c r="D20" s="56">
        <v>2.5408861074054099</v>
      </c>
      <c r="E20" s="150" t="s">
        <v>327</v>
      </c>
      <c r="F20" s="169"/>
    </row>
    <row r="21" spans="1:6" ht="15.75" thickBot="1" x14ac:dyDescent="0.3">
      <c r="A21" s="159"/>
      <c r="B21" s="117">
        <v>111</v>
      </c>
      <c r="C21" s="118">
        <v>0.108073993148637</v>
      </c>
      <c r="D21" s="119">
        <v>2.1188442974054098</v>
      </c>
      <c r="E21" s="151"/>
      <c r="F21" s="169"/>
    </row>
    <row r="22" spans="1:6" ht="15.75" thickBot="1" x14ac:dyDescent="0.3">
      <c r="A22" s="78" t="s">
        <v>477</v>
      </c>
      <c r="B22" s="79" t="s">
        <v>339</v>
      </c>
      <c r="C22" s="80">
        <v>0.42132970300595002</v>
      </c>
      <c r="D22" s="101">
        <v>-0.30614277259456901</v>
      </c>
      <c r="E22" s="110" t="s">
        <v>327</v>
      </c>
      <c r="F22" s="98"/>
    </row>
    <row r="23" spans="1:6" x14ac:dyDescent="0.25">
      <c r="A23" s="138" t="s">
        <v>478</v>
      </c>
      <c r="B23" s="81" t="s">
        <v>593</v>
      </c>
      <c r="C23" s="60">
        <v>0.14058912840377499</v>
      </c>
      <c r="D23" s="61">
        <v>1.51702027740543</v>
      </c>
      <c r="E23" s="150" t="s">
        <v>327</v>
      </c>
      <c r="F23" s="170"/>
    </row>
    <row r="24" spans="1:6" ht="15.75" thickBot="1" x14ac:dyDescent="0.3">
      <c r="A24" s="139"/>
      <c r="B24" s="68" t="s">
        <v>594</v>
      </c>
      <c r="C24" s="69">
        <v>5.38402544073283E-2</v>
      </c>
      <c r="D24" s="70">
        <v>2.6014975474054101</v>
      </c>
      <c r="E24" s="151"/>
      <c r="F24" s="170"/>
    </row>
    <row r="25" spans="1:6" ht="15.75" thickBot="1" x14ac:dyDescent="0.3">
      <c r="A25" s="90" t="s">
        <v>479</v>
      </c>
      <c r="B25" s="91">
        <v>100</v>
      </c>
      <c r="C25" s="92">
        <v>8.9729637784239993E-2</v>
      </c>
      <c r="D25" s="102">
        <v>4.4432239374053699</v>
      </c>
      <c r="E25" s="110" t="s">
        <v>327</v>
      </c>
      <c r="F25" s="97"/>
    </row>
    <row r="26" spans="1:6" ht="15.75" thickBot="1" x14ac:dyDescent="0.3">
      <c r="A26" s="120" t="s">
        <v>480</v>
      </c>
      <c r="B26" s="134" t="s">
        <v>587</v>
      </c>
      <c r="C26" s="122">
        <v>0.204857357893384</v>
      </c>
      <c r="D26" s="123">
        <v>3.54274209740549</v>
      </c>
      <c r="E26" s="108" t="s">
        <v>326</v>
      </c>
      <c r="F26" s="98" t="s">
        <v>600</v>
      </c>
    </row>
    <row r="27" spans="1:6" ht="15.75" thickBot="1" x14ac:dyDescent="0.3">
      <c r="A27" s="83" t="s">
        <v>481</v>
      </c>
      <c r="B27" s="84" t="s">
        <v>588</v>
      </c>
      <c r="C27" s="85">
        <v>-0.14093733148086199</v>
      </c>
      <c r="D27" s="104">
        <v>2.7234189674054501</v>
      </c>
      <c r="E27" s="110" t="s">
        <v>327</v>
      </c>
      <c r="F27" s="98"/>
    </row>
    <row r="28" spans="1:6" ht="15.75" thickBot="1" x14ac:dyDescent="0.3">
      <c r="A28" s="124" t="s">
        <v>482</v>
      </c>
      <c r="B28" s="125">
        <v>100</v>
      </c>
      <c r="C28" s="126" t="s">
        <v>304</v>
      </c>
      <c r="D28" s="127" t="s">
        <v>304</v>
      </c>
      <c r="E28" s="109" t="s">
        <v>326</v>
      </c>
      <c r="F28" s="97" t="s">
        <v>601</v>
      </c>
    </row>
    <row r="29" spans="1:6" ht="15.75" thickBot="1" x14ac:dyDescent="0.3">
      <c r="A29" s="120" t="s">
        <v>483</v>
      </c>
      <c r="B29" s="121">
        <v>100</v>
      </c>
      <c r="C29" s="122" t="s">
        <v>304</v>
      </c>
      <c r="D29" s="123" t="s">
        <v>304</v>
      </c>
      <c r="E29" s="108" t="s">
        <v>326</v>
      </c>
      <c r="F29" s="97" t="s">
        <v>601</v>
      </c>
    </row>
    <row r="30" spans="1:6" ht="15.75" thickBot="1" x14ac:dyDescent="0.3">
      <c r="A30" s="86" t="s">
        <v>484</v>
      </c>
      <c r="B30" s="87" t="s">
        <v>576</v>
      </c>
      <c r="C30" s="88">
        <v>6.4521514360412494E-2</v>
      </c>
      <c r="D30" s="103">
        <v>1.5824281774054001</v>
      </c>
      <c r="E30" s="110" t="s">
        <v>327</v>
      </c>
      <c r="F30" s="98"/>
    </row>
    <row r="31" spans="1:6" ht="15.75" thickBot="1" x14ac:dyDescent="0.3">
      <c r="A31" s="76" t="s">
        <v>485</v>
      </c>
      <c r="B31" s="89" t="s">
        <v>577</v>
      </c>
      <c r="C31" s="77">
        <v>2.36465648743483E-2</v>
      </c>
      <c r="D31" s="106">
        <v>-1.0979680625945301</v>
      </c>
      <c r="E31" s="110" t="s">
        <v>327</v>
      </c>
      <c r="F31" s="98"/>
    </row>
    <row r="32" spans="1:6" ht="15.75" thickBot="1" x14ac:dyDescent="0.3">
      <c r="A32" s="51" t="s">
        <v>486</v>
      </c>
      <c r="B32" s="52">
        <v>100</v>
      </c>
      <c r="C32" s="53">
        <v>4.4790606214817202E-2</v>
      </c>
      <c r="D32" s="100">
        <v>2.5795764374054202</v>
      </c>
      <c r="E32" s="110" t="s">
        <v>327</v>
      </c>
      <c r="F32" s="97"/>
    </row>
    <row r="33" spans="1:6" ht="15.75" thickBot="1" x14ac:dyDescent="0.3">
      <c r="A33" s="90" t="s">
        <v>488</v>
      </c>
      <c r="B33" s="91" t="s">
        <v>586</v>
      </c>
      <c r="C33" s="92">
        <v>1.19721945732916E-2</v>
      </c>
      <c r="D33" s="102">
        <v>2.33145475740548</v>
      </c>
      <c r="E33" s="110" t="s">
        <v>327</v>
      </c>
      <c r="F33" s="97"/>
    </row>
    <row r="34" spans="1:6" ht="15.75" thickBot="1" x14ac:dyDescent="0.3">
      <c r="A34" s="51" t="s">
        <v>487</v>
      </c>
      <c r="B34" s="82" t="s">
        <v>574</v>
      </c>
      <c r="C34" s="53">
        <v>-2.4514926757940601E-4</v>
      </c>
      <c r="D34" s="100">
        <v>3.69205014740538</v>
      </c>
      <c r="E34" s="108" t="s">
        <v>326</v>
      </c>
      <c r="F34" s="98" t="s">
        <v>600</v>
      </c>
    </row>
    <row r="35" spans="1:6" ht="15.75" thickBot="1" x14ac:dyDescent="0.3">
      <c r="A35" s="120" t="s">
        <v>489</v>
      </c>
      <c r="B35" s="121">
        <v>100</v>
      </c>
      <c r="C35" s="122">
        <v>6.1160966190277897E-3</v>
      </c>
      <c r="D35" s="123">
        <v>1.9454189574054199</v>
      </c>
      <c r="E35" s="108" t="s">
        <v>326</v>
      </c>
      <c r="F35" s="97" t="s">
        <v>598</v>
      </c>
    </row>
    <row r="36" spans="1:6" ht="15.75" thickBot="1" x14ac:dyDescent="0.3">
      <c r="A36" s="93" t="s">
        <v>490</v>
      </c>
      <c r="B36" s="94" t="s">
        <v>575</v>
      </c>
      <c r="C36" s="95">
        <v>-9.9338640216688701E-2</v>
      </c>
      <c r="D36" s="105">
        <v>1.6440883274053699</v>
      </c>
      <c r="E36" s="110" t="s">
        <v>327</v>
      </c>
      <c r="F36" s="98"/>
    </row>
    <row r="37" spans="1:6" ht="15.75" thickBot="1" x14ac:dyDescent="0.3">
      <c r="A37" s="51" t="s">
        <v>491</v>
      </c>
      <c r="B37" s="82" t="s">
        <v>577</v>
      </c>
      <c r="C37" s="53">
        <v>8.1780585302742098E-2</v>
      </c>
      <c r="D37" s="100">
        <v>2.4371837874053801</v>
      </c>
      <c r="E37" s="110" t="s">
        <v>327</v>
      </c>
      <c r="F37" s="98" t="s">
        <v>599</v>
      </c>
    </row>
    <row r="38" spans="1:6" ht="15.75" thickBot="1" x14ac:dyDescent="0.3">
      <c r="A38" s="83" t="s">
        <v>492</v>
      </c>
      <c r="B38" s="84" t="s">
        <v>577</v>
      </c>
      <c r="C38" s="85">
        <v>-8.0581676791333205E-3</v>
      </c>
      <c r="D38" s="104">
        <v>1.99464387740545</v>
      </c>
      <c r="E38" s="110" t="s">
        <v>327</v>
      </c>
      <c r="F38" s="98"/>
    </row>
    <row r="39" spans="1:6" x14ac:dyDescent="0.25">
      <c r="A39" s="140" t="s">
        <v>493</v>
      </c>
      <c r="B39" s="66" t="s">
        <v>590</v>
      </c>
      <c r="C39" s="55">
        <v>0.11314757691313</v>
      </c>
      <c r="D39" s="67">
        <v>5.2656480574054196</v>
      </c>
      <c r="E39" s="150" t="s">
        <v>327</v>
      </c>
      <c r="F39" s="170"/>
    </row>
    <row r="40" spans="1:6" ht="15.75" thickBot="1" x14ac:dyDescent="0.3">
      <c r="A40" s="141"/>
      <c r="B40" s="96" t="s">
        <v>591</v>
      </c>
      <c r="C40" s="74">
        <v>-0.116880126830938</v>
      </c>
      <c r="D40" s="107">
        <v>2.3158929874053902</v>
      </c>
      <c r="E40" s="151"/>
      <c r="F40" s="170"/>
    </row>
    <row r="41" spans="1:6" ht="15.75" thickBot="1" x14ac:dyDescent="0.3">
      <c r="A41" s="76" t="s">
        <v>494</v>
      </c>
      <c r="B41" s="89" t="s">
        <v>589</v>
      </c>
      <c r="C41" s="77">
        <v>8.3487218640498795E-2</v>
      </c>
      <c r="D41" s="106">
        <v>4.2852767774054401</v>
      </c>
      <c r="E41" s="110" t="s">
        <v>327</v>
      </c>
      <c r="F41" s="99"/>
    </row>
  </sheetData>
  <mergeCells count="32">
    <mergeCell ref="F7:F8"/>
    <mergeCell ref="F4:F6"/>
    <mergeCell ref="F2:F3"/>
    <mergeCell ref="F39:F40"/>
    <mergeCell ref="F9:F11"/>
    <mergeCell ref="F12:F13"/>
    <mergeCell ref="F14:F15"/>
    <mergeCell ref="F16:F18"/>
    <mergeCell ref="F23:F24"/>
    <mergeCell ref="F20:F21"/>
    <mergeCell ref="A20:A21"/>
    <mergeCell ref="A2:A3"/>
    <mergeCell ref="B2:B3"/>
    <mergeCell ref="C2:C3"/>
    <mergeCell ref="A4:A6"/>
    <mergeCell ref="A7:A8"/>
    <mergeCell ref="A23:A24"/>
    <mergeCell ref="A39:A40"/>
    <mergeCell ref="E2:E3"/>
    <mergeCell ref="E4:E6"/>
    <mergeCell ref="E7:E8"/>
    <mergeCell ref="E9:E11"/>
    <mergeCell ref="E12:E13"/>
    <mergeCell ref="E14:E15"/>
    <mergeCell ref="E16:E18"/>
    <mergeCell ref="E20:E21"/>
    <mergeCell ref="E23:E24"/>
    <mergeCell ref="E39:E40"/>
    <mergeCell ref="A9:A11"/>
    <mergeCell ref="A12:A13"/>
    <mergeCell ref="A14:A15"/>
    <mergeCell ref="A16:A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reduced_properties</vt:lpstr>
      <vt:lpstr>oxide_properties</vt:lpstr>
      <vt:lpstr>oxide_pairs</vt:lpstr>
      <vt:lpstr>oxide_correlation</vt:lpstr>
      <vt:lpstr>bulk_vacancy</vt:lpstr>
      <vt:lpstr>goxide_per_o_atom</vt:lpstr>
      <vt:lpstr>surface_formation_energy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cp:lastPrinted>2020-01-29T18:52:47Z</cp:lastPrinted>
  <dcterms:created xsi:type="dcterms:W3CDTF">2019-10-17T13:37:52Z</dcterms:created>
  <dcterms:modified xsi:type="dcterms:W3CDTF">2020-02-07T16:28:36Z</dcterms:modified>
</cp:coreProperties>
</file>