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202300"/>
  <mc:AlternateContent xmlns:mc="http://schemas.openxmlformats.org/markup-compatibility/2006">
    <mc:Choice Requires="x15">
      <x15ac:absPath xmlns:x15ac="http://schemas.microsoft.com/office/spreadsheetml/2010/11/ac" url="G:\Shared drives\UKB Taskforce Next Narcis\vervolg2025\"/>
    </mc:Choice>
  </mc:AlternateContent>
  <xr:revisionPtr revIDLastSave="0" documentId="13_ncr:1_{72432B97-D29A-471F-967B-A3359FA8511D}" xr6:coauthVersionLast="47" xr6:coauthVersionMax="47" xr10:uidLastSave="{00000000-0000-0000-0000-000000000000}"/>
  <bookViews>
    <workbookView xWindow="25695" yWindow="0" windowWidth="26010" windowHeight="20985" activeTab="2" xr2:uid="{34CAB9D6-150E-468B-AF86-B5CA8533273B}"/>
  </bookViews>
  <sheets>
    <sheet name="org_stats_2020_2023" sheetId="1" r:id="rId1"/>
    <sheet name="Kostenverdeelmodel" sheetId="3" r:id="rId2"/>
    <sheet name="mailmerge tabel" sheetId="4" r:id="rId3"/>
    <sheet name="oud-var1-Meer dan 1000"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7" i="4" l="1"/>
  <c r="K27" i="4"/>
  <c r="I27" i="4"/>
  <c r="D27" i="4"/>
  <c r="E27" i="4"/>
  <c r="F27" i="4"/>
  <c r="G27" i="4"/>
  <c r="H27" i="4"/>
  <c r="C2" i="4"/>
  <c r="C3" i="4"/>
  <c r="C4" i="4"/>
  <c r="C5" i="4"/>
  <c r="C6" i="4"/>
  <c r="C7" i="4"/>
  <c r="C8" i="4"/>
  <c r="C9" i="4"/>
  <c r="C10" i="4"/>
  <c r="C11" i="4"/>
  <c r="C12" i="4"/>
  <c r="C13" i="4"/>
  <c r="C14" i="4"/>
  <c r="C15" i="4"/>
  <c r="C16" i="4"/>
  <c r="C17" i="4"/>
  <c r="C18" i="4"/>
  <c r="C19" i="4"/>
  <c r="C20" i="4"/>
  <c r="C21" i="4"/>
  <c r="C22" i="4"/>
  <c r="C23" i="4"/>
  <c r="C24" i="4"/>
  <c r="C25" i="4"/>
  <c r="C26" i="4"/>
  <c r="C27" i="4"/>
  <c r="O27" i="4"/>
  <c r="G5" i="3"/>
  <c r="E29" i="3"/>
  <c r="E6" i="3"/>
  <c r="E7" i="3"/>
  <c r="E8" i="3"/>
  <c r="E9" i="3"/>
  <c r="E10" i="3"/>
  <c r="E11" i="3"/>
  <c r="E12" i="3"/>
  <c r="E13" i="3"/>
  <c r="E14" i="3"/>
  <c r="E15" i="3"/>
  <c r="E16" i="3"/>
  <c r="E17" i="3"/>
  <c r="E18" i="3"/>
  <c r="E19" i="3"/>
  <c r="E20" i="3"/>
  <c r="E21" i="3"/>
  <c r="E22" i="3"/>
  <c r="E23" i="3"/>
  <c r="E24" i="3"/>
  <c r="E25" i="3"/>
  <c r="E26" i="3"/>
  <c r="E27" i="3"/>
  <c r="E28" i="3"/>
  <c r="E5" i="3"/>
  <c r="B26" i="4"/>
  <c r="B25" i="4"/>
  <c r="B24" i="4"/>
  <c r="B23" i="4"/>
  <c r="B22" i="4"/>
  <c r="B21" i="4"/>
  <c r="B20" i="4"/>
  <c r="B19" i="4"/>
  <c r="B18" i="4"/>
  <c r="B17" i="4"/>
  <c r="B16" i="4"/>
  <c r="B15" i="4"/>
  <c r="B14" i="4"/>
  <c r="B13" i="4"/>
  <c r="B12" i="4"/>
  <c r="B11" i="4"/>
  <c r="B10" i="4"/>
  <c r="B9" i="4"/>
  <c r="B8" i="4"/>
  <c r="B7" i="4"/>
  <c r="B6" i="4"/>
  <c r="B5" i="4"/>
  <c r="B4" i="4"/>
  <c r="B3" i="4"/>
  <c r="B2" i="4"/>
  <c r="A26" i="4"/>
  <c r="A25" i="4"/>
  <c r="A24" i="4"/>
  <c r="A23" i="4"/>
  <c r="A22" i="4"/>
  <c r="A21" i="4"/>
  <c r="A20" i="4"/>
  <c r="A19" i="4"/>
  <c r="A18" i="4"/>
  <c r="A17" i="4"/>
  <c r="A16" i="4"/>
  <c r="A15" i="4"/>
  <c r="A14" i="4"/>
  <c r="A13" i="4"/>
  <c r="A12" i="4"/>
  <c r="A11" i="4"/>
  <c r="A10" i="4"/>
  <c r="A9" i="4"/>
  <c r="A8" i="4"/>
  <c r="A7" i="4"/>
  <c r="A6" i="4"/>
  <c r="A5" i="4"/>
  <c r="A4" i="4"/>
  <c r="A3" i="4"/>
  <c r="A2" i="4"/>
  <c r="I2" i="4"/>
  <c r="I3" i="4"/>
  <c r="I4" i="4"/>
  <c r="I5" i="4"/>
  <c r="I6" i="4"/>
  <c r="I7" i="4"/>
  <c r="I8" i="4"/>
  <c r="I9" i="4"/>
  <c r="I10" i="4"/>
  <c r="I11" i="4"/>
  <c r="I12" i="4"/>
  <c r="I13" i="4"/>
  <c r="I14" i="4"/>
  <c r="I15" i="4"/>
  <c r="I16" i="4"/>
  <c r="I17" i="4"/>
  <c r="I18" i="4"/>
  <c r="I19" i="4"/>
  <c r="I20" i="4"/>
  <c r="I21" i="4"/>
  <c r="I22" i="4"/>
  <c r="I23" i="4"/>
  <c r="I24" i="4"/>
  <c r="I25" i="4"/>
  <c r="I26" i="4"/>
  <c r="O2" i="4"/>
  <c r="O3" i="4"/>
  <c r="O4" i="4"/>
  <c r="O5" i="4"/>
  <c r="O6" i="4"/>
  <c r="O7" i="4"/>
  <c r="O8" i="4"/>
  <c r="O9" i="4"/>
  <c r="O10" i="4"/>
  <c r="O11" i="4"/>
  <c r="O12" i="4"/>
  <c r="O13" i="4"/>
  <c r="O14" i="4"/>
  <c r="O15" i="4"/>
  <c r="O16" i="4"/>
  <c r="O17" i="4"/>
  <c r="O18" i="4"/>
  <c r="O19" i="4"/>
  <c r="O20" i="4"/>
  <c r="O21" i="4"/>
  <c r="O22" i="4"/>
  <c r="O23" i="4"/>
  <c r="O24" i="4"/>
  <c r="O25" i="4"/>
  <c r="O26" i="4"/>
  <c r="L2" i="4"/>
  <c r="M2" i="4"/>
  <c r="N2" i="4"/>
  <c r="L3" i="4"/>
  <c r="M3" i="4"/>
  <c r="N3" i="4"/>
  <c r="L4" i="4"/>
  <c r="M4" i="4"/>
  <c r="N4" i="4"/>
  <c r="L5" i="4"/>
  <c r="M5" i="4"/>
  <c r="N5" i="4"/>
  <c r="L6" i="4"/>
  <c r="M6" i="4"/>
  <c r="N6" i="4"/>
  <c r="L7" i="4"/>
  <c r="M7" i="4"/>
  <c r="N7" i="4"/>
  <c r="L8" i="4"/>
  <c r="M8" i="4"/>
  <c r="N8" i="4"/>
  <c r="L9" i="4"/>
  <c r="M9" i="4"/>
  <c r="N9" i="4"/>
  <c r="L10" i="4"/>
  <c r="M10" i="4"/>
  <c r="N10" i="4"/>
  <c r="L11" i="4"/>
  <c r="M11" i="4"/>
  <c r="N11" i="4"/>
  <c r="L12" i="4"/>
  <c r="M12" i="4"/>
  <c r="N12" i="4"/>
  <c r="L13" i="4"/>
  <c r="M13" i="4"/>
  <c r="N13" i="4"/>
  <c r="L14" i="4"/>
  <c r="M14" i="4"/>
  <c r="N14" i="4"/>
  <c r="L15" i="4"/>
  <c r="M15" i="4"/>
  <c r="N15" i="4"/>
  <c r="L16" i="4"/>
  <c r="M16" i="4"/>
  <c r="N16" i="4"/>
  <c r="L17" i="4"/>
  <c r="M17" i="4"/>
  <c r="N17" i="4"/>
  <c r="L18" i="4"/>
  <c r="M18" i="4"/>
  <c r="N18" i="4"/>
  <c r="L19" i="4"/>
  <c r="M19" i="4"/>
  <c r="N19" i="4"/>
  <c r="L20" i="4"/>
  <c r="M20" i="4"/>
  <c r="N20" i="4"/>
  <c r="L21" i="4"/>
  <c r="M21" i="4"/>
  <c r="N21" i="4"/>
  <c r="L22" i="4"/>
  <c r="M22" i="4"/>
  <c r="N22" i="4"/>
  <c r="L23" i="4"/>
  <c r="M23" i="4"/>
  <c r="N23" i="4"/>
  <c r="L24" i="4"/>
  <c r="M24" i="4"/>
  <c r="N24" i="4"/>
  <c r="L25" i="4"/>
  <c r="M25" i="4"/>
  <c r="N25" i="4"/>
  <c r="L26" i="4"/>
  <c r="M26" i="4"/>
  <c r="N26" i="4"/>
  <c r="J2" i="4"/>
  <c r="J3" i="4"/>
  <c r="J4" i="4"/>
  <c r="J5" i="4"/>
  <c r="J6" i="4"/>
  <c r="J7" i="4"/>
  <c r="J8" i="4"/>
  <c r="J9" i="4"/>
  <c r="J10" i="4"/>
  <c r="J11" i="4"/>
  <c r="J12" i="4"/>
  <c r="J13" i="4"/>
  <c r="J14" i="4"/>
  <c r="J15" i="4"/>
  <c r="J16" i="4"/>
  <c r="J17" i="4"/>
  <c r="J18" i="4"/>
  <c r="J19" i="4"/>
  <c r="J20" i="4"/>
  <c r="J21" i="4"/>
  <c r="J22" i="4"/>
  <c r="J23" i="4"/>
  <c r="J24" i="4"/>
  <c r="J25" i="4"/>
  <c r="J26" i="4"/>
  <c r="K2" i="4"/>
  <c r="K3" i="4"/>
  <c r="K4" i="4"/>
  <c r="K5" i="4"/>
  <c r="K6" i="4"/>
  <c r="K7" i="4"/>
  <c r="K8" i="4"/>
  <c r="K9" i="4"/>
  <c r="K10" i="4"/>
  <c r="K11" i="4"/>
  <c r="K12" i="4"/>
  <c r="K13" i="4"/>
  <c r="K14" i="4"/>
  <c r="K15" i="4"/>
  <c r="K16" i="4"/>
  <c r="K17" i="4"/>
  <c r="K18" i="4"/>
  <c r="K19" i="4"/>
  <c r="K20" i="4"/>
  <c r="K21" i="4"/>
  <c r="K22" i="4"/>
  <c r="K23" i="4"/>
  <c r="K24" i="4"/>
  <c r="K25" i="4"/>
  <c r="K26" i="4"/>
  <c r="D2" i="4"/>
  <c r="D3" i="4"/>
  <c r="D4" i="4"/>
  <c r="D5" i="4"/>
  <c r="D6" i="4"/>
  <c r="D7" i="4"/>
  <c r="D8" i="4"/>
  <c r="D9" i="4"/>
  <c r="D10" i="4"/>
  <c r="D11" i="4"/>
  <c r="D12" i="4"/>
  <c r="D13" i="4"/>
  <c r="D14" i="4"/>
  <c r="F14" i="4"/>
  <c r="D15" i="4"/>
  <c r="D16" i="4"/>
  <c r="D17" i="4"/>
  <c r="D18" i="4"/>
  <c r="D19" i="4"/>
  <c r="D20" i="4"/>
  <c r="D21" i="4"/>
  <c r="F21" i="4"/>
  <c r="D22" i="4"/>
  <c r="D23" i="4"/>
  <c r="D24" i="4"/>
  <c r="D25" i="4"/>
  <c r="F25" i="4"/>
  <c r="D26" i="4"/>
  <c r="B35" i="3"/>
  <c r="B36" i="3" s="1"/>
  <c r="G24" i="3" s="1"/>
  <c r="G21" i="4" s="1"/>
  <c r="F6" i="3"/>
  <c r="F3" i="4" s="1"/>
  <c r="F7" i="3"/>
  <c r="F4" i="4" s="1"/>
  <c r="F8" i="3"/>
  <c r="F5" i="4" s="1"/>
  <c r="F9" i="3"/>
  <c r="F6" i="4" s="1"/>
  <c r="F10" i="3"/>
  <c r="F7" i="4" s="1"/>
  <c r="F11" i="3"/>
  <c r="F8" i="4" s="1"/>
  <c r="F12" i="3"/>
  <c r="F9" i="4" s="1"/>
  <c r="F13" i="3"/>
  <c r="F10" i="4" s="1"/>
  <c r="F14" i="3"/>
  <c r="F11" i="4" s="1"/>
  <c r="F15" i="3"/>
  <c r="F12" i="4" s="1"/>
  <c r="F16" i="3"/>
  <c r="F13" i="4" s="1"/>
  <c r="F17" i="3"/>
  <c r="F18" i="3"/>
  <c r="F15" i="4" s="1"/>
  <c r="F19" i="3"/>
  <c r="F16" i="4" s="1"/>
  <c r="F20" i="3"/>
  <c r="F17" i="4" s="1"/>
  <c r="F21" i="3"/>
  <c r="F18" i="4" s="1"/>
  <c r="F22" i="3"/>
  <c r="F19" i="4" s="1"/>
  <c r="F23" i="3"/>
  <c r="F20" i="4" s="1"/>
  <c r="F25" i="3"/>
  <c r="F22" i="4" s="1"/>
  <c r="F26" i="3"/>
  <c r="F23" i="4" s="1"/>
  <c r="F27" i="3"/>
  <c r="F24" i="4" s="1"/>
  <c r="F29" i="3"/>
  <c r="F26" i="4" s="1"/>
  <c r="F5" i="3"/>
  <c r="F2" i="4" s="1"/>
  <c r="E25" i="4"/>
  <c r="B43" i="3"/>
  <c r="D43" i="3" s="1"/>
  <c r="B40" i="3"/>
  <c r="B41" i="3" s="1"/>
  <c r="D41" i="3" s="1"/>
  <c r="D50" i="3"/>
  <c r="E50" i="3" s="1"/>
  <c r="D51" i="3"/>
  <c r="E51" i="3" s="1"/>
  <c r="D52" i="3"/>
  <c r="E52" i="3" s="1"/>
  <c r="D49" i="3"/>
  <c r="E49" i="3" s="1"/>
  <c r="G53" i="3"/>
  <c r="C31" i="3"/>
  <c r="A31" i="3"/>
  <c r="D27" i="2"/>
  <c r="F27" i="2" s="1"/>
  <c r="N91" i="1"/>
  <c r="F91" i="1"/>
  <c r="A28" i="2"/>
  <c r="B28" i="2"/>
  <c r="D40" i="2"/>
  <c r="L87" i="1"/>
  <c r="D41" i="2"/>
  <c r="D43" i="2"/>
  <c r="D42" i="2"/>
  <c r="E5" i="2"/>
  <c r="E6" i="2"/>
  <c r="E7" i="2"/>
  <c r="E8" i="2"/>
  <c r="E9" i="2"/>
  <c r="E10" i="2"/>
  <c r="E11" i="2"/>
  <c r="E12" i="2"/>
  <c r="E13" i="2"/>
  <c r="E14" i="2"/>
  <c r="E15" i="2"/>
  <c r="E16" i="2"/>
  <c r="E17" i="2"/>
  <c r="E18" i="2"/>
  <c r="E19" i="2"/>
  <c r="E20" i="2"/>
  <c r="E21" i="2"/>
  <c r="E22" i="2"/>
  <c r="E24" i="2"/>
  <c r="E25" i="2"/>
  <c r="E26" i="2"/>
  <c r="E4" i="2"/>
  <c r="F44" i="2"/>
  <c r="L25" i="1"/>
  <c r="L32" i="1"/>
  <c r="L42" i="1"/>
  <c r="L61" i="1"/>
  <c r="L43" i="1"/>
  <c r="L47" i="1"/>
  <c r="L74" i="1"/>
  <c r="L24" i="1"/>
  <c r="L20" i="1"/>
  <c r="L26" i="1"/>
  <c r="L33" i="1"/>
  <c r="L57" i="1"/>
  <c r="L27" i="1"/>
  <c r="L69" i="1"/>
  <c r="L70" i="1"/>
  <c r="L35" i="1"/>
  <c r="L77" i="1"/>
  <c r="L34" i="1"/>
  <c r="D33" i="2"/>
  <c r="D34" i="2"/>
  <c r="I53" i="3" l="1"/>
  <c r="I51" i="3"/>
  <c r="D40" i="3"/>
  <c r="E41" i="3" s="1"/>
  <c r="I49" i="3"/>
  <c r="I52" i="3"/>
  <c r="I50" i="3"/>
  <c r="B37" i="3"/>
  <c r="G29" i="3"/>
  <c r="G26" i="4" s="1"/>
  <c r="G28" i="3"/>
  <c r="B42" i="3"/>
  <c r="D42" i="3" s="1"/>
  <c r="D54" i="3"/>
  <c r="E54" i="3"/>
  <c r="D45" i="2"/>
  <c r="E28" i="2"/>
  <c r="C32" i="2" s="1"/>
  <c r="D32" i="2" s="1"/>
  <c r="H28" i="3" l="1"/>
  <c r="H25" i="4" s="1"/>
  <c r="G25" i="4"/>
  <c r="Y10" i="3"/>
  <c r="AA10" i="3" s="1"/>
  <c r="Y11" i="3"/>
  <c r="AA11" i="3" s="1"/>
  <c r="D44" i="3"/>
  <c r="F50" i="3" s="1"/>
  <c r="J49" i="3"/>
  <c r="K49" i="3" s="1"/>
  <c r="J50" i="3"/>
  <c r="K50" i="3" s="1"/>
  <c r="J51" i="3"/>
  <c r="K51" i="3" s="1"/>
  <c r="J53" i="3"/>
  <c r="K53" i="3" s="1"/>
  <c r="L53" i="3" s="1"/>
  <c r="J52" i="3"/>
  <c r="K52" i="3" s="1"/>
  <c r="D35" i="2"/>
  <c r="F52" i="3" l="1"/>
  <c r="E24" i="4" s="1"/>
  <c r="F51" i="3"/>
  <c r="G51" i="3" s="1"/>
  <c r="L51" i="3" s="1"/>
  <c r="F49" i="3"/>
  <c r="E5" i="4" s="1"/>
  <c r="K54" i="3"/>
  <c r="E2" i="4"/>
  <c r="E3" i="4"/>
  <c r="E4" i="4"/>
  <c r="E20" i="4"/>
  <c r="E17" i="4"/>
  <c r="E10" i="4"/>
  <c r="E11" i="4"/>
  <c r="E12" i="4"/>
  <c r="E13" i="4"/>
  <c r="E15" i="4"/>
  <c r="E16" i="4"/>
  <c r="E14" i="4"/>
  <c r="G50" i="3"/>
  <c r="L50" i="3" s="1"/>
  <c r="G49" i="3"/>
  <c r="E43" i="2"/>
  <c r="E41" i="2"/>
  <c r="D16" i="2" s="1"/>
  <c r="E42" i="2"/>
  <c r="F42" i="2" s="1"/>
  <c r="E40" i="2"/>
  <c r="D7" i="2" s="1"/>
  <c r="E19" i="4" l="1"/>
  <c r="H29" i="3"/>
  <c r="H26" i="4" s="1"/>
  <c r="E26" i="4"/>
  <c r="E23" i="4"/>
  <c r="E18" i="4"/>
  <c r="E9" i="4"/>
  <c r="E7" i="4"/>
  <c r="E22" i="4"/>
  <c r="G52" i="3"/>
  <c r="L52" i="3" s="1"/>
  <c r="E6" i="4"/>
  <c r="E8" i="4"/>
  <c r="L49" i="3"/>
  <c r="G7" i="3"/>
  <c r="G12" i="3"/>
  <c r="G9" i="4" s="1"/>
  <c r="G11" i="3"/>
  <c r="G8" i="4" s="1"/>
  <c r="G9" i="3"/>
  <c r="G6" i="4" s="1"/>
  <c r="G6" i="3"/>
  <c r="G8" i="3"/>
  <c r="G10" i="3"/>
  <c r="G27" i="3"/>
  <c r="G26" i="3"/>
  <c r="G25" i="3"/>
  <c r="G22" i="4" s="1"/>
  <c r="G15" i="3"/>
  <c r="G19" i="3"/>
  <c r="G14" i="3"/>
  <c r="G16" i="3"/>
  <c r="G13" i="3"/>
  <c r="G18" i="3"/>
  <c r="G17" i="3"/>
  <c r="G23" i="3"/>
  <c r="G20" i="3"/>
  <c r="G22" i="3"/>
  <c r="G21" i="3"/>
  <c r="G54" i="3"/>
  <c r="F43" i="2"/>
  <c r="D23" i="2"/>
  <c r="F23" i="2" s="1"/>
  <c r="D14" i="2"/>
  <c r="D13" i="2"/>
  <c r="D12" i="2"/>
  <c r="F41" i="2"/>
  <c r="F40" i="2"/>
  <c r="D25" i="2"/>
  <c r="D11" i="2"/>
  <c r="D6" i="2"/>
  <c r="D5" i="2"/>
  <c r="D8" i="2"/>
  <c r="D21" i="2"/>
  <c r="D26" i="2"/>
  <c r="D24" i="2"/>
  <c r="D19" i="2"/>
  <c r="D22" i="2"/>
  <c r="D20" i="2"/>
  <c r="D10" i="2"/>
  <c r="D4" i="2"/>
  <c r="D9" i="2"/>
  <c r="D15" i="2"/>
  <c r="D18" i="2"/>
  <c r="D17" i="2"/>
  <c r="H24" i="3" l="1"/>
  <c r="H21" i="4" s="1"/>
  <c r="E21" i="4"/>
  <c r="H8" i="3"/>
  <c r="H5" i="4" s="1"/>
  <c r="G5" i="4"/>
  <c r="H14" i="3"/>
  <c r="H11" i="4" s="1"/>
  <c r="G11" i="4"/>
  <c r="H22" i="3"/>
  <c r="H19" i="4" s="1"/>
  <c r="G19" i="4"/>
  <c r="H20" i="3"/>
  <c r="H17" i="4" s="1"/>
  <c r="G17" i="4"/>
  <c r="H23" i="3"/>
  <c r="H20" i="4" s="1"/>
  <c r="G20" i="4"/>
  <c r="H16" i="3"/>
  <c r="H13" i="4" s="1"/>
  <c r="G13" i="4"/>
  <c r="H21" i="3"/>
  <c r="H18" i="4" s="1"/>
  <c r="G18" i="4"/>
  <c r="H6" i="3"/>
  <c r="H3" i="4" s="1"/>
  <c r="G3" i="4"/>
  <c r="H19" i="3"/>
  <c r="H16" i="4" s="1"/>
  <c r="G16" i="4"/>
  <c r="H15" i="3"/>
  <c r="H12" i="4" s="1"/>
  <c r="G12" i="4"/>
  <c r="H17" i="3"/>
  <c r="H14" i="4" s="1"/>
  <c r="G14" i="4"/>
  <c r="H26" i="3"/>
  <c r="H23" i="4" s="1"/>
  <c r="G23" i="4"/>
  <c r="H7" i="3"/>
  <c r="H4" i="4" s="1"/>
  <c r="G4" i="4"/>
  <c r="H18" i="3"/>
  <c r="H15" i="4" s="1"/>
  <c r="G15" i="4"/>
  <c r="H27" i="3"/>
  <c r="H24" i="4" s="1"/>
  <c r="G24" i="4"/>
  <c r="H13" i="3"/>
  <c r="H10" i="4" s="1"/>
  <c r="G10" i="4"/>
  <c r="H10" i="3"/>
  <c r="H7" i="4" s="1"/>
  <c r="G7" i="4"/>
  <c r="L54" i="3"/>
  <c r="E31" i="3"/>
  <c r="H12" i="3"/>
  <c r="H9" i="4" s="1"/>
  <c r="H25" i="3"/>
  <c r="H22" i="4" s="1"/>
  <c r="H9" i="3"/>
  <c r="H6" i="4" s="1"/>
  <c r="H11" i="3"/>
  <c r="H8" i="4" s="1"/>
  <c r="G2" i="4"/>
  <c r="F31" i="3"/>
  <c r="F45" i="2"/>
  <c r="D28" i="2"/>
  <c r="C36" i="3" l="1"/>
  <c r="D36" i="3" s="1"/>
  <c r="C35" i="3"/>
  <c r="G31" i="3"/>
  <c r="H5" i="3"/>
  <c r="H2" i="4" s="1"/>
  <c r="D35" i="3" l="1"/>
  <c r="D37" i="3" s="1"/>
  <c r="H31" i="3"/>
</calcChain>
</file>

<file path=xl/sharedStrings.xml><?xml version="1.0" encoding="utf-8"?>
<sst xmlns="http://schemas.openxmlformats.org/spreadsheetml/2006/main" count="1248" uniqueCount="858">
  <si>
    <t>full_name_in_English</t>
  </si>
  <si>
    <t>acronym_EN</t>
  </si>
  <si>
    <t>acronym_AGG</t>
  </si>
  <si>
    <t>main_grouping</t>
  </si>
  <si>
    <t>ROR</t>
  </si>
  <si>
    <t>ROR_LINK</t>
  </si>
  <si>
    <t>OpenAlex_ID</t>
  </si>
  <si>
    <t>OpenAlex_LINK</t>
  </si>
  <si>
    <t>OpenAIRE_ID</t>
  </si>
  <si>
    <t>OpenAIRE_LINK</t>
  </si>
  <si>
    <t>OpenAIRE_Org_ID</t>
  </si>
  <si>
    <t>OpenAIRE_Org_ID_Explore_URL</t>
  </si>
  <si>
    <t>numFound_ResearchProducts_OpenOrgs</t>
  </si>
  <si>
    <t>numFound_ResearchProducts_2020_2023</t>
  </si>
  <si>
    <t>Utrecht University</t>
  </si>
  <si>
    <t>UU</t>
  </si>
  <si>
    <t>UU/UMCU</t>
  </si>
  <si>
    <t>UNL</t>
  </si>
  <si>
    <t>04pp8hn57</t>
  </si>
  <si>
    <t>https://ror.org/04pp8hn57</t>
  </si>
  <si>
    <t>I193662353</t>
  </si>
  <si>
    <t>https://openalex.org/I193662353</t>
  </si>
  <si>
    <t>openorgs____::3d57a5aadd2e0925bca78515278f2405</t>
  </si>
  <si>
    <t>https://explore.openaire.eu/search/organization?organizationId=openorgs____::3d57a5aadd2e0925bca78515278f2405</t>
  </si>
  <si>
    <t>University of Amsterdam</t>
  </si>
  <si>
    <t>UVA</t>
  </si>
  <si>
    <t>UVA/AMC</t>
  </si>
  <si>
    <t>04dkp9463</t>
  </si>
  <si>
    <t>https://ror.org/04dkp9463</t>
  </si>
  <si>
    <t>I887064364</t>
  </si>
  <si>
    <t>https://openalex.org/I887064364</t>
  </si>
  <si>
    <t>openorgs____::58f65ed1ce3c9166e9c5f939bfdbf83a</t>
  </si>
  <si>
    <t>https://explore.openaire.eu/search/organization?organizationId=openorgs____::58f65ed1ce3c9166e9c5f939bfdbf83a</t>
  </si>
  <si>
    <t>University of Groningen</t>
  </si>
  <si>
    <t>RUG</t>
  </si>
  <si>
    <t>RUG/UMCG</t>
  </si>
  <si>
    <t>012p63287</t>
  </si>
  <si>
    <t>https://ror.org/012p63287</t>
  </si>
  <si>
    <t>I169381384</t>
  </si>
  <si>
    <t>https://openalex.org/I169381384</t>
  </si>
  <si>
    <t>openorgs____::81371ea94b1a09d3243e73d6ec3527ec</t>
  </si>
  <si>
    <t>https://explore.openaire.eu/search/organization?organizationId=openorgs____::81371ea94b1a09d3243e73d6ec3527ec</t>
  </si>
  <si>
    <t>Leiden University</t>
  </si>
  <si>
    <t>UL</t>
  </si>
  <si>
    <t>UL/LUMC</t>
  </si>
  <si>
    <t>027bh9e22</t>
  </si>
  <si>
    <t>https://ror.org/027bh9e22</t>
  </si>
  <si>
    <t>I121797337</t>
  </si>
  <si>
    <t>https://openalex.org/I121797337</t>
  </si>
  <si>
    <t>openorgs____::e42580548da4a1d39bb67b60b971056e</t>
  </si>
  <si>
    <t>https://explore.openaire.eu/search/organization?organizationId=openorgs____::e42580548da4a1d39bb67b60b971056e</t>
  </si>
  <si>
    <t>Radboud University Nijmegen</t>
  </si>
  <si>
    <t>RU</t>
  </si>
  <si>
    <t>RU/RadboudUMC</t>
  </si>
  <si>
    <t>016xsfp80</t>
  </si>
  <si>
    <t>https://ror.org/016xsfp80</t>
  </si>
  <si>
    <t>I145872427</t>
  </si>
  <si>
    <t>https://openalex.org/I145872427</t>
  </si>
  <si>
    <t>openorgs____::a3af79fec4d09764e56cd6d4df1d976a</t>
  </si>
  <si>
    <t>https://explore.openaire.eu/search/organization?organizationId=openorgs____::a3af79fec4d09764e56cd6d4df1d976a</t>
  </si>
  <si>
    <t>Vrije Universiteit (Free University)</t>
  </si>
  <si>
    <t>VU</t>
  </si>
  <si>
    <t>VU/VUMC</t>
  </si>
  <si>
    <t>008xxew50</t>
  </si>
  <si>
    <t>https://ror.org/008xxew50</t>
  </si>
  <si>
    <t>I865915315</t>
  </si>
  <si>
    <t>https://openalex.org/I865915315</t>
  </si>
  <si>
    <t>openorgs____::1624ff7c01bb641b91f4518539a0c28a</t>
  </si>
  <si>
    <t>https://explore.openaire.eu/search/organization?organizationId=openorgs____::1624ff7c01bb641b91f4518539a0c28a</t>
  </si>
  <si>
    <t>Delft University of Technology</t>
  </si>
  <si>
    <t>TUD</t>
  </si>
  <si>
    <t>02e2c7k09</t>
  </si>
  <si>
    <t>https://ror.org/02e2c7k09</t>
  </si>
  <si>
    <t>I98358874</t>
  </si>
  <si>
    <t>https://openalex.org/I98358874</t>
  </si>
  <si>
    <t>openorgs____::5e6bf8962665cdd040341171e5c631d8</t>
  </si>
  <si>
    <t>https://explore.openaire.eu/search/organization?organizationId=openorgs____::5e6bf8962665cdd040341171e5c631d8</t>
  </si>
  <si>
    <t>Maastricht University</t>
  </si>
  <si>
    <t>UNIMAAS</t>
  </si>
  <si>
    <t>UM/MaastrichtMC</t>
  </si>
  <si>
    <t>02jz4aj89</t>
  </si>
  <si>
    <t>https://ror.org/02jz4aj89</t>
  </si>
  <si>
    <t>I34352273</t>
  </si>
  <si>
    <t>https://openalex.org/I34352273</t>
  </si>
  <si>
    <t>openorgs____::a7e0018f6064f0dab7a8c9a48a61a1c6</t>
  </si>
  <si>
    <t>https://explore.openaire.eu/search/organization?organizationId=openorgs____::a7e0018f6064f0dab7a8c9a48a61a1c6</t>
  </si>
  <si>
    <t>Erasmus University Rotterdam</t>
  </si>
  <si>
    <t>EUR</t>
  </si>
  <si>
    <t>EUR/ErasmusMC</t>
  </si>
  <si>
    <t>057w15z03</t>
  </si>
  <si>
    <t>https://ror.org/057w15z03</t>
  </si>
  <si>
    <t>I913958620</t>
  </si>
  <si>
    <t>https://openalex.org/I913958620</t>
  </si>
  <si>
    <t>openorgs____::2f735203eb40d8389a881e874bee537a</t>
  </si>
  <si>
    <t>https://explore.openaire.eu/search/organization?organizationId=openorgs____::2f735203eb40d8389a881e874bee537a</t>
  </si>
  <si>
    <t>Wageningen University &amp; Research</t>
  </si>
  <si>
    <t>WUR</t>
  </si>
  <si>
    <t>04qw24q55</t>
  </si>
  <si>
    <t>https://ror.org/04qw24q55</t>
  </si>
  <si>
    <t>I913481162</t>
  </si>
  <si>
    <t>https://openalex.org/I913481162</t>
  </si>
  <si>
    <t>openorgs____::ad8f981707a4a1d6c9e9ee60c02b9a11</t>
  </si>
  <si>
    <t>https://explore.openaire.eu/search/organization?organizationId=openorgs____::ad8f981707a4a1d6c9e9ee60c02b9a11</t>
  </si>
  <si>
    <t>UMCU</t>
  </si>
  <si>
    <t>NFU</t>
  </si>
  <si>
    <t>0575yy874</t>
  </si>
  <si>
    <t>https://ror.org/0575yy874</t>
  </si>
  <si>
    <t>I3018483916</t>
  </si>
  <si>
    <t>https://openalex.org/I3018483916</t>
  </si>
  <si>
    <t>openorgs____::81b64115eb383a27a9c1820a2c760c89</t>
  </si>
  <si>
    <t>https://explore.openaire.eu/search/organization?organizationId=openorgs____::81b64115eb383a27a9c1820a2c760c89</t>
  </si>
  <si>
    <t>Radboud University Nijmegen Medical Centre</t>
  </si>
  <si>
    <t>RadboudUMC</t>
  </si>
  <si>
    <t>05wg1m734</t>
  </si>
  <si>
    <t>https://ror.org/05wg1m734</t>
  </si>
  <si>
    <t>I2802934949</t>
  </si>
  <si>
    <t>https://openalex.org/I2802934949</t>
  </si>
  <si>
    <t>openorgs____::6c50ead5f8f9cac29c4c3066df9fba45</t>
  </si>
  <si>
    <t>https://explore.openaire.eu/search/organization?organizationId=openorgs____::6c50ead5f8f9cac29c4c3066df9fba45</t>
  </si>
  <si>
    <t>LUMC</t>
  </si>
  <si>
    <t>05xvt9f17</t>
  </si>
  <si>
    <t>https://ror.org/05xvt9f17</t>
  </si>
  <si>
    <t>I2800006345</t>
  </si>
  <si>
    <t>https://openalex.org/I2800006345</t>
  </si>
  <si>
    <t>openorgs____::2eeca4f78f2a04a35057c1fa7918e23b</t>
  </si>
  <si>
    <t>https://explore.openaire.eu/search/organization?organizationId=20|openorgs____::2eeca4f78f2a04a35057c1fa7918e23b</t>
  </si>
  <si>
    <t>https://explore.openaire.eu/search/organization?organizationId=openorgs____::2eeca4f78f2a04a35057c1fa7918e23b</t>
  </si>
  <si>
    <t>University of Twente</t>
  </si>
  <si>
    <t>UVT</t>
  </si>
  <si>
    <t>006hf6230</t>
  </si>
  <si>
    <t>https://ror.org/006hf6230</t>
  </si>
  <si>
    <t>I94624287</t>
  </si>
  <si>
    <t>https://openalex.org/I94624287</t>
  </si>
  <si>
    <t>openorgs____::604881198363fedbb5d5478f465305f2</t>
  </si>
  <si>
    <t>https://explore.openaire.eu/search/organization?organizationId=openorgs____::604881198363fedbb5d5478f465305f2</t>
  </si>
  <si>
    <t>VUMC</t>
  </si>
  <si>
    <t>00q6h8f30</t>
  </si>
  <si>
    <t>https://ror.org/00q6h8f30</t>
  </si>
  <si>
    <t>I911458345</t>
  </si>
  <si>
    <t>https://openalex.org/I911458345</t>
  </si>
  <si>
    <t>openorgs____::df96ffc1951dc9bc14b0695e3297f6e1</t>
  </si>
  <si>
    <t>https://explore.openaire.eu/search/organization?organizationId=openorgs____::df96ffc1951dc9bc14b0695e3297f6e1</t>
  </si>
  <si>
    <t>ErasmusMC</t>
  </si>
  <si>
    <t>https://ror.org/018906e22</t>
  </si>
  <si>
    <t>I2801952686</t>
  </si>
  <si>
    <t>https://openalex.org/I2801952686</t>
  </si>
  <si>
    <t>openorgs____::51609e11886740e4cf5f77d0f516a43c</t>
  </si>
  <si>
    <t>https://explore.openaire.eu/search/organization?organizationId=openorgs____::51609e11886740e4cf5f77d0f516a43c</t>
  </si>
  <si>
    <t>openorgs____::46893b4080f9a8d38c83cd5bbdd68d52</t>
  </si>
  <si>
    <t>https://explore.openaire.eu/search/organization?organizationId=openorgs____::46893b4080f9a8d38c83cd5bbdd68d52</t>
  </si>
  <si>
    <t>Eindhoven University of Technology</t>
  </si>
  <si>
    <t>TUE</t>
  </si>
  <si>
    <t>02c2kyt77</t>
  </si>
  <si>
    <t>https://ror.org/02c2kyt77</t>
  </si>
  <si>
    <t>I83019370</t>
  </si>
  <si>
    <t>https://openalex.org/I83019370</t>
  </si>
  <si>
    <t>openorgs____::db787c50cf46f2b08e69f830e292e42d</t>
  </si>
  <si>
    <t>https://explore.openaire.eu/search/organization?organizationId=openorgs____::db787c50cf46f2b08e69f830e292e42d</t>
  </si>
  <si>
    <t>Tilburg University</t>
  </si>
  <si>
    <t>TiU</t>
  </si>
  <si>
    <t>04b8v1s79</t>
  </si>
  <si>
    <t>https://ror.org/04b8v1s79</t>
  </si>
  <si>
    <t>I193700539</t>
  </si>
  <si>
    <t>https://openalex.org/I193700539</t>
  </si>
  <si>
    <t>openorgs____::b12b585c23a2b443b35cb33f57309a34</t>
  </si>
  <si>
    <t>https://explore.openaire.eu/search/organization?organizationId=openorgs____::b12b585c23a2b443b35cb33f57309a34</t>
  </si>
  <si>
    <t>Amsterdam UMC</t>
  </si>
  <si>
    <t>AUMC</t>
  </si>
  <si>
    <t>05grdyy37</t>
  </si>
  <si>
    <t>https://ror.org/05grdyy37</t>
  </si>
  <si>
    <t>I4210151833</t>
  </si>
  <si>
    <t>https://openalex.org/I4210151833</t>
  </si>
  <si>
    <t>openorgs____::2ce10b2528220091bd0363c1e39394c1</t>
  </si>
  <si>
    <t>https://explore.openaire.eu/search/organization?organizationId=openorgs____::2ce10b2528220091bd0363c1e39394c1</t>
  </si>
  <si>
    <t>MaastrichtMC</t>
  </si>
  <si>
    <t>02d9ce178</t>
  </si>
  <si>
    <t>https://ror.org/02d9ce178</t>
  </si>
  <si>
    <t>I2800191616</t>
  </si>
  <si>
    <t>https://openalex.org/I2800191616</t>
  </si>
  <si>
    <t>openorgs____::3c2c37b7745ae3202347c3fa594bc66a</t>
  </si>
  <si>
    <t>https://explore.openaire.eu/search/organization?organizationId=openorgs____::3c2c37b7745ae3202347c3fa594bc66a</t>
  </si>
  <si>
    <t>Amsterdam Medical Centre</t>
  </si>
  <si>
    <t>AMC</t>
  </si>
  <si>
    <t>03t4gr691</t>
  </si>
  <si>
    <t>https://ror.org/03t4gr691</t>
  </si>
  <si>
    <t>I2802928900</t>
  </si>
  <si>
    <t>https://openalex.org/I2802928900</t>
  </si>
  <si>
    <t>openorgs____::fe49cd5c84da7a89da723e24cadeb99d</t>
  </si>
  <si>
    <t>https://explore.openaire.eu/search/organization?organizationId=openorgs____::fe49cd5c84da7a89da723e24cadeb99d</t>
  </si>
  <si>
    <t>openorgs____::01717f42bf8b3d8e3acf57fbb09ba6ac</t>
  </si>
  <si>
    <t>https://explore.openaire.eu/search/organization?organizationId=openorgs____::01717f42bf8b3d8e3acf57fbb09ba6ac</t>
  </si>
  <si>
    <t>Open University</t>
  </si>
  <si>
    <t>OU</t>
  </si>
  <si>
    <t>018dfmf50</t>
  </si>
  <si>
    <t>https://ror.org/018dfmf50</t>
  </si>
  <si>
    <t>I7876267</t>
  </si>
  <si>
    <t>https://openalex.org/I7876267</t>
  </si>
  <si>
    <t>openorgs____::54f2e88f3eb801dc7e49a4ca90fdd1b6</t>
  </si>
  <si>
    <t>https://explore.openaire.eu/search/organization?organizationId=openorgs____::54f2e88f3eb801dc7e49a4ca90fdd1b6</t>
  </si>
  <si>
    <t>Amsterdam University of Applied Sciences</t>
  </si>
  <si>
    <t>HVA</t>
  </si>
  <si>
    <t>VH</t>
  </si>
  <si>
    <t>00y2z2s03</t>
  </si>
  <si>
    <t>https://ror.org/00y2z2s03</t>
  </si>
  <si>
    <t>I55106644</t>
  </si>
  <si>
    <t>https://openalex.org/I55106644</t>
  </si>
  <si>
    <t>openorgs____::d0a66a264d47d18baba1821d678627f3</t>
  </si>
  <si>
    <t>https://explore.openaire.eu/search/organization?organizationId=openorgs____::d0a66a264d47d18baba1821d678627f3</t>
  </si>
  <si>
    <t>NIOZ, Royal Netherlands Institute for Sea Research</t>
  </si>
  <si>
    <t>NIOZ</t>
  </si>
  <si>
    <t>NWO-i</t>
  </si>
  <si>
    <t>01gntjh03</t>
  </si>
  <si>
    <t>https://ror.org/01gntjh03</t>
  </si>
  <si>
    <t>I4210107283</t>
  </si>
  <si>
    <t>https://openalex.org/I4210107283</t>
  </si>
  <si>
    <t>openorgs____::eb2f1247784acef155801d95b5ac937b</t>
  </si>
  <si>
    <t>https://explore.openaire.eu/search/organization?organizationId=openorgs____::eb2f1247784acef155801d95b5ac937b</t>
  </si>
  <si>
    <t>Netherlands Institute of Ecology (NIOO)</t>
  </si>
  <si>
    <t>NIOO</t>
  </si>
  <si>
    <t>KNAW</t>
  </si>
  <si>
    <t>01g25jp36</t>
  </si>
  <si>
    <t>https://ror.org/01g25jp36</t>
  </si>
  <si>
    <t>I4210107786</t>
  </si>
  <si>
    <t>https://openalex.org/I4210107786</t>
  </si>
  <si>
    <t>openorgs____::938a3404eacaedfe1b192d39178606eb</t>
  </si>
  <si>
    <t>https://explore.openaire.eu/search/organization?organizationId=pending_org_::36274daf325aea83489d660f965fec02</t>
  </si>
  <si>
    <t>https://explore.openaire.eu/search/organization?organizationId=openorgs____::938a3404eacaedfe1b192d39178606eb</t>
  </si>
  <si>
    <t>SRON, Netherlands Institute for Space Research</t>
  </si>
  <si>
    <t>SRON</t>
  </si>
  <si>
    <t>02wc0kq10</t>
  </si>
  <si>
    <t>https://ror.org/02wc0kq10</t>
  </si>
  <si>
    <t>I49206369</t>
  </si>
  <si>
    <t>https://openalex.org/I49206369</t>
  </si>
  <si>
    <t>openorgs____::1eaec9171998c0db1b627afe4a969430</t>
  </si>
  <si>
    <t>https://explore.openaire.eu/search/organization?organizationId=openorgs____::1eaec9171998c0db1b627afe4a969430</t>
  </si>
  <si>
    <t>HAN University of Applied Sciences</t>
  </si>
  <si>
    <t>HAN</t>
  </si>
  <si>
    <t>0500gea42</t>
  </si>
  <si>
    <t>https://ror.org/0500gea42</t>
  </si>
  <si>
    <t>I103855431</t>
  </si>
  <si>
    <t>https://openalex.org/I103855431</t>
  </si>
  <si>
    <t>openorgs____::048a44d990fd8a4710eef3a9e375360b</t>
  </si>
  <si>
    <t>https://explore.openaire.eu/search/organization?organizationId=openorgs____::048a44d990fd8a4710eef3a9e375360b</t>
  </si>
  <si>
    <t>NHTV Breda University of Applied Sciences</t>
  </si>
  <si>
    <t>NHTV</t>
  </si>
  <si>
    <t>04mfj5474</t>
  </si>
  <si>
    <t>https://ror.org/04mfj5474</t>
  </si>
  <si>
    <t>I128589980</t>
  </si>
  <si>
    <t>https://openalex.org/I128589980</t>
  </si>
  <si>
    <t>openorgs____::10020843b2d7fac7c04e40b55a631b0c</t>
  </si>
  <si>
    <t>https://explore.openaire.eu/search/organization?organizationId=openorgs____::10020843b2d7fac7c04e40b55a631b0c</t>
  </si>
  <si>
    <t>University of Applied Sciences Utrecht</t>
  </si>
  <si>
    <t>HU</t>
  </si>
  <si>
    <t>028z9kw20</t>
  </si>
  <si>
    <t>https://ror.org/028z9kw20</t>
  </si>
  <si>
    <t>I173063890</t>
  </si>
  <si>
    <t>https://openalex.org/I173063890</t>
  </si>
  <si>
    <t>openorgs____::8a1b859747bd305bc855914588006010</t>
  </si>
  <si>
    <t>https://explore.openaire.eu/search/organization?organizationId=openorgs____::8a1b859747bd305bc855914588006010</t>
  </si>
  <si>
    <t>Hanze University of Applied Sciences Groningen</t>
  </si>
  <si>
    <t>HANZE</t>
  </si>
  <si>
    <t>00xqtxw43</t>
  </si>
  <si>
    <t>https://ror.org/00xqtxw43</t>
  </si>
  <si>
    <t>I180755707</t>
  </si>
  <si>
    <t>https://openalex.org/I180755707</t>
  </si>
  <si>
    <t>openorgs____::c254f2d5f6fdb12ecb37cfee25a3c4b1</t>
  </si>
  <si>
    <t>https://explore.openaire.eu/search/organization?organizationId=openorgs____::c254f2d5f6fdb12ecb37cfee25a3c4b1</t>
  </si>
  <si>
    <t>Netherlands Institute for Neuroscience</t>
  </si>
  <si>
    <t>NIN</t>
  </si>
  <si>
    <t>05csn2x06</t>
  </si>
  <si>
    <t>https://ror.org/05csn2x06</t>
  </si>
  <si>
    <t>I1295801184</t>
  </si>
  <si>
    <t>https://openalex.org/I1295801184</t>
  </si>
  <si>
    <t>openorgs____::b411400e9cb43b74991acf165fdbaf42</t>
  </si>
  <si>
    <t>https://explore.openaire.eu/search/organization?organizationId=openorgs____::b411400e9cb43b74991acf165fdbaf42</t>
  </si>
  <si>
    <t>ASTRON, Netherlands Institute for Radio Astronomy</t>
  </si>
  <si>
    <t>ASTRON</t>
  </si>
  <si>
    <t>000k1q888</t>
  </si>
  <si>
    <t>https://ror.org/000k1q888</t>
  </si>
  <si>
    <t>I922237871</t>
  </si>
  <si>
    <t>https://openalex.org/I922237871</t>
  </si>
  <si>
    <t>openorgs____::bc3c03a56c8ac610e083f74395896ed4</t>
  </si>
  <si>
    <t>https://explore.openaire.eu/search/organization?organizationId=openorgs____::bc3c03a56c8ac610e083f74395896ed4</t>
  </si>
  <si>
    <t>Westerdijk Fungal Biodiversity Institute</t>
  </si>
  <si>
    <t>WESTERDIJK</t>
  </si>
  <si>
    <t>030a5r161</t>
  </si>
  <si>
    <t>https://ror.org/030a5r161</t>
  </si>
  <si>
    <t>I4210113371</t>
  </si>
  <si>
    <t>https://openalex.org/I4210113371</t>
  </si>
  <si>
    <t>openorgs____::e9afeb0f06cd2672f64eba5c50b58508</t>
  </si>
  <si>
    <t>https://explore.openaire.eu/search/organization?organizationId=openorgs____::e9afeb0f06cd2672f64eba5c50b58508</t>
  </si>
  <si>
    <t xml:space="preserve">National Research Institute for Mathematics and Computer Science </t>
  </si>
  <si>
    <t>CWI</t>
  </si>
  <si>
    <t>00x7ekv49</t>
  </si>
  <si>
    <t>https://ror.org/00x7ekv49</t>
  </si>
  <si>
    <t>I1341640284</t>
  </si>
  <si>
    <t>https://openalex.org/I1341640284</t>
  </si>
  <si>
    <t>openorgs____::47f4bfbcef93eb928361dffaabd03b54</t>
  </si>
  <si>
    <t>https://explore.openaire.eu/search/organization?organizationId=openorgs____::47f4bfbcef93eb928361dffaabd03b54</t>
  </si>
  <si>
    <t>Hubrecht Institute for Developmental Biology and Stem Cell Research</t>
  </si>
  <si>
    <t>HUBRECHT</t>
  </si>
  <si>
    <t>023qc4a07</t>
  </si>
  <si>
    <t>https://ror.org/023qc4a07</t>
  </si>
  <si>
    <t>I4210115206</t>
  </si>
  <si>
    <t>https://openalex.org/I4210115206</t>
  </si>
  <si>
    <t>openorgs____::1820f7ff911f4cf656fd63fd17b2fea8</t>
  </si>
  <si>
    <t>https://explore.openaire.eu/search/organization?organizationId=openorgs____::1820f7ff911f4cf656fd63fd17b2fea8</t>
  </si>
  <si>
    <t>Rotterdam University of Applied Sciences</t>
  </si>
  <si>
    <t>HR</t>
  </si>
  <si>
    <t>0481e1q24</t>
  </si>
  <si>
    <t>https://ror.org/0481e1q24</t>
  </si>
  <si>
    <t>I907135538</t>
  </si>
  <si>
    <t>https://openalex.org/I907135538</t>
  </si>
  <si>
    <t>openorgs____::7ec8de16e11c7fc9f7e4e32923a42b22</t>
  </si>
  <si>
    <t>https://explore.openaire.eu/search/organization?organizationId=openorgs____::7ec8de16e11c7fc9f7e4e32923a42b22</t>
  </si>
  <si>
    <t>DIFFER, Dutch Institute for Fundamental Energy Research</t>
  </si>
  <si>
    <t>DIFFER</t>
  </si>
  <si>
    <t>03w5dn804</t>
  </si>
  <si>
    <t>https://ror.org/03w5dn804</t>
  </si>
  <si>
    <t>I4210147097</t>
  </si>
  <si>
    <t>https://openalex.org/I4210147097</t>
  </si>
  <si>
    <t>openorgs____::79a0e60afef2e753b0dc12425ecb3f8c</t>
  </si>
  <si>
    <t>https://explore.openaire.eu/search/organization?organizationId=openorgs____::79a0e60afef2e753b0dc12425ecb3f8c</t>
  </si>
  <si>
    <t>The Hague University of Applied Sciences</t>
  </si>
  <si>
    <t>THUAS</t>
  </si>
  <si>
    <t>021zvq422</t>
  </si>
  <si>
    <t>https://ror.org/021zvq422</t>
  </si>
  <si>
    <t>I930713850</t>
  </si>
  <si>
    <t>https://openalex.org/I930713850</t>
  </si>
  <si>
    <t>openorgs____::b232880c47fb92a22ffea8e2e749e0ac</t>
  </si>
  <si>
    <t>https://explore.openaire.eu/search/organization?organizationId=openorgs____::b232880c47fb92a22ffea8e2e749e0ac</t>
  </si>
  <si>
    <t>Fontys University of Applied Sciences</t>
  </si>
  <si>
    <t>FONTYS</t>
  </si>
  <si>
    <t>01jwcme05</t>
  </si>
  <si>
    <t>https://ror.org/01jwcme05</t>
  </si>
  <si>
    <t>I21516984</t>
  </si>
  <si>
    <t>https://openalex.org/I21516984</t>
  </si>
  <si>
    <t>openorgs____::2885352ab1a441a9d387424888e30796</t>
  </si>
  <si>
    <t>https://explore.openaire.eu/search/organization?organizationId=openorgs____::2885352ab1a441a9d387424888e30796</t>
  </si>
  <si>
    <t>Zuyd University of Applied Sciences</t>
  </si>
  <si>
    <t>ZUYD</t>
  </si>
  <si>
    <t>02m6k0m40</t>
  </si>
  <si>
    <t>https://ror.org/02m6k0m40</t>
  </si>
  <si>
    <t>I193397943</t>
  </si>
  <si>
    <t>https://openalex.org/I193397943</t>
  </si>
  <si>
    <t>openorgs____::0e7e1aa241c64ac17aee64c0be4be069</t>
  </si>
  <si>
    <t>https://explore.openaire.eu/search/organization?organizationId=openorgs____::0e7e1aa241c64ac17aee64c0be4be069</t>
  </si>
  <si>
    <t>Saxion University of Applied Sciences</t>
  </si>
  <si>
    <t>SAXION</t>
  </si>
  <si>
    <t>005t9n460</t>
  </si>
  <si>
    <t>https://ror.org/005t9n460</t>
  </si>
  <si>
    <t>I2801398864</t>
  </si>
  <si>
    <t>https://openalex.org/I2801398864</t>
  </si>
  <si>
    <t>openorgs____::e086dd85625f9fe8b89dfc2d81441664</t>
  </si>
  <si>
    <t>https://explore.openaire.eu/search/organization?organizationId=openorgs____::e086dd85625f9fe8b89dfc2d81441664</t>
  </si>
  <si>
    <t>NHL Stenden University of Applied Sciences</t>
  </si>
  <si>
    <t>STENDEN</t>
  </si>
  <si>
    <t>02xgxme97</t>
  </si>
  <si>
    <t>https://ror.org/02xgxme97</t>
  </si>
  <si>
    <t>I4387154156</t>
  </si>
  <si>
    <t>https://openalex.org/I4387154156</t>
  </si>
  <si>
    <t>pending_org_::722d6fee5ef1663527379a9e837bffb1</t>
  </si>
  <si>
    <t>https://explore.openaire.eu/search/organization?organizationId=pending_org_::722d6fee5ef1663527379a9e837bffb1</t>
  </si>
  <si>
    <t>openorgs____::a7354d60fad3d5d2b4c5c7b874e36a5c</t>
  </si>
  <si>
    <t>https://explore.openaire.eu/search/organization?organizationId=openorgs____::a7354d60fad3d5d2b4c5c7b874e36a5c</t>
  </si>
  <si>
    <t>Inholland University of Applied Sciences</t>
  </si>
  <si>
    <t>INHOLLAND</t>
  </si>
  <si>
    <t>03cfsyg37</t>
  </si>
  <si>
    <t>https://ror.org/03cfsyg37</t>
  </si>
  <si>
    <t>I896005021</t>
  </si>
  <si>
    <t>https://openalex.org/I896005021</t>
  </si>
  <si>
    <t>openorgs____::5f081781d2510771c1c6686c4a37d1a1</t>
  </si>
  <si>
    <t>https://explore.openaire.eu/search/organization?organizationId=openorgs____::5f081781d2510771c1c6686c4a37d1a1</t>
  </si>
  <si>
    <t>Avans University of Applied Sciences</t>
  </si>
  <si>
    <t>AVANS</t>
  </si>
  <si>
    <t>015d5s513</t>
  </si>
  <si>
    <t>https://ror.org/015d5s513</t>
  </si>
  <si>
    <t>I151001089</t>
  </si>
  <si>
    <t>https://openalex.org/I151001089</t>
  </si>
  <si>
    <t>openorgs____::05ba90eee0e9eef094a77240339d0ee5</t>
  </si>
  <si>
    <t>https://explore.openaire.eu/search/organization?organizationId=openorgs____::05ba90eee0e9eef094a77240339d0ee5</t>
  </si>
  <si>
    <t>Windesheim University of Applied Sciences</t>
  </si>
  <si>
    <t>WINDESHEIM</t>
  </si>
  <si>
    <t>04zmc0e16</t>
  </si>
  <si>
    <t>https://ror.org/04zmc0e16</t>
  </si>
  <si>
    <t>I242486142</t>
  </si>
  <si>
    <t>https://openalex.org/I242486142</t>
  </si>
  <si>
    <t>openorgs____::a08a62c3e21dd693af009638e21aba11</t>
  </si>
  <si>
    <t>https://explore.openaire.eu/search/organization?organizationId=openorgs____::a08a62c3e21dd693af009638e21aba11</t>
  </si>
  <si>
    <t>University of Applied Sciences Leiden</t>
  </si>
  <si>
    <t>UAS LEIDEN</t>
  </si>
  <si>
    <t>0093src13</t>
  </si>
  <si>
    <t>https://ror.org/0093src13</t>
  </si>
  <si>
    <t>I210716285</t>
  </si>
  <si>
    <t>https://openalex.org/I210716285</t>
  </si>
  <si>
    <t>openorgs____::913ef94a4bc903f936164b00f287defa</t>
  </si>
  <si>
    <t>https://explore.openaire.eu/search/organization?organizationId=openorgs____::913ef94a4bc903f936164b00f287defa</t>
  </si>
  <si>
    <t>Van Hall Larenstein VHL University of Applied Sciences</t>
  </si>
  <si>
    <t>VHL</t>
  </si>
  <si>
    <t>02mdbnd10</t>
  </si>
  <si>
    <t>https://ror.org/02mdbnd10</t>
  </si>
  <si>
    <t>I2800435062</t>
  </si>
  <si>
    <t>https://openalex.org/I2800435062</t>
  </si>
  <si>
    <t>openorgs____::06b2bdd4093a09b5f6c33521a7bf665c</t>
  </si>
  <si>
    <t>https://explore.openaire.eu/search/organization?organizationId=openorgs____::06b2bdd4093a09b5f6c33521a7bf665c</t>
  </si>
  <si>
    <t>International Institute of Social History (IISH)</t>
  </si>
  <si>
    <t>IISH</t>
  </si>
  <si>
    <t>05dq4pp56</t>
  </si>
  <si>
    <t>https://ror.org/05dq4pp56</t>
  </si>
  <si>
    <t>I932564295</t>
  </si>
  <si>
    <t>https://openalex.org/I932564295</t>
  </si>
  <si>
    <t>openorgs____::a8369fe646a573e841439d2c24396b49</t>
  </si>
  <si>
    <t>https://explore.openaire.eu/search/organization?organizationId=openorgs____::a8369fe646a573e841439d2c24396b49</t>
  </si>
  <si>
    <t>AMOLF, Physics of functional complex matter</t>
  </si>
  <si>
    <t>AMOLF</t>
  </si>
  <si>
    <t>038x9td67</t>
  </si>
  <si>
    <t>https://ror.org/038x9td67</t>
  </si>
  <si>
    <t>I2803035111</t>
  </si>
  <si>
    <t>https://openalex.org/I2803035111</t>
  </si>
  <si>
    <t>openorgs____::990dcc0a2b128304fdde55df641a47b4</t>
  </si>
  <si>
    <t>https://explore.openaire.eu/search/organization?organizationId=openorgs____::990dcc0a2b128304fdde55df641a47b4</t>
  </si>
  <si>
    <t>HZ University of Applied Sciences</t>
  </si>
  <si>
    <t>HZ</t>
  </si>
  <si>
    <t>047cqa323</t>
  </si>
  <si>
    <t>https://ror.org/047cqa323</t>
  </si>
  <si>
    <t>I21019838</t>
  </si>
  <si>
    <t>https://openalex.org/I21019838</t>
  </si>
  <si>
    <t>openorgs____::de44646096a724bdba876f7f573e74eb</t>
  </si>
  <si>
    <t>https://explore.openaire.eu/search/organization?organizationId=openorgs____::de44646096a724bdba876f7f573e74eb</t>
  </si>
  <si>
    <t>HAS Green Academy</t>
  </si>
  <si>
    <t>HASGREEN</t>
  </si>
  <si>
    <t>05p706d77</t>
  </si>
  <si>
    <t>https://ror.org/05p706d77</t>
  </si>
  <si>
    <t>I4210166725</t>
  </si>
  <si>
    <t>https://openalex.org/I4210166725</t>
  </si>
  <si>
    <t>openorgs____::775eab3c1281cb91d53a31c4a1ba1090</t>
  </si>
  <si>
    <t>https://explore.openaire.eu/search/organization?organizationId=openorgs____::775eab3c1281cb91d53a31c4a1ba1090</t>
  </si>
  <si>
    <t>Royal Netherlands Institute of Southeast Asian and Caribbean Studies (KITLV)</t>
  </si>
  <si>
    <t>KITLV</t>
  </si>
  <si>
    <t>01bdv4312</t>
  </si>
  <si>
    <t>https://ror.org/01bdv4312</t>
  </si>
  <si>
    <t>I39431069</t>
  </si>
  <si>
    <t>https://openalex.org/I39431069</t>
  </si>
  <si>
    <t>openorgs____::6a6ff788c9f916d156e88942155543c8</t>
  </si>
  <si>
    <t>https://explore.openaire.eu/search/organization?organizationId=openorgs____::6a6ff788c9f916d156e88942155543c8</t>
  </si>
  <si>
    <t>Christian University of Applied Sciences Viaa</t>
  </si>
  <si>
    <t>CHE</t>
  </si>
  <si>
    <t>04tj5wz42</t>
  </si>
  <si>
    <t>https://ror.org/04tj5wz42</t>
  </si>
  <si>
    <t>I30702933</t>
  </si>
  <si>
    <t>https://openalex.org/I30702933</t>
  </si>
  <si>
    <t>openorgs____::04a66697fceec5d5e3bbf19b85135356</t>
  </si>
  <si>
    <t>https://explore.openaire.eu/search/organization?organizationId=openorgs____::04a66697fceec5d5e3bbf19b85135356</t>
  </si>
  <si>
    <t>University of the Arts Utrecht: HKU</t>
  </si>
  <si>
    <t>HKU</t>
  </si>
  <si>
    <t>018bzp792</t>
  </si>
  <si>
    <t>https://ror.org/018bzp792</t>
  </si>
  <si>
    <t>I2802751956</t>
  </si>
  <si>
    <t>https://openalex.org/I2802751956</t>
  </si>
  <si>
    <t>openorgs____::c143bad570ce1ce6c1c5956f5f2d96ee</t>
  </si>
  <si>
    <t>https://explore.openaire.eu/search/organization?organizationId=openorgs____::c143bad570ce1ce6c1c5956f5f2d96ee</t>
  </si>
  <si>
    <t>Hotelschool The Hague</t>
  </si>
  <si>
    <t>HOTELSCHOOL</t>
  </si>
  <si>
    <t>018t8yw14</t>
  </si>
  <si>
    <t>https://ror.org/018t8yw14</t>
  </si>
  <si>
    <t>I2800143506</t>
  </si>
  <si>
    <t>https://openalex.org/I2800143506</t>
  </si>
  <si>
    <t>openorgs____::a5ac6dbe326433376c900329853d914a</t>
  </si>
  <si>
    <t>https://explore.openaire.eu/search/organization?organizationId=openorgs____::a5ac6dbe326433376c900329853d914a</t>
  </si>
  <si>
    <t>Amsterdam University/School of the Arts</t>
  </si>
  <si>
    <t>AHK</t>
  </si>
  <si>
    <t>04dde1554</t>
  </si>
  <si>
    <t>https://ror.org/04dde1554</t>
  </si>
  <si>
    <t>I4210135670</t>
  </si>
  <si>
    <t>https://openalex.org/I4210135670</t>
  </si>
  <si>
    <t>openorgs____::57a751ebab17a6996ba6836a89548f35</t>
  </si>
  <si>
    <t>https://explore.openaire.eu/search/organization?organizationId=openorgs____::57a751ebab17a6996ba6836a89548f35</t>
  </si>
  <si>
    <t>ArtEZ University of the Arts</t>
  </si>
  <si>
    <t>ARTEZ</t>
  </si>
  <si>
    <t>05az93f25</t>
  </si>
  <si>
    <t>https://ror.org/05az93f25</t>
  </si>
  <si>
    <t>I2800460346</t>
  </si>
  <si>
    <t>https://openalex.org/I2800460346</t>
  </si>
  <si>
    <t>openorgs____::e79c2bf184a99250523a378626875955</t>
  </si>
  <si>
    <t>https://explore.openaire.eu/search/organization?organizationId=openorgs____::e79c2bf184a99250523a378626875955</t>
  </si>
  <si>
    <t>Codarts, University for the Arts</t>
  </si>
  <si>
    <t>CODARTS</t>
  </si>
  <si>
    <t>04vtvrr13</t>
  </si>
  <si>
    <t>https://ror.org/04vtvrr13</t>
  </si>
  <si>
    <t>I2801429410</t>
  </si>
  <si>
    <t>https://openalex.org/I2801429410</t>
  </si>
  <si>
    <t>openorgs____::bb88336ade9d2deeece4dee6262054b4</t>
  </si>
  <si>
    <t>https://explore.openaire.eu/search/organization?organizationId=openorgs____::bb88336ade9d2deeece4dee6262054b4</t>
  </si>
  <si>
    <t>Driestar Christian University for Teacher Education</t>
  </si>
  <si>
    <t>DRIESTAR</t>
  </si>
  <si>
    <t>05jext738</t>
  </si>
  <si>
    <t>https://ror.org/05jext738</t>
  </si>
  <si>
    <t>I4210164431</t>
  </si>
  <si>
    <t>https://openalex.org/I4210164431</t>
  </si>
  <si>
    <t>openorgs____::2d77f3a9829f7a9651ec60f597b479cd</t>
  </si>
  <si>
    <t>https://explore.openaire.eu/search/organization?organizationId=openorgs____::2d77f3a9829f7a9651ec60f597b479cd</t>
  </si>
  <si>
    <t>Design Academy Eindhoven</t>
  </si>
  <si>
    <t>DESIGN</t>
  </si>
  <si>
    <t>039vq9023</t>
  </si>
  <si>
    <t>https://ror.org/039vq9023</t>
  </si>
  <si>
    <t>I68976167</t>
  </si>
  <si>
    <t>https://openalex.org/I68976167</t>
  </si>
  <si>
    <t>openorgs____::4b2a9d306955ede352ba267af8616375</t>
  </si>
  <si>
    <t>https://explore.openaire.eu/search/organization?organizationId=openorgs____::4b2a9d306955ede352ba267af8616375</t>
  </si>
  <si>
    <t>Royal Academy of Art</t>
  </si>
  <si>
    <t>KABK</t>
  </si>
  <si>
    <t>00490vc18</t>
  </si>
  <si>
    <t>https://ror.org/00490vc18</t>
  </si>
  <si>
    <t>I4210088845</t>
  </si>
  <si>
    <t>https://openalex.org/I4210088845</t>
  </si>
  <si>
    <t>openorgs____::919801f3040011bbef2dd28020917c7f</t>
  </si>
  <si>
    <t>https://explore.openaire.eu/search/organization?organizationId=openorgs____::919801f3040011bbef2dd28020917c7f</t>
  </si>
  <si>
    <t>Katholieke (Catholic) Pabo Zwolle, KPZ</t>
  </si>
  <si>
    <t>KPZ</t>
  </si>
  <si>
    <t>05nrjb178</t>
  </si>
  <si>
    <t>https://ror.org/05nrjb178</t>
  </si>
  <si>
    <t>I4210164235</t>
  </si>
  <si>
    <t>https://openalex.org/I4210164235</t>
  </si>
  <si>
    <t>openorgs____::0ac7645722cfee8253ce68cd2ab609c6</t>
  </si>
  <si>
    <t>https://explore.openaire.eu/search/organization?organizationId=openorgs____::0ac7645722cfee8253ce68cd2ab609c6</t>
  </si>
  <si>
    <t>Gerrit Rietveld Academie</t>
  </si>
  <si>
    <t>RIETVELD</t>
  </si>
  <si>
    <t>053jpjd80</t>
  </si>
  <si>
    <t>https://ror.org/053jpjd80</t>
  </si>
  <si>
    <t>I2800065634</t>
  </si>
  <si>
    <t>https://openalex.org/I2800065634</t>
  </si>
  <si>
    <t>openorgs____::95e5f0e3696306902a6749c406bb2728</t>
  </si>
  <si>
    <t>https://explore.openaire.eu/search/organization?organizationId=openorgs____::95e5f0e3696306902a6749c406bb2728</t>
  </si>
  <si>
    <t>IPABO, University of Professional Teacher Education</t>
  </si>
  <si>
    <t>IPABO</t>
  </si>
  <si>
    <t>0230zs006</t>
  </si>
  <si>
    <t>https://ror.org/0230zs006</t>
  </si>
  <si>
    <t>I4210110308</t>
  </si>
  <si>
    <t>https://openalex.org/I4210110308</t>
  </si>
  <si>
    <t>openorgs____::3f27054a1ab469826b9d3a1915452f89</t>
  </si>
  <si>
    <t>https://explore.openaire.eu/search/organization?organizationId=openorgs____::3f27054a1ab469826b9d3a1915452f89</t>
  </si>
  <si>
    <t>Marnix Academie University for Teacher education</t>
  </si>
  <si>
    <t>MARNIX</t>
  </si>
  <si>
    <t>03xws5b35</t>
  </si>
  <si>
    <t>https://ror.org/03xws5b35</t>
  </si>
  <si>
    <t>I4210139697</t>
  </si>
  <si>
    <t>https://openalex.org/I4210139697</t>
  </si>
  <si>
    <t>openorgs____::8cf49add8601037458e4ecdbd63a1c42</t>
  </si>
  <si>
    <t>https://explore.openaire.eu/search/organization?organizationId=openorgs____::8cf49add8601037458e4ecdbd63a1c42</t>
  </si>
  <si>
    <t>De Kempel University of Applied Sciences</t>
  </si>
  <si>
    <t>KEMPEL</t>
  </si>
  <si>
    <t>056k6yz11</t>
  </si>
  <si>
    <t>https://ror.org/056k6yz11</t>
  </si>
  <si>
    <t>I4210155229</t>
  </si>
  <si>
    <t>https://openalex.org/I4210155229</t>
  </si>
  <si>
    <t>openorgs____::4aebed7bd67813bb8a325eb410a392be</t>
  </si>
  <si>
    <t>https://explore.openaire.eu/search/organization?organizationId=openorgs____::4aebed7bd67813bb8a325eb410a392be</t>
  </si>
  <si>
    <t>Iselinge University of Professional Teacher Education</t>
  </si>
  <si>
    <t>ISELINGE</t>
  </si>
  <si>
    <t>047kqmy39</t>
  </si>
  <si>
    <t>https://ror.org/047kqmy39</t>
  </si>
  <si>
    <t>I4210154467</t>
  </si>
  <si>
    <t>https://openalex.org/I4210154467</t>
  </si>
  <si>
    <t>openorgs____::74691942ddde3989519f008b551ebb35</t>
  </si>
  <si>
    <t>https://explore.openaire.eu/search/organization?organizationId=openorgs____::74691942ddde3989519f008b551ebb35</t>
  </si>
  <si>
    <t>UMCG</t>
  </si>
  <si>
    <t>03cv38k47</t>
  </si>
  <si>
    <t>https://ror.org/03cv38k47</t>
  </si>
  <si>
    <t>I1334415907</t>
  </si>
  <si>
    <t>https://openalex.org/I1334415907</t>
  </si>
  <si>
    <t>openorgs____::e1c228979333191a8f4bd6b5f5d01644</t>
  </si>
  <si>
    <t>https://explore.openaire.eu/search/organization?organizationId=openorgs____::e1c228979333191a8f4bd6b5f5d01644</t>
  </si>
  <si>
    <t>KNAW zelf</t>
  </si>
  <si>
    <t>https://ror.org/043c0p156</t>
  </si>
  <si>
    <t>Protestant Theological University</t>
  </si>
  <si>
    <t>https://ror.org/016w23120</t>
  </si>
  <si>
    <t>https://ror.org/02x435584</t>
  </si>
  <si>
    <t>https://ror.org/04w5ec154</t>
  </si>
  <si>
    <t>Beeld en Geluid</t>
  </si>
  <si>
    <t>https://ror.org/025ae8628</t>
  </si>
  <si>
    <t>NWO</t>
  </si>
  <si>
    <t>https://ror.org/04jsz6e67</t>
  </si>
  <si>
    <t>nvt</t>
  </si>
  <si>
    <t>Naturalis</t>
  </si>
  <si>
    <t>https://ror.org/0566bfb96</t>
  </si>
  <si>
    <t>NIVEL</t>
  </si>
  <si>
    <t>https://ror.org/015xq7480</t>
  </si>
  <si>
    <t>Netherlands Aerospace Centre (NLR)</t>
  </si>
  <si>
    <t>Nyenrode</t>
  </si>
  <si>
    <t>https://ror.org/022sw4578</t>
  </si>
  <si>
    <t>https://ror.org/018528593</t>
  </si>
  <si>
    <t>RIVM</t>
  </si>
  <si>
    <t>https://ror.org/01cesdt21</t>
  </si>
  <si>
    <t>SCP</t>
  </si>
  <si>
    <t>https://ror.org/04tagjk85</t>
  </si>
  <si>
    <t>SWOV Institute for Road Safety Research</t>
  </si>
  <si>
    <t>https://ror.org/053tsx367</t>
  </si>
  <si>
    <t>TNO</t>
  </si>
  <si>
    <t>https://ror.org/01bnjb948</t>
  </si>
  <si>
    <t>Theological University  of Apeldoorn</t>
  </si>
  <si>
    <t>https://ror.org/03s2fjy85</t>
  </si>
  <si>
    <t>IHE</t>
  </si>
  <si>
    <t>https://ror.org/030deh410</t>
  </si>
  <si>
    <t>WODC</t>
  </si>
  <si>
    <t>https://ror.org/0002exf56</t>
  </si>
  <si>
    <t>openorgs____::cb77737b5a390319030e6abdb12aa6ad</t>
  </si>
  <si>
    <t>openorgs____::cb04606c0c4eb1696cf4bc74dba44bdf</t>
  </si>
  <si>
    <t>openorgs____::f2a84eb5c508838ba5dd728a1b8ac5ba</t>
  </si>
  <si>
    <t>openorgs____::c1a1811a679593a3e8b973f41bc8c8ea</t>
  </si>
  <si>
    <t>openorgs____::dd29a935a8c8b552752fd00524f5c2a3</t>
  </si>
  <si>
    <t>openorgs____::19274b9a576d284a2b900e2f112f6a0c</t>
  </si>
  <si>
    <t>openorgs____::48ffea8c900e79deaa2256aa2c0a0ee2</t>
  </si>
  <si>
    <t>openorgs____::ee938614ce34e199c2901282deb79db4</t>
  </si>
  <si>
    <t>openorgs____::374bcee2ff43200e9afe71b6dc606e6c</t>
  </si>
  <si>
    <t>openorgs____::0a49c26b60b634e6f8f6334bb8e078ae</t>
  </si>
  <si>
    <t>openorgs____::20e491a3310e7146d52161c825a980ec</t>
  </si>
  <si>
    <t>openorgs____::14e84ae5ab9b8fd2b05b65c19551a416</t>
  </si>
  <si>
    <t>openorgs____::25b87dfee5c1855dab099c5a2eef225a</t>
  </si>
  <si>
    <t>40k+</t>
  </si>
  <si>
    <t>10-40 k</t>
  </si>
  <si>
    <t>5-10 k</t>
  </si>
  <si>
    <t>1-5 k</t>
  </si>
  <si>
    <t>&lt;1 k</t>
  </si>
  <si>
    <t>Totaal</t>
  </si>
  <si>
    <t>Kosten per deelnemer</t>
  </si>
  <si>
    <t>Tier</t>
  </si>
  <si>
    <t>Publicaties/tijdsframe</t>
  </si>
  <si>
    <t>VH (HBO Kennisbank)</t>
  </si>
  <si>
    <t>Aantal deelnemers in Tier</t>
  </si>
  <si>
    <t>Research Output 2020-2023</t>
  </si>
  <si>
    <t>NL-NaMeCo deelnemers die betalen</t>
  </si>
  <si>
    <t>OpenAIRE Bundel</t>
  </si>
  <si>
    <t>Functioneel beheer</t>
  </si>
  <si>
    <t>Incl. OpenAIRE lidmaatschap</t>
  </si>
  <si>
    <t>ja</t>
  </si>
  <si>
    <t>nee</t>
  </si>
  <si>
    <t>Data Archiving Networked Services (DANS)</t>
  </si>
  <si>
    <t>DANS</t>
  </si>
  <si>
    <t>https://ror.org/008pnp284</t>
  </si>
  <si>
    <t>openorgs____::a8767e80afb51d63802fdf1ddabeacb0</t>
  </si>
  <si>
    <t>Netherlands eScience Center</t>
  </si>
  <si>
    <t>NLESC</t>
  </si>
  <si>
    <t>https://ror.org/00rbjv475</t>
  </si>
  <si>
    <t>openorgs____::863c4184481f057bfe695c9c2786a90a</t>
  </si>
  <si>
    <t>UVH</t>
  </si>
  <si>
    <t>University of Humanistic Studies</t>
  </si>
  <si>
    <t>openorgs____::ba45682d5fd11bfdb695ca2fe5a0d377</t>
  </si>
  <si>
    <t>Theological University</t>
  </si>
  <si>
    <t>openorgs____::7d8ba78b303d8a0065029dffb414d4ae</t>
  </si>
  <si>
    <t>Wetenschappelijk Onderzoek- en Documentatiecentrum</t>
  </si>
  <si>
    <t>RIJK</t>
  </si>
  <si>
    <t>IHE Delft Institute for Water Education</t>
  </si>
  <si>
    <t>UN</t>
  </si>
  <si>
    <t>TNO Netherlands Organisation for Applied Scientific Research</t>
  </si>
  <si>
    <t>SCP Netherlands Institute for Social Research</t>
  </si>
  <si>
    <t>RIVM National Institute for Public Health and the Environment</t>
  </si>
  <si>
    <t>SWOV</t>
  </si>
  <si>
    <t>NIVEL Netherlands Institute for Health Services Research</t>
  </si>
  <si>
    <t>Royal Netherlands Academy of Arts and Sciences</t>
  </si>
  <si>
    <t>https://explore.openaire.eu/search/organization?pid=https:%2F%2Fror.org%2F022sw4578</t>
  </si>
  <si>
    <t>Factor</t>
  </si>
  <si>
    <t>Te verdelen Kosten</t>
  </si>
  <si>
    <t>bedrag</t>
  </si>
  <si>
    <t>aantal</t>
  </si>
  <si>
    <t>totaal</t>
  </si>
  <si>
    <t>Formule: Elke tier 50 procent duurder</t>
  </si>
  <si>
    <t>Total</t>
  </si>
  <si>
    <t>Tier stap percentage</t>
  </si>
  <si>
    <t>(Handmatig Aangevuld, Ontbrak in tabel van Bianca) Hoe verschilt dit tov de losse instituten omdat ze een overkoepelend CRIS/repo hebben?</t>
  </si>
  <si>
    <t>(Handmatig Aangevuld, Ontbrak in tabel van Bianca) Levert nog niet denk ik</t>
  </si>
  <si>
    <t xml:space="preserve">(Handmatig Aangevuld, Ontbrak in tabel van Bianca) Projecten plus kleine instituten, kunnen we daar direct info over krijgen.  | </t>
  </si>
  <si>
    <t>(Handmatig Aangevuld, Ontbrak in tabel van Bianca) Benchmark hbo? Vereniging Hogescholen</t>
  </si>
  <si>
    <t>(Handmatig Aangevuld, Ontbrak in tabel van Bianca)  Geen openorg id, maar gevonden via : https://explore.openaire.eu/search/organization?pid=https:%2F%2Fror.org%2F022sw4578</t>
  </si>
  <si>
    <t>(Handmatig Aangevuld, Ontbrak in tabel van Bianca) Niet gekoppeld</t>
  </si>
  <si>
    <t>Opmerkingen</t>
  </si>
  <si>
    <t>openorgs____::994d7f6fc25c5de47b9212bb69524380</t>
  </si>
  <si>
    <t xml:space="preserve">(Handmatig Aangevuld,  Ontbrak in tabel van Bianca) </t>
  </si>
  <si>
    <t>More than 1000 research outputs</t>
  </si>
  <si>
    <t>incl OpenAIRE lidmaatschap</t>
  </si>
  <si>
    <t>Bijdrage aan NL-Research Portal beheer</t>
  </si>
  <si>
    <t>Jan Ingenhouszinstituut</t>
  </si>
  <si>
    <t>aanvullend ivm eigen lidmaatschap</t>
  </si>
  <si>
    <t>Verdeelsleutel variant 1: alle kosten worden verdeeld</t>
  </si>
  <si>
    <t>Totaal per instelling</t>
  </si>
  <si>
    <t>Groep</t>
  </si>
  <si>
    <t>OpenAIRE lidmaatschap (Verplicht voor Groep 1 &amp; 2 deelnemers) (€1.500=Tier 2; voor GERD 1.0-2.5; NL=GERD 2.08)</t>
  </si>
  <si>
    <t>KB</t>
  </si>
  <si>
    <t>Categorie</t>
  </si>
  <si>
    <t>jaarlijks bedrag</t>
  </si>
  <si>
    <r>
      <rPr>
        <b/>
        <sz val="9"/>
        <color theme="1"/>
        <rFont val="Aptos Narrow"/>
        <family val="2"/>
        <scheme val="minor"/>
      </rPr>
      <t xml:space="preserve">OpenAIRE Bundel </t>
    </r>
    <r>
      <rPr>
        <sz val="9"/>
        <color theme="1"/>
        <rFont val="Aptos Narrow"/>
        <family val="2"/>
        <scheme val="minor"/>
      </rPr>
      <t xml:space="preserve">
((10.000 - 30% korting) = 7000 + 24% BTW)</t>
    </r>
  </si>
  <si>
    <r>
      <rPr>
        <b/>
        <sz val="9"/>
        <color theme="1"/>
        <rFont val="Aptos Narrow"/>
        <family val="2"/>
        <scheme val="minor"/>
      </rPr>
      <t xml:space="preserve">Functioneel beheer </t>
    </r>
    <r>
      <rPr>
        <sz val="9"/>
        <color theme="1"/>
        <rFont val="Aptos Narrow"/>
        <family val="2"/>
        <scheme val="minor"/>
      </rPr>
      <t xml:space="preserve">
[Nederlandse contactpersoon tussen repository en CRIS beheerders en OpenAIRE, product management, metadata quality assurance]
(4 uur per week * 48 weken * €75/u)</t>
    </r>
  </si>
  <si>
    <t>Publicaties/tijdsvenster</t>
  </si>
  <si>
    <r>
      <rPr>
        <b/>
        <sz val="9"/>
        <color theme="1"/>
        <rFont val="Aptos Narrow"/>
        <family val="2"/>
        <scheme val="minor"/>
      </rPr>
      <t xml:space="preserve">OpenAIRE Korting
</t>
    </r>
    <r>
      <rPr>
        <sz val="9"/>
        <color theme="1"/>
        <rFont val="Aptos Narrow"/>
        <family val="2"/>
        <scheme val="minor"/>
      </rPr>
      <t>(30% groepskorting voor 7+ national memberships)</t>
    </r>
  </si>
  <si>
    <r>
      <t xml:space="preserve">OpenAIRE Korting
</t>
    </r>
    <r>
      <rPr>
        <sz val="9"/>
        <color theme="1"/>
        <rFont val="Aptos Narrow"/>
        <family val="2"/>
        <scheme val="minor"/>
      </rPr>
      <t>30% korting voor OpenAIRE members die OpenAIRE diensten afnemen</t>
    </r>
  </si>
  <si>
    <r>
      <rPr>
        <b/>
        <sz val="9"/>
        <color theme="1"/>
        <rFont val="Aptos Narrow"/>
        <family val="2"/>
        <scheme val="minor"/>
      </rPr>
      <t xml:space="preserve">Portal doorontwikkelfonds </t>
    </r>
    <r>
      <rPr>
        <sz val="9"/>
        <color theme="1"/>
        <rFont val="Aptos Narrow"/>
        <family val="2"/>
        <scheme val="minor"/>
      </rPr>
      <t xml:space="preserve">
[De 30% korting wordt gebruikt als doorontwikkelfonds. Dit staat los van de reguliere feature updates.] 
(10000 * 30% + 24% BTW) </t>
    </r>
  </si>
  <si>
    <t>Lidmaatschap Kosten</t>
  </si>
  <si>
    <t>Te verdelen Portal Kosten</t>
  </si>
  <si>
    <t>aanvullende lidmaatschaps-kosten</t>
  </si>
  <si>
    <t>OpenAIRE lidmaatschap</t>
  </si>
  <si>
    <t>Belang</t>
  </si>
  <si>
    <t>Zeer groot</t>
  </si>
  <si>
    <t>Groot</t>
  </si>
  <si>
    <t>Aanzienlijk</t>
  </si>
  <si>
    <t>Klein</t>
  </si>
  <si>
    <t>Zeer klein</t>
  </si>
  <si>
    <t>Reken Factor</t>
  </si>
  <si>
    <t>Verplicht aanvullend OpenAIRE lidmaatschap</t>
  </si>
  <si>
    <t>kosten per lidmaatschap</t>
  </si>
  <si>
    <r>
      <rPr>
        <b/>
        <sz val="9"/>
        <color theme="1"/>
        <rFont val="Aptos Narrow"/>
        <family val="2"/>
        <scheme val="minor"/>
      </rPr>
      <t xml:space="preserve">OpenAIRE lidmaatschap </t>
    </r>
    <r>
      <rPr>
        <sz val="9"/>
        <color theme="1"/>
        <rFont val="Aptos Narrow"/>
        <family val="2"/>
        <scheme val="minor"/>
      </rPr>
      <t xml:space="preserve">
[Verplicht voor Categorie 1 &amp; 2 deelnemers, voor andere instellingen is lidmaatschap een vrije keuze; zoals DANS, KB en JI]
 (lidmaatschap €1.500=Tier 2; voor GERD 1.0-2.5; NL=GERD 2.08) + 24% BTW</t>
    </r>
  </si>
  <si>
    <t>Totaal voor beheer</t>
  </si>
  <si>
    <t>totaal voor lidmaatschap</t>
  </si>
  <si>
    <t>aantal leden in categorie</t>
  </si>
  <si>
    <t>Totaal per categorie</t>
  </si>
  <si>
    <t>NL-Research Portal Consortium deelnemers</t>
  </si>
  <si>
    <t>Hieronder is de lijst instellingen die meer dan 1000 publicaties in de OpenAIRE Graph hebben, aangevuld met instellingen die al lid zijn, of een groot belang hebben bij de portal.</t>
  </si>
  <si>
    <t>Uitgangspunt bij deze verdeelsleutel is dat de beheer kosten  (die bestaan uit een service licentie met OpenAIRE en het functioneelhebeer) onderling verdeelt worden, en dat de grootste partijen en partijen met een groot belang lid worden van OpenAIRE.</t>
  </si>
  <si>
    <t>Kostenverdeelmodel voor de NL Research Portal</t>
  </si>
  <si>
    <t>cat1</t>
  </si>
  <si>
    <t>cat2</t>
  </si>
  <si>
    <t>+</t>
  </si>
  <si>
    <t>=</t>
  </si>
  <si>
    <t>Als alleen UKB partijen mee doen, dat is 500,- per jaar meer, dan is de verdeling:</t>
  </si>
  <si>
    <t>VH (HBO Kennisbank) 2 € 2.376</t>
  </si>
  <si>
    <t>Tilburg University 2 € 2.376</t>
  </si>
  <si>
    <t>NWO 2 € 2.376</t>
  </si>
  <si>
    <t>KNAW 3 € 716</t>
  </si>
  <si>
    <t>Naturalis 3 € 716</t>
  </si>
  <si>
    <t>RIVM 3 € 716</t>
  </si>
  <si>
    <t>Open University 3 € 716</t>
  </si>
  <si>
    <t>Data Archiving Networked Services (DANS) 4 € 478</t>
  </si>
  <si>
    <t>NIVEL 4 € 478</t>
  </si>
  <si>
    <t>IHE 4 € 478</t>
  </si>
  <si>
    <t>TNO 4 € 478</t>
  </si>
  <si>
    <t>is akkoord?</t>
  </si>
  <si>
    <t>Contactpersoon naam</t>
  </si>
  <si>
    <t>Contactpersoon email</t>
  </si>
  <si>
    <t>pierre.kraakman@rivm.nl</t>
  </si>
  <si>
    <t>Pierre Kraakman</t>
  </si>
  <si>
    <t>Chris Baars</t>
  </si>
  <si>
    <t>w.ceton@un-ihe.org</t>
  </si>
  <si>
    <t>Wilmar Ceton</t>
  </si>
  <si>
    <t>chris.baars@dans.knaw.nl</t>
  </si>
  <si>
    <t>jesse.prevoo@tno.nl</t>
  </si>
  <si>
    <t>Jesse Prevoo</t>
  </si>
  <si>
    <t>p.vanderheijden@nivel.nl</t>
  </si>
  <si>
    <t>P. van der Heijden</t>
  </si>
  <si>
    <t>alexander.laarman@jii.org</t>
  </si>
  <si>
    <t>Alexander Laarman</t>
  </si>
  <si>
    <t>Maurice Limmen</t>
  </si>
  <si>
    <t>scheefhals@vh.nl</t>
  </si>
  <si>
    <t>h.dejonge@nwo.nl</t>
  </si>
  <si>
    <t>Hans de Jonge</t>
  </si>
  <si>
    <t>Tonny de Wit</t>
  </si>
  <si>
    <t>tonny.dewit@naturalis.nl</t>
  </si>
  <si>
    <t>mellanie.geijen@ou.nl</t>
  </si>
  <si>
    <t>Mellanie Geijen</t>
  </si>
  <si>
    <t>Paul Hofman</t>
  </si>
  <si>
    <t>p.p.m.hofman@tue.nl</t>
  </si>
  <si>
    <t>Marjolein Beumer</t>
  </si>
  <si>
    <t>m.l.t.beumer@tilburguniversity.edu</t>
  </si>
  <si>
    <t>Wendy van Ginkel</t>
  </si>
  <si>
    <t>w.vanginkel@utwente.nl</t>
  </si>
  <si>
    <t>Lucinda Jones</t>
  </si>
  <si>
    <t>lucinda.jones@eur.nl</t>
  </si>
  <si>
    <t>Hubert Krekels</t>
  </si>
  <si>
    <t>hubert.krekels@wur.nl</t>
  </si>
  <si>
    <t>Mariëlle Prevoo</t>
  </si>
  <si>
    <t>marielle.prevoo@maastrichtuniversity.nl</t>
  </si>
  <si>
    <t>Dirk van Gorp</t>
  </si>
  <si>
    <t>d.vangorp@ubn.ru.nl</t>
  </si>
  <si>
    <t>Karlijn Hermans</t>
  </si>
  <si>
    <t>k.s.f.m.hermans@bb.leidenuniv.nl</t>
  </si>
  <si>
    <t>Ana Ranitovic</t>
  </si>
  <si>
    <t>A.Ranitovic@rug.nl</t>
  </si>
  <si>
    <t>Joeri Both</t>
  </si>
  <si>
    <t>j.both@vu.nl</t>
  </si>
  <si>
    <t>f.j.oort@uva.nl</t>
  </si>
  <si>
    <t>Frans Oort</t>
  </si>
  <si>
    <t>Paul Boselie</t>
  </si>
  <si>
    <t>p.boselie@uu.nl</t>
  </si>
  <si>
    <t>Astrid.vanWesenbeeck@KB.nl</t>
  </si>
  <si>
    <t>Astrid van Weesenbeeck</t>
  </si>
  <si>
    <t>Chief Open Science naam</t>
  </si>
  <si>
    <t>Chief Open Science email</t>
  </si>
  <si>
    <t>Library Director naam</t>
  </si>
  <si>
    <t>Wenneke Meerstadt</t>
  </si>
  <si>
    <t>w.p.meerstadt@uu.nl</t>
  </si>
  <si>
    <t>Matthijs van Otegem</t>
  </si>
  <si>
    <t>m.vanotegem@uu.nl</t>
  </si>
  <si>
    <t>Charmian Fokkens</t>
  </si>
  <si>
    <t>c.v.fokkens@uva.nl</t>
  </si>
  <si>
    <t>Carlos Reijnen</t>
  </si>
  <si>
    <t>c.w.c.reijnen@uva.nl</t>
  </si>
  <si>
    <t>Ane van der Leij</t>
  </si>
  <si>
    <t>a.w.van.der.leij@rug.nl</t>
  </si>
  <si>
    <t>Marjolein Nieboer</t>
  </si>
  <si>
    <t>Alenka Princic</t>
  </si>
  <si>
    <t>A.Princic@library.leidenuniv.nl</t>
  </si>
  <si>
    <t>Kurt de Belder</t>
  </si>
  <si>
    <t>Roger van der Hoeven</t>
  </si>
  <si>
    <t>roger.vanderhoeven@ru.nl</t>
  </si>
  <si>
    <t>Barbara Eggels</t>
  </si>
  <si>
    <t>barbara.eggels@ru.nl</t>
  </si>
  <si>
    <t>Hilde van Wijngaarden</t>
  </si>
  <si>
    <t>h.n.van.wijngaarden@vu.nl</t>
  </si>
  <si>
    <t>Alastair Dunning</t>
  </si>
  <si>
    <t>a.c.dunning@tudelft.nl</t>
  </si>
  <si>
    <t>Irene Haslinger</t>
  </si>
  <si>
    <t>Marielle Prevoo</t>
  </si>
  <si>
    <t>Claudia van Oppen</t>
  </si>
  <si>
    <t>c.vanoppen@maastrichtuniversity.nl</t>
  </si>
  <si>
    <t>Diddel Francissen</t>
  </si>
  <si>
    <t>diddel.francissen@eur.nl</t>
  </si>
  <si>
    <t>Ellen Fest</t>
  </si>
  <si>
    <t>ellen.fest@wur.nl</t>
  </si>
  <si>
    <t>Marit van Eckl</t>
  </si>
  <si>
    <t>j.m.vaneck@utwente.nl</t>
  </si>
  <si>
    <t>Library Director email2</t>
  </si>
  <si>
    <t>Sander Bosch</t>
  </si>
  <si>
    <t>s.e.bosch@vu.nl</t>
  </si>
  <si>
    <t>Frank van der Hoeven</t>
  </si>
  <si>
    <t>I.M.Haslinger@tudelft.nl</t>
  </si>
  <si>
    <t>k.f.k.de.belder@library.leidenuniv.nl</t>
  </si>
  <si>
    <t>secretariaat-bibliotheek@rug.nl</t>
  </si>
  <si>
    <t>Daan Rutten</t>
  </si>
  <si>
    <t>D.Rutten@tilburguniversity.edu</t>
  </si>
  <si>
    <t>Zohreh Zahedi</t>
  </si>
  <si>
    <t>zohreh.zahedi@knaw.nl</t>
  </si>
  <si>
    <t>Aline Korterink</t>
  </si>
  <si>
    <t>aline.korterink@knaw.nl</t>
  </si>
  <si>
    <t>Merle Achten</t>
  </si>
  <si>
    <t>merle.achten@ou.nl</t>
  </si>
  <si>
    <t>Simone Kortekaas</t>
  </si>
  <si>
    <t>simone.kortekaas@kb.nl</t>
  </si>
  <si>
    <t>Martijn Kleppe</t>
  </si>
  <si>
    <t>martijn.kleppe@kb.nl</t>
  </si>
  <si>
    <t>Martijn van den Heuvel</t>
  </si>
  <si>
    <t>office.library@wur.nl</t>
  </si>
  <si>
    <t>Sarah Coombs</t>
  </si>
  <si>
    <t>s.k.coombs@saxion.nl</t>
  </si>
  <si>
    <t>Petra Dickhaut</t>
  </si>
  <si>
    <t>p.c.l.dickhaut@tue.nl</t>
  </si>
  <si>
    <t>katrine.bengtsson@ou.nl</t>
  </si>
  <si>
    <t>Katrine Bengtsson</t>
  </si>
  <si>
    <t>Instellingsnaam</t>
  </si>
  <si>
    <t>categorie</t>
  </si>
  <si>
    <t>Library Director email</t>
  </si>
  <si>
    <t>Vereniging Hogescholen (HBO Kennisbank + Publinova)</t>
  </si>
  <si>
    <t>beheerkosten</t>
  </si>
  <si>
    <t>reeds lid van OpenAIRE</t>
  </si>
  <si>
    <t>*</t>
  </si>
  <si>
    <t>reeds lid</t>
  </si>
  <si>
    <t>Vrije Universiteit Amsterdam</t>
  </si>
  <si>
    <t>* zijn partijen die al lid zijn van OpenAIRE, en krijgen korting op het lidmaatschap via deze consortium deal.</t>
  </si>
  <si>
    <t>lidmaatschapskosten</t>
  </si>
  <si>
    <t>is akkoord</t>
  </si>
  <si>
    <t>TEST</t>
  </si>
  <si>
    <t>maurice.vanderfeesten@surf.nl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</si>
</sst>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quot;€&quot;\ * #,##0.00_ ;_ &quot;€&quot;\ * \-#,##0.00_ ;_ &quot;€&quot;\ * &quot;-&quot;??_ ;_ @_ "/>
    <numFmt numFmtId="43" formatCode="_ * #,##0.00_ ;_ * \-#,##0.00_ ;_ * &quot;-&quot;??_ ;_ @_ "/>
    <numFmt numFmtId="164" formatCode="[$€-813]\ #,##0.00"/>
    <numFmt numFmtId="165" formatCode="[$€-413]\ #,##0.00"/>
    <numFmt numFmtId="166" formatCode="_ * #,##0_ ;_ * \-#,##0_ ;_ * &quot;-&quot;??_ ;_ @_ "/>
    <numFmt numFmtId="167" formatCode="_ &quot;€&quot;\ * #,##0_ ;_ &quot;€&quot;\ * \-#,##0_ ;_ &quot;€&quot;\ * &quot;-&quot;??_ ;_ @_ "/>
    <numFmt numFmtId="168" formatCode="&quot;€&quot;\ #,##0"/>
  </numFmts>
  <fonts count="2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11"/>
      <color rgb="FF000000"/>
      <name val="Calibri"/>
      <family val="2"/>
    </font>
    <font>
      <sz val="9"/>
      <color theme="1"/>
      <name val="Aptos Narrow"/>
      <family val="2"/>
      <scheme val="minor"/>
    </font>
    <font>
      <sz val="9"/>
      <color rgb="FF3F3F76"/>
      <name val="Aptos Narrow"/>
      <family val="2"/>
      <scheme val="minor"/>
    </font>
    <font>
      <b/>
      <sz val="9"/>
      <color rgb="FFFA7D00"/>
      <name val="Aptos Narrow"/>
      <family val="2"/>
      <scheme val="minor"/>
    </font>
    <font>
      <b/>
      <i/>
      <sz val="9"/>
      <color theme="1"/>
      <name val="Aptos Narrow"/>
      <family val="2"/>
      <scheme val="minor"/>
    </font>
    <font>
      <b/>
      <sz val="9"/>
      <color theme="1"/>
      <name val="Aptos Narrow"/>
      <family val="2"/>
      <scheme val="minor"/>
    </font>
    <font>
      <b/>
      <sz val="9"/>
      <color theme="0"/>
      <name val="Aptos Narrow"/>
      <family val="2"/>
      <scheme val="minor"/>
    </font>
    <font>
      <sz val="9"/>
      <color theme="1"/>
      <name val="Aptos Narrow"/>
      <family val="2"/>
    </font>
    <font>
      <sz val="16"/>
      <color theme="1"/>
      <name val="Aptos Display"/>
      <family val="2"/>
      <scheme val="major"/>
    </font>
    <font>
      <i/>
      <sz val="9"/>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57">
    <xf numFmtId="0" fontId="0" fillId="0" borderId="0" xfId="0"/>
    <xf numFmtId="0" fontId="0" fillId="33" borderId="0" xfId="0" applyFill="1"/>
    <xf numFmtId="11" fontId="0" fillId="33" borderId="0" xfId="0" applyNumberFormat="1" applyFill="1"/>
    <xf numFmtId="0" fontId="0" fillId="34" borderId="0" xfId="0" applyFill="1"/>
    <xf numFmtId="0" fontId="19" fillId="0" borderId="0" xfId="0" applyFont="1"/>
    <xf numFmtId="9" fontId="0" fillId="0" borderId="0" xfId="0" applyNumberFormat="1"/>
    <xf numFmtId="164" fontId="0" fillId="0" borderId="0" xfId="0" applyNumberFormat="1"/>
    <xf numFmtId="0" fontId="16" fillId="0" borderId="0" xfId="0" applyFont="1"/>
    <xf numFmtId="165" fontId="0" fillId="0" borderId="0" xfId="0" applyNumberFormat="1"/>
    <xf numFmtId="166" fontId="0" fillId="0" borderId="0" xfId="43" applyNumberFormat="1" applyFont="1"/>
    <xf numFmtId="0" fontId="18" fillId="0" borderId="0" xfId="42" applyAlignment="1">
      <alignment horizontal="left" vertical="center"/>
    </xf>
    <xf numFmtId="166" fontId="0" fillId="34" borderId="0" xfId="43" applyNumberFormat="1" applyFont="1" applyFill="1"/>
    <xf numFmtId="166" fontId="0" fillId="33" borderId="0" xfId="43" applyNumberFormat="1" applyFont="1" applyFill="1"/>
    <xf numFmtId="0" fontId="18" fillId="0" borderId="0" xfId="42" applyFill="1"/>
    <xf numFmtId="0" fontId="20" fillId="0" borderId="0" xfId="0" applyFont="1" applyAlignment="1">
      <alignment wrapText="1"/>
    </xf>
    <xf numFmtId="0" fontId="20" fillId="0" borderId="0" xfId="0" applyFont="1"/>
    <xf numFmtId="166" fontId="20" fillId="0" borderId="0" xfId="43" applyNumberFormat="1" applyFont="1" applyBorder="1"/>
    <xf numFmtId="166" fontId="20" fillId="0" borderId="0" xfId="43" applyNumberFormat="1" applyFont="1" applyFill="1" applyBorder="1"/>
    <xf numFmtId="168" fontId="20" fillId="0" borderId="0" xfId="44" applyNumberFormat="1" applyFont="1" applyBorder="1"/>
    <xf numFmtId="168" fontId="20" fillId="0" borderId="0" xfId="44" applyNumberFormat="1" applyFont="1" applyBorder="1" applyAlignment="1">
      <alignment horizontal="center"/>
    </xf>
    <xf numFmtId="168" fontId="20" fillId="0" borderId="0" xfId="44" applyNumberFormat="1" applyFont="1" applyFill="1" applyBorder="1"/>
    <xf numFmtId="166" fontId="20" fillId="0" borderId="0" xfId="0" applyNumberFormat="1" applyFont="1"/>
    <xf numFmtId="168" fontId="20" fillId="0" borderId="0" xfId="0" applyNumberFormat="1" applyFont="1"/>
    <xf numFmtId="168" fontId="20" fillId="0" borderId="0" xfId="44" applyNumberFormat="1" applyFont="1"/>
    <xf numFmtId="1" fontId="20" fillId="0" borderId="0" xfId="0" applyNumberFormat="1" applyFont="1"/>
    <xf numFmtId="167" fontId="20" fillId="0" borderId="0" xfId="0" applyNumberFormat="1" applyFont="1"/>
    <xf numFmtId="0" fontId="20" fillId="0" borderId="0" xfId="0" quotePrefix="1" applyFont="1"/>
    <xf numFmtId="0" fontId="22" fillId="6" borderId="4" xfId="11" applyFont="1"/>
    <xf numFmtId="0" fontId="22" fillId="6" borderId="4" xfId="11" applyFont="1" applyAlignment="1">
      <alignment horizontal="right"/>
    </xf>
    <xf numFmtId="9" fontId="21" fillId="5" borderId="4" xfId="9" applyNumberFormat="1" applyFont="1"/>
    <xf numFmtId="0" fontId="23" fillId="0" borderId="0" xfId="0" quotePrefix="1" applyFont="1"/>
    <xf numFmtId="0" fontId="23" fillId="0" borderId="0" xfId="0" applyFont="1"/>
    <xf numFmtId="0" fontId="23" fillId="0" borderId="0" xfId="0" applyFont="1" applyAlignment="1">
      <alignment horizontal="right"/>
    </xf>
    <xf numFmtId="0" fontId="24" fillId="0" borderId="0" xfId="0" applyFont="1" applyAlignment="1">
      <alignment horizontal="center"/>
    </xf>
    <xf numFmtId="0" fontId="24" fillId="0" borderId="0" xfId="0" applyFont="1"/>
    <xf numFmtId="0" fontId="20" fillId="0" borderId="0" xfId="0" applyFont="1" applyAlignment="1">
      <alignment horizontal="center"/>
    </xf>
    <xf numFmtId="168" fontId="20" fillId="0" borderId="0" xfId="44" applyNumberFormat="1" applyFont="1" applyFill="1" applyBorder="1" applyAlignment="1">
      <alignment horizontal="center"/>
    </xf>
    <xf numFmtId="0" fontId="20" fillId="0" borderId="0" xfId="0" applyFont="1" applyAlignment="1">
      <alignment horizontal="center" wrapText="1"/>
    </xf>
    <xf numFmtId="0" fontId="18" fillId="34" borderId="0" xfId="42" applyFill="1"/>
    <xf numFmtId="168" fontId="26" fillId="0" borderId="0" xfId="0" applyNumberFormat="1" applyFont="1"/>
    <xf numFmtId="0" fontId="27" fillId="0" borderId="0" xfId="0" applyFont="1"/>
    <xf numFmtId="0" fontId="25" fillId="0" borderId="10" xfId="0" applyFont="1" applyBorder="1"/>
    <xf numFmtId="0" fontId="20" fillId="0" borderId="11" xfId="0" applyFont="1" applyBorder="1" applyAlignment="1">
      <alignment wrapText="1"/>
    </xf>
    <xf numFmtId="168" fontId="20" fillId="0" borderId="11" xfId="44" applyNumberFormat="1" applyFont="1" applyFill="1" applyBorder="1"/>
    <xf numFmtId="1" fontId="20" fillId="0" borderId="11" xfId="0" applyNumberFormat="1" applyFont="1" applyBorder="1"/>
    <xf numFmtId="0" fontId="20" fillId="0" borderId="11" xfId="0" applyFont="1" applyBorder="1"/>
    <xf numFmtId="168" fontId="20" fillId="0" borderId="11" xfId="0" applyNumberFormat="1" applyFont="1" applyBorder="1"/>
    <xf numFmtId="0" fontId="24" fillId="0" borderId="0" xfId="0" applyFont="1" applyAlignment="1">
      <alignment wrapText="1"/>
    </xf>
    <xf numFmtId="166" fontId="20" fillId="0" borderId="0" xfId="43" applyNumberFormat="1" applyFont="1" applyFill="1" applyBorder="1" applyAlignment="1">
      <alignment horizontal="center"/>
    </xf>
    <xf numFmtId="0" fontId="26" fillId="0" borderId="0" xfId="0" applyFont="1"/>
    <xf numFmtId="0" fontId="28" fillId="0" borderId="0" xfId="0" applyFont="1"/>
    <xf numFmtId="168" fontId="20" fillId="8" borderId="8" xfId="15" applyNumberFormat="1" applyFont="1"/>
    <xf numFmtId="0" fontId="0" fillId="8" borderId="8" xfId="15" applyFont="1"/>
    <xf numFmtId="0" fontId="20" fillId="8" borderId="8" xfId="15" applyFont="1"/>
    <xf numFmtId="0" fontId="20" fillId="8" borderId="8" xfId="15" quotePrefix="1" applyFont="1"/>
    <xf numFmtId="168" fontId="0" fillId="0" borderId="0" xfId="0" applyNumberFormat="1"/>
    <xf numFmtId="0" fontId="0" fillId="0" borderId="0" xfId="0" applyFill="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Currency" xfId="44"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5">
    <dxf>
      <numFmt numFmtId="166" formatCode="_ * #,##0_ ;_ * \-#,##0_ ;_ * &quot;-&quot;??_ ;_ @_ "/>
    </dxf>
    <dxf>
      <font>
        <b val="0"/>
        <i val="0"/>
        <strike val="0"/>
        <condense val="0"/>
        <extend val="0"/>
        <outline val="0"/>
        <shadow val="0"/>
        <u val="none"/>
        <vertAlign val="baseline"/>
        <sz val="9"/>
        <color theme="1"/>
        <name val="Aptos Narrow"/>
        <family val="2"/>
        <scheme val="none"/>
      </font>
    </dxf>
    <dxf>
      <font>
        <b val="0"/>
        <i val="0"/>
        <strike val="0"/>
        <condense val="0"/>
        <extend val="0"/>
        <outline val="0"/>
        <shadow val="0"/>
        <u val="none"/>
        <vertAlign val="baseline"/>
        <sz val="9"/>
        <color theme="1"/>
        <name val="Aptos Narrow"/>
        <family val="2"/>
        <scheme val="none"/>
      </font>
      <numFmt numFmtId="168" formatCode="&quot;€&quot;\ #,##0"/>
    </dxf>
    <dxf>
      <font>
        <b val="0"/>
        <i val="0"/>
        <strike val="0"/>
        <condense val="0"/>
        <extend val="0"/>
        <outline val="0"/>
        <shadow val="0"/>
        <u val="none"/>
        <vertAlign val="baseline"/>
        <sz val="9"/>
        <color theme="1"/>
        <name val="Aptos Narrow"/>
        <family val="2"/>
        <scheme val="none"/>
      </font>
      <numFmt numFmtId="168" formatCode="&quot;€&quot;\ #,##0"/>
    </dxf>
    <dxf>
      <font>
        <b val="0"/>
        <i val="0"/>
        <strike val="0"/>
        <condense val="0"/>
        <extend val="0"/>
        <outline val="0"/>
        <shadow val="0"/>
        <u val="none"/>
        <vertAlign val="baseline"/>
        <sz val="9"/>
        <color theme="1"/>
        <name val="Aptos Narrow"/>
        <family val="2"/>
        <scheme val="none"/>
      </font>
      <numFmt numFmtId="168" formatCode="&quot;€&quot;\ #,##0"/>
    </dxf>
    <dxf>
      <font>
        <b val="0"/>
        <i val="0"/>
        <strike val="0"/>
        <condense val="0"/>
        <extend val="0"/>
        <outline val="0"/>
        <shadow val="0"/>
        <u val="none"/>
        <vertAlign val="baseline"/>
        <sz val="9"/>
        <color theme="1"/>
        <name val="Aptos Narrow"/>
        <family val="2"/>
        <scheme val="none"/>
      </font>
      <numFmt numFmtId="168" formatCode="&quot;€&quot;\ #,##0"/>
    </dxf>
    <dxf>
      <font>
        <b val="0"/>
        <i val="0"/>
        <strike val="0"/>
        <condense val="0"/>
        <extend val="0"/>
        <outline val="0"/>
        <shadow val="0"/>
        <u val="none"/>
        <vertAlign val="baseline"/>
        <sz val="9"/>
        <color theme="1"/>
        <name val="Aptos Narrow"/>
        <family val="2"/>
        <scheme val="none"/>
      </font>
      <numFmt numFmtId="168" formatCode="&quot;€&quot;\ #,##0"/>
    </dxf>
    <dxf>
      <font>
        <b val="0"/>
        <i val="0"/>
        <strike val="0"/>
        <condense val="0"/>
        <extend val="0"/>
        <outline val="0"/>
        <shadow val="0"/>
        <u val="none"/>
        <vertAlign val="baseline"/>
        <sz val="9"/>
        <color theme="1"/>
        <name val="Aptos Narrow"/>
        <family val="2"/>
        <scheme val="none"/>
      </font>
      <numFmt numFmtId="168" formatCode="&quot;€&quot;\ #,##0"/>
    </dxf>
    <dxf>
      <font>
        <b val="0"/>
        <i val="0"/>
        <strike val="0"/>
        <condense val="0"/>
        <extend val="0"/>
        <outline val="0"/>
        <shadow val="0"/>
        <u val="none"/>
        <vertAlign val="baseline"/>
        <sz val="9"/>
        <color theme="1"/>
        <name val="Aptos Narrow"/>
        <family val="2"/>
        <scheme val="none"/>
      </font>
      <numFmt numFmtId="168" formatCode="&quot;€&quot;\ #,##0"/>
    </dxf>
    <dxf>
      <font>
        <b val="0"/>
        <i val="0"/>
        <strike val="0"/>
        <condense val="0"/>
        <extend val="0"/>
        <outline val="0"/>
        <shadow val="0"/>
        <u val="none"/>
        <vertAlign val="baseline"/>
        <sz val="9"/>
        <color theme="1"/>
        <name val="Aptos Narrow"/>
        <family val="2"/>
        <scheme val="minor"/>
      </font>
      <numFmt numFmtId="168" formatCode="&quot;€&quot;\ #,##0"/>
    </dxf>
    <dxf>
      <font>
        <b val="0"/>
        <i val="0"/>
        <strike val="0"/>
        <condense val="0"/>
        <extend val="0"/>
        <outline val="0"/>
        <shadow val="0"/>
        <u val="none"/>
        <vertAlign val="baseline"/>
        <sz val="9"/>
        <color theme="1"/>
        <name val="Aptos Narrow"/>
        <family val="2"/>
        <scheme val="minor"/>
      </font>
    </dxf>
    <dxf>
      <font>
        <b val="0"/>
        <i val="0"/>
        <strike val="0"/>
        <condense val="0"/>
        <extend val="0"/>
        <outline val="0"/>
        <shadow val="0"/>
        <u val="none"/>
        <vertAlign val="baseline"/>
        <sz val="9"/>
        <color theme="1"/>
        <name val="Aptos Narrow"/>
        <family val="2"/>
        <scheme val="minor"/>
      </font>
      <numFmt numFmtId="168" formatCode="&quot;€&quot;\ #,##0"/>
    </dxf>
    <dxf>
      <font>
        <b val="0"/>
        <i val="0"/>
        <strike val="0"/>
        <condense val="0"/>
        <extend val="0"/>
        <outline val="0"/>
        <shadow val="0"/>
        <u val="none"/>
        <vertAlign val="baseline"/>
        <sz val="9"/>
        <color theme="1"/>
        <name val="Aptos Narrow"/>
        <family val="2"/>
        <scheme val="minor"/>
      </font>
    </dxf>
    <dxf>
      <font>
        <b val="0"/>
        <i val="0"/>
        <strike val="0"/>
        <condense val="0"/>
        <extend val="0"/>
        <outline val="0"/>
        <shadow val="0"/>
        <u val="none"/>
        <vertAlign val="baseline"/>
        <sz val="9"/>
        <color theme="1"/>
        <name val="Aptos Narrow"/>
        <family val="2"/>
        <scheme val="minor"/>
      </font>
      <numFmt numFmtId="166" formatCode="_ * #,##0_ ;_ * \-#,##0_ ;_ * &quot;-&quot;??_ ;_ @_ "/>
    </dxf>
    <dxf>
      <font>
        <b val="0"/>
        <i val="0"/>
        <strike val="0"/>
        <condense val="0"/>
        <extend val="0"/>
        <outline val="0"/>
        <shadow val="0"/>
        <u val="none"/>
        <vertAlign val="baseline"/>
        <sz val="9"/>
        <color theme="1"/>
        <name val="Aptos Narrow"/>
        <family val="2"/>
        <scheme val="minor"/>
      </font>
    </dxf>
    <dxf>
      <font>
        <b val="0"/>
        <i val="0"/>
        <strike val="0"/>
        <condense val="0"/>
        <extend val="0"/>
        <outline val="0"/>
        <shadow val="0"/>
        <u val="none"/>
        <vertAlign val="baseline"/>
        <sz val="9"/>
        <color theme="1"/>
        <name val="Aptos Narrow"/>
        <family val="2"/>
        <scheme val="minor"/>
      </font>
    </dxf>
    <dxf>
      <font>
        <strike val="0"/>
        <outline val="0"/>
        <shadow val="0"/>
        <u val="none"/>
        <vertAlign val="baseline"/>
        <sz val="9"/>
        <name val="Aptos Narrow"/>
        <family val="2"/>
        <scheme val="none"/>
      </font>
      <fill>
        <patternFill patternType="none">
          <fgColor rgb="FF000000"/>
          <bgColor auto="1"/>
        </patternFill>
      </fill>
    </dxf>
    <dxf>
      <font>
        <b val="0"/>
        <i val="0"/>
        <strike val="0"/>
        <condense val="0"/>
        <extend val="0"/>
        <outline val="0"/>
        <shadow val="0"/>
        <u val="none"/>
        <vertAlign val="baseline"/>
        <sz val="9"/>
        <color theme="1"/>
        <name val="Aptos Narrow"/>
        <family val="2"/>
        <scheme val="none"/>
      </font>
      <numFmt numFmtId="168" formatCode="&quot;€&quot;\ #,##0"/>
    </dxf>
    <dxf>
      <font>
        <b val="0"/>
        <i val="0"/>
        <strike val="0"/>
        <condense val="0"/>
        <extend val="0"/>
        <outline val="0"/>
        <shadow val="0"/>
        <u val="none"/>
        <vertAlign val="baseline"/>
        <sz val="9"/>
        <color theme="1"/>
        <name val="Aptos Narrow"/>
        <family val="2"/>
        <scheme val="none"/>
      </font>
      <numFmt numFmtId="168" formatCode="&quot;€&quot;\ #,##0"/>
    </dxf>
    <dxf>
      <font>
        <b val="0"/>
        <i val="0"/>
        <strike val="0"/>
        <condense val="0"/>
        <extend val="0"/>
        <outline val="0"/>
        <shadow val="0"/>
        <u val="none"/>
        <vertAlign val="baseline"/>
        <sz val="9"/>
        <color theme="1"/>
        <name val="Aptos Narrow"/>
        <family val="2"/>
        <scheme val="none"/>
      </font>
      <numFmt numFmtId="168" formatCode="&quot;€&quot;\ #,##0"/>
    </dxf>
    <dxf>
      <font>
        <b val="0"/>
        <i val="0"/>
        <strike val="0"/>
        <condense val="0"/>
        <extend val="0"/>
        <outline val="0"/>
        <shadow val="0"/>
        <u val="none"/>
        <vertAlign val="baseline"/>
        <sz val="9"/>
        <color theme="1"/>
        <name val="Aptos Narrow"/>
        <family val="2"/>
        <scheme val="none"/>
      </font>
      <numFmt numFmtId="168" formatCode="&quot;€&quot;\ #,##0"/>
    </dxf>
    <dxf>
      <font>
        <b val="0"/>
        <i val="0"/>
        <strike val="0"/>
        <condense val="0"/>
        <extend val="0"/>
        <outline val="0"/>
        <shadow val="0"/>
        <u val="none"/>
        <vertAlign val="baseline"/>
        <sz val="9"/>
        <color theme="1"/>
        <name val="Aptos Narrow"/>
        <family val="2"/>
        <scheme val="none"/>
      </font>
      <numFmt numFmtId="168" formatCode="&quot;€&quot;\ #,##0"/>
    </dxf>
    <dxf>
      <font>
        <b val="0"/>
        <i val="0"/>
        <strike val="0"/>
        <condense val="0"/>
        <extend val="0"/>
        <outline val="0"/>
        <shadow val="0"/>
        <u val="none"/>
        <vertAlign val="baseline"/>
        <sz val="9"/>
        <color theme="1"/>
        <name val="Aptos Narrow"/>
        <family val="2"/>
        <scheme val="none"/>
      </font>
      <numFmt numFmtId="168" formatCode="&quot;€&quot;\ #,##0"/>
    </dxf>
    <dxf>
      <font>
        <strike val="0"/>
        <outline val="0"/>
        <shadow val="0"/>
        <u val="none"/>
        <vertAlign val="baseline"/>
        <sz val="9"/>
        <name val="Aptos Narrow"/>
        <family val="2"/>
        <scheme val="none"/>
      </font>
      <numFmt numFmtId="168" formatCode="&quot;€&quot;\ #,##0"/>
      <fill>
        <patternFill patternType="none">
          <fgColor rgb="FF000000"/>
          <bgColor auto="1"/>
        </patternFill>
      </fill>
    </dxf>
    <dxf>
      <font>
        <strike val="0"/>
        <outline val="0"/>
        <shadow val="0"/>
        <u val="none"/>
        <vertAlign val="baseline"/>
        <sz val="9"/>
        <name val="Aptos Narrow"/>
        <family val="2"/>
        <scheme val="minor"/>
      </font>
      <numFmt numFmtId="168" formatCode="&quot;€&quot;\ #,##0"/>
      <fill>
        <patternFill patternType="none">
          <fgColor indexed="64"/>
          <bgColor auto="1"/>
        </patternFill>
      </fill>
    </dxf>
    <dxf>
      <font>
        <strike val="0"/>
        <outline val="0"/>
        <shadow val="0"/>
        <u val="none"/>
        <vertAlign val="baseline"/>
        <sz val="9"/>
        <name val="Aptos Narrow"/>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9"/>
        <name val="Aptos Narrow"/>
        <family val="2"/>
        <scheme val="minor"/>
      </font>
      <numFmt numFmtId="168" formatCode="&quot;€&quot;\ #,##0"/>
      <fill>
        <patternFill patternType="none">
          <fgColor indexed="64"/>
          <bgColor auto="1"/>
        </patternFill>
      </fill>
    </dxf>
    <dxf>
      <font>
        <strike val="0"/>
        <outline val="0"/>
        <shadow val="0"/>
        <u val="none"/>
        <vertAlign val="baseline"/>
        <sz val="9"/>
        <name val="Aptos Narrow"/>
        <family val="2"/>
        <scheme val="minor"/>
      </font>
      <numFmt numFmtId="166" formatCode="_ * #,##0_ ;_ * \-#,##0_ ;_ * &quot;-&quot;??_ ;_ @_ "/>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name val="Aptos Narrow"/>
        <family val="2"/>
        <scheme val="minor"/>
      </font>
      <numFmt numFmtId="166" formatCode="_ * #,##0_ ;_ * \-#,##0_ ;_ * &quot;-&quot;??_ ;_ @_ "/>
      <fill>
        <patternFill patternType="none">
          <fgColor indexed="64"/>
          <bgColor indexed="65"/>
        </patternFill>
      </fill>
    </dxf>
    <dxf>
      <font>
        <b val="0"/>
        <i val="0"/>
        <strike val="0"/>
        <condense val="0"/>
        <extend val="0"/>
        <outline val="0"/>
        <shadow val="0"/>
        <u val="none"/>
        <vertAlign val="baseline"/>
        <sz val="9"/>
        <color theme="1"/>
        <name val="Aptos Narrow"/>
        <family val="2"/>
        <scheme val="minor"/>
      </font>
    </dxf>
    <dxf>
      <font>
        <strike val="0"/>
        <outline val="0"/>
        <shadow val="0"/>
        <u val="none"/>
        <vertAlign val="baseline"/>
        <sz val="9"/>
        <name val="Aptos Narrow"/>
        <family val="2"/>
        <scheme val="minor"/>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6"/>
      </font>
    </dxf>
    <dxf>
      <numFmt numFmtId="168" formatCode="&quot;€&quot;\ #,##0"/>
    </dxf>
    <dxf>
      <numFmt numFmtId="168" formatCode="&quot;€&quot;\ #,##0"/>
    </dxf>
    <dxf>
      <numFmt numFmtId="0" formatCode="General"/>
    </dxf>
    <dxf>
      <numFmt numFmtId="168" formatCode="&quot;€&quot;\ #,##0"/>
    </dxf>
    <dxf>
      <font>
        <b val="0"/>
        <i val="0"/>
        <strike val="0"/>
        <condense val="0"/>
        <extend val="0"/>
        <outline val="0"/>
        <shadow val="0"/>
        <u val="none"/>
        <vertAlign val="baseline"/>
        <sz val="9"/>
        <color theme="1"/>
        <name val="Aptos Narrow"/>
        <family val="2"/>
        <scheme val="minor"/>
      </font>
    </dxf>
    <dxf>
      <font>
        <strike val="0"/>
        <outline val="0"/>
        <shadow val="0"/>
        <u val="none"/>
        <vertAlign val="baseline"/>
        <sz val="9"/>
        <name val="Aptos Narrow"/>
        <family val="2"/>
        <scheme val="minor"/>
      </font>
    </dxf>
    <dxf>
      <font>
        <strike val="0"/>
        <outline val="0"/>
        <shadow val="0"/>
        <u val="none"/>
        <vertAlign val="baseline"/>
        <sz val="9"/>
        <color theme="1"/>
        <name val="Aptos Narrow"/>
        <family val="2"/>
        <scheme val="minor"/>
      </font>
      <numFmt numFmtId="168" formatCode="&quot;€&quot;\ #,##0"/>
    </dxf>
    <dxf>
      <font>
        <strike val="0"/>
        <outline val="0"/>
        <shadow val="0"/>
        <u val="none"/>
        <vertAlign val="baseline"/>
        <sz val="9"/>
        <name val="Aptos Narrow"/>
        <family val="2"/>
        <scheme val="minor"/>
      </font>
      <numFmt numFmtId="168" formatCode="&quot;€&quot;\ #,##0"/>
    </dxf>
    <dxf>
      <font>
        <strike val="0"/>
        <outline val="0"/>
        <shadow val="0"/>
        <u val="none"/>
        <vertAlign val="baseline"/>
        <sz val="9"/>
        <color theme="1"/>
        <name val="Aptos Narrow"/>
        <family val="2"/>
        <scheme val="minor"/>
      </font>
    </dxf>
    <dxf>
      <font>
        <strike val="0"/>
        <outline val="0"/>
        <shadow val="0"/>
        <u val="none"/>
        <vertAlign val="baseline"/>
        <sz val="9"/>
        <name val="Aptos Narrow"/>
        <family val="2"/>
        <scheme val="minor"/>
      </font>
      <numFmt numFmtId="168" formatCode="&quot;€&quot;\ #,##0"/>
    </dxf>
    <dxf>
      <font>
        <strike val="0"/>
        <outline val="0"/>
        <shadow val="0"/>
        <u val="none"/>
        <vertAlign val="baseline"/>
        <sz val="9"/>
        <color theme="1"/>
        <name val="Aptos Narrow"/>
        <family val="2"/>
        <scheme val="minor"/>
      </font>
    </dxf>
    <dxf>
      <font>
        <strike val="0"/>
        <outline val="0"/>
        <shadow val="0"/>
        <u val="none"/>
        <vertAlign val="baseline"/>
        <sz val="9"/>
        <name val="Aptos Narrow"/>
        <family val="2"/>
        <scheme val="minor"/>
      </font>
    </dxf>
    <dxf>
      <font>
        <b val="0"/>
        <i val="0"/>
        <strike val="0"/>
        <condense val="0"/>
        <extend val="0"/>
        <outline val="0"/>
        <shadow val="0"/>
        <u val="none"/>
        <vertAlign val="baseline"/>
        <sz val="9"/>
        <color theme="1"/>
        <name val="Aptos Narrow"/>
        <family val="2"/>
        <scheme val="minor"/>
      </font>
    </dxf>
    <dxf>
      <font>
        <strike val="0"/>
        <outline val="0"/>
        <shadow val="0"/>
        <u val="none"/>
        <vertAlign val="baseline"/>
        <sz val="9"/>
        <name val="Aptos Narrow"/>
        <family val="2"/>
        <scheme val="minor"/>
      </font>
    </dxf>
    <dxf>
      <font>
        <b val="0"/>
        <i val="0"/>
        <strike val="0"/>
        <condense val="0"/>
        <extend val="0"/>
        <outline val="0"/>
        <shadow val="0"/>
        <u val="none"/>
        <vertAlign val="baseline"/>
        <sz val="9"/>
        <color theme="1"/>
        <name val="Aptos Narrow"/>
        <family val="2"/>
        <scheme val="minor"/>
      </font>
    </dxf>
    <dxf>
      <font>
        <strike val="0"/>
        <outline val="0"/>
        <shadow val="0"/>
        <u val="none"/>
        <vertAlign val="baseline"/>
        <sz val="9"/>
        <name val="Aptos Narrow"/>
        <family val="2"/>
        <scheme val="minor"/>
      </font>
    </dxf>
    <dxf>
      <font>
        <b val="0"/>
        <i val="0"/>
        <strike val="0"/>
        <condense val="0"/>
        <extend val="0"/>
        <outline val="0"/>
        <shadow val="0"/>
        <u val="none"/>
        <vertAlign val="baseline"/>
        <sz val="9"/>
        <color theme="1"/>
        <name val="Aptos Narrow"/>
        <family val="2"/>
        <scheme val="minor"/>
      </font>
      <alignment horizontal="center" vertical="bottom" textRotation="0" wrapText="0" indent="0" justifyLastLine="0" shrinkToFit="0" readingOrder="0"/>
    </dxf>
    <dxf>
      <font>
        <strike val="0"/>
        <outline val="0"/>
        <shadow val="0"/>
        <u val="none"/>
        <vertAlign val="baseline"/>
        <sz val="9"/>
        <name val="Aptos Narrow"/>
        <family val="2"/>
        <scheme val="minor"/>
      </font>
      <alignment horizontal="center" vertical="bottom" textRotation="0" wrapText="0" indent="0" justifyLastLine="0" shrinkToFit="0" readingOrder="0"/>
    </dxf>
    <dxf>
      <font>
        <strike val="0"/>
        <outline val="0"/>
        <shadow val="0"/>
        <u val="none"/>
        <vertAlign val="baseline"/>
        <sz val="9"/>
        <name val="Aptos Narrow"/>
        <family val="2"/>
        <scheme val="minor"/>
      </font>
    </dxf>
    <dxf>
      <font>
        <strike val="0"/>
        <outline val="0"/>
        <shadow val="0"/>
        <u val="none"/>
        <vertAlign val="baseline"/>
        <sz val="9"/>
        <name val="Aptos Narrow"/>
        <family val="2"/>
        <scheme val="minor"/>
      </font>
    </dxf>
    <dxf>
      <font>
        <b/>
        <i val="0"/>
        <strike val="0"/>
        <condense val="0"/>
        <extend val="0"/>
        <outline val="0"/>
        <shadow val="0"/>
        <u val="none"/>
        <vertAlign val="baseline"/>
        <sz val="9"/>
        <color theme="1"/>
        <name val="Aptos Narrow"/>
        <family val="2"/>
        <scheme val="minor"/>
      </font>
    </dxf>
    <dxf>
      <font>
        <b val="0"/>
        <i val="0"/>
        <strike val="0"/>
        <condense val="0"/>
        <extend val="0"/>
        <outline val="0"/>
        <shadow val="0"/>
        <u val="none"/>
        <vertAlign val="baseline"/>
        <sz val="9"/>
        <color theme="1"/>
        <name val="Aptos Narrow"/>
        <family val="2"/>
        <scheme val="minor"/>
      </font>
      <numFmt numFmtId="168" formatCode="&quot;€&quot;\ #,##0"/>
    </dxf>
    <dxf>
      <font>
        <b val="0"/>
        <i val="0"/>
        <strike val="0"/>
        <condense val="0"/>
        <extend val="0"/>
        <outline val="0"/>
        <shadow val="0"/>
        <u val="none"/>
        <vertAlign val="baseline"/>
        <sz val="9"/>
        <color theme="1"/>
        <name val="Aptos Narrow"/>
        <family val="2"/>
        <scheme val="minor"/>
      </font>
      <numFmt numFmtId="168" formatCode="&quot;€&quot;\ #,##0"/>
    </dxf>
    <dxf>
      <font>
        <b val="0"/>
        <i val="0"/>
        <strike val="0"/>
        <condense val="0"/>
        <extend val="0"/>
        <outline val="0"/>
        <shadow val="0"/>
        <u val="none"/>
        <vertAlign val="baseline"/>
        <sz val="9"/>
        <color theme="1"/>
        <name val="Aptos Narrow"/>
        <family val="2"/>
        <scheme val="minor"/>
      </font>
    </dxf>
    <dxf>
      <font>
        <strike val="0"/>
        <outline val="0"/>
        <shadow val="0"/>
        <u val="none"/>
        <vertAlign val="baseline"/>
        <sz val="9"/>
        <name val="Aptos Narrow"/>
        <family val="2"/>
        <scheme val="minor"/>
      </font>
      <numFmt numFmtId="1" formatCode="0"/>
    </dxf>
    <dxf>
      <font>
        <b val="0"/>
        <i val="0"/>
        <strike val="0"/>
        <condense val="0"/>
        <extend val="0"/>
        <outline val="0"/>
        <shadow val="0"/>
        <u val="none"/>
        <vertAlign val="baseline"/>
        <sz val="9"/>
        <color theme="1"/>
        <name val="Aptos Narrow"/>
        <family val="2"/>
        <scheme val="minor"/>
      </font>
    </dxf>
    <dxf>
      <font>
        <b val="0"/>
        <i val="0"/>
        <strike val="0"/>
        <condense val="0"/>
        <extend val="0"/>
        <outline val="0"/>
        <shadow val="0"/>
        <u val="none"/>
        <vertAlign val="baseline"/>
        <sz val="9"/>
        <color theme="1"/>
        <name val="Aptos Narrow"/>
        <family val="2"/>
        <scheme val="minor"/>
      </font>
      <numFmt numFmtId="168" formatCode="&quot;€&quot;\ #,##0"/>
    </dxf>
    <dxf>
      <font>
        <b val="0"/>
        <i val="0"/>
        <strike val="0"/>
        <condense val="0"/>
        <extend val="0"/>
        <outline val="0"/>
        <shadow val="0"/>
        <u val="none"/>
        <vertAlign val="baseline"/>
        <sz val="9"/>
        <color theme="1"/>
        <name val="Aptos Narrow"/>
        <family val="2"/>
        <scheme val="minor"/>
      </font>
    </dxf>
    <dxf>
      <font>
        <strike val="0"/>
        <outline val="0"/>
        <shadow val="0"/>
        <u val="none"/>
        <vertAlign val="baseline"/>
        <sz val="9"/>
        <name val="Aptos Narrow"/>
        <family val="2"/>
        <scheme val="minor"/>
      </font>
    </dxf>
    <dxf>
      <font>
        <strike val="0"/>
        <outline val="0"/>
        <shadow val="0"/>
        <u val="none"/>
        <vertAlign val="baseline"/>
        <sz val="9"/>
        <name val="Aptos Narrow"/>
        <family val="2"/>
        <scheme val="minor"/>
      </font>
    </dxf>
    <dxf>
      <font>
        <strike val="0"/>
        <outline val="0"/>
        <shadow val="0"/>
        <u val="none"/>
        <vertAlign val="baseline"/>
        <sz val="9"/>
        <name val="Aptos Narrow"/>
        <family val="2"/>
        <scheme val="minor"/>
      </font>
    </dxf>
    <dxf>
      <font>
        <strike val="0"/>
        <outline val="0"/>
        <shadow val="0"/>
        <u val="none"/>
        <vertAlign val="baseline"/>
        <sz val="9"/>
        <name val="Aptos Narrow"/>
        <family val="2"/>
        <scheme val="minor"/>
      </font>
    </dxf>
    <dxf>
      <font>
        <b val="0"/>
        <i val="0"/>
        <strike val="0"/>
        <condense val="0"/>
        <extend val="0"/>
        <outline val="0"/>
        <shadow val="0"/>
        <u val="none"/>
        <vertAlign val="baseline"/>
        <sz val="9"/>
        <color theme="1"/>
        <name val="Aptos Narrow"/>
        <family val="2"/>
        <scheme val="minor"/>
      </font>
    </dxf>
    <dxf>
      <font>
        <strike val="0"/>
        <outline val="0"/>
        <shadow val="0"/>
        <u val="none"/>
        <vertAlign val="baseline"/>
        <sz val="9"/>
        <name val="Aptos Narrow"/>
        <family val="2"/>
        <scheme val="minor"/>
      </font>
      <fill>
        <patternFill patternType="none">
          <fgColor indexed="64"/>
          <bgColor auto="1"/>
        </patternFill>
      </fill>
    </dxf>
    <dxf>
      <font>
        <b val="0"/>
        <i val="0"/>
        <strike val="0"/>
        <condense val="0"/>
        <extend val="0"/>
        <outline val="0"/>
        <shadow val="0"/>
        <u val="none"/>
        <vertAlign val="baseline"/>
        <sz val="9"/>
        <color theme="1"/>
        <name val="Aptos Narrow"/>
        <family val="2"/>
        <scheme val="minor"/>
      </font>
    </dxf>
    <dxf>
      <font>
        <strike val="0"/>
        <outline val="0"/>
        <shadow val="0"/>
        <u val="none"/>
        <vertAlign val="baseline"/>
        <sz val="9"/>
        <name val="Aptos Narrow"/>
        <family val="2"/>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minor"/>
      </font>
      <numFmt numFmtId="168" formatCode="&quot;€&quot;\ #,##0"/>
    </dxf>
    <dxf>
      <font>
        <strike val="0"/>
        <outline val="0"/>
        <shadow val="0"/>
        <u val="none"/>
        <vertAlign val="baseline"/>
        <sz val="9"/>
        <name val="Aptos Narrow"/>
        <family val="2"/>
        <scheme val="minor"/>
      </font>
      <numFmt numFmtId="168" formatCode="&quot;€&quot;\ #,##0"/>
      <fill>
        <patternFill patternType="none">
          <fgColor indexed="64"/>
          <bgColor auto="1"/>
        </patternFill>
      </fill>
    </dxf>
    <dxf>
      <font>
        <b val="0"/>
        <i val="0"/>
        <strike val="0"/>
        <condense val="0"/>
        <extend val="0"/>
        <outline val="0"/>
        <shadow val="0"/>
        <u val="none"/>
        <vertAlign val="baseline"/>
        <sz val="9"/>
        <color theme="1"/>
        <name val="Aptos Narrow"/>
        <family val="2"/>
        <scheme val="minor"/>
      </font>
    </dxf>
    <dxf>
      <font>
        <strike val="0"/>
        <outline val="0"/>
        <shadow val="0"/>
        <u val="none"/>
        <vertAlign val="baseline"/>
        <sz val="9"/>
        <name val="Aptos Narrow"/>
        <family val="2"/>
        <scheme val="minor"/>
      </font>
      <numFmt numFmtId="166" formatCode="_ * #,##0_ ;_ * \-#,##0_ ;_ * &quot;-&quot;??_ ;_ @_ "/>
      <fill>
        <patternFill patternType="none">
          <fgColor indexed="64"/>
          <bgColor indexed="65"/>
        </patternFill>
      </fill>
    </dxf>
    <dxf>
      <font>
        <b val="0"/>
        <i val="0"/>
        <strike val="0"/>
        <condense val="0"/>
        <extend val="0"/>
        <outline val="0"/>
        <shadow val="0"/>
        <u val="none"/>
        <vertAlign val="baseline"/>
        <sz val="9"/>
        <color theme="1"/>
        <name val="Aptos Narrow"/>
        <family val="2"/>
        <scheme val="minor"/>
      </font>
      <numFmt numFmtId="166" formatCode="_ * #,##0_ ;_ * \-#,##0_ ;_ * &quot;-&quot;??_ ;_ @_ "/>
    </dxf>
    <dxf>
      <font>
        <strike val="0"/>
        <outline val="0"/>
        <shadow val="0"/>
        <u val="none"/>
        <vertAlign val="baseline"/>
        <sz val="9"/>
        <name val="Aptos Narrow"/>
        <family val="2"/>
        <scheme val="minor"/>
      </font>
      <numFmt numFmtId="166" formatCode="_ * #,##0_ ;_ * \-#,##0_ ;_ * &quot;-&quot;??_ ;_ @_ "/>
      <fill>
        <patternFill patternType="none">
          <fgColor indexed="64"/>
          <bgColor indexed="65"/>
        </patternFill>
      </fill>
    </dxf>
    <dxf>
      <font>
        <b val="0"/>
        <i val="0"/>
        <strike val="0"/>
        <condense val="0"/>
        <extend val="0"/>
        <outline val="0"/>
        <shadow val="0"/>
        <u val="none"/>
        <vertAlign val="baseline"/>
        <sz val="9"/>
        <color theme="1"/>
        <name val="Aptos Narrow"/>
        <family val="2"/>
        <scheme val="minor"/>
      </font>
    </dxf>
    <dxf>
      <font>
        <strike val="0"/>
        <outline val="0"/>
        <shadow val="0"/>
        <u val="none"/>
        <vertAlign val="baseline"/>
        <sz val="9"/>
        <name val="Aptos Narrow"/>
        <family val="2"/>
        <scheme val="minor"/>
      </font>
      <fill>
        <patternFill patternType="none">
          <fgColor indexed="64"/>
          <bgColor auto="1"/>
        </patternFill>
      </fill>
    </dxf>
    <dxf>
      <font>
        <strike val="0"/>
        <outline val="0"/>
        <shadow val="0"/>
        <u val="none"/>
        <vertAlign val="baseline"/>
        <sz val="9"/>
        <name val="Aptos Narrow"/>
        <family val="2"/>
        <scheme val="minor"/>
      </font>
    </dxf>
    <dxf>
      <font>
        <strike val="0"/>
        <outline val="0"/>
        <shadow val="0"/>
        <u val="none"/>
        <vertAlign val="baseline"/>
        <sz val="9"/>
        <name val="Aptos Narrow"/>
        <family val="2"/>
        <scheme val="minor"/>
      </font>
      <fill>
        <patternFill patternType="none">
          <fgColor indexed="64"/>
          <bgColor auto="1"/>
        </patternFill>
      </fill>
    </dxf>
    <dxf>
      <font>
        <strike val="0"/>
        <outline val="0"/>
        <shadow val="0"/>
        <u val="none"/>
        <vertAlign val="baseline"/>
        <sz val="9"/>
        <name val="Aptos Narrow"/>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theme="1"/>
        <name val="Aptos Narrow"/>
        <family val="2"/>
        <scheme val="minor"/>
      </font>
      <numFmt numFmtId="168" formatCode="&quot;€&quot;\ #,##0"/>
      <border diagonalUp="0" diagonalDown="0" outline="0">
        <left/>
        <right/>
        <top style="thin">
          <color theme="4" tint="0.39997558519241921"/>
        </top>
        <bottom/>
      </border>
    </dxf>
    <dxf>
      <font>
        <b val="0"/>
        <i val="0"/>
        <strike val="0"/>
        <condense val="0"/>
        <extend val="0"/>
        <outline val="0"/>
        <shadow val="0"/>
        <u val="none"/>
        <vertAlign val="baseline"/>
        <sz val="9"/>
        <color theme="1"/>
        <name val="Aptos Narrow"/>
        <family val="2"/>
        <scheme val="minor"/>
      </font>
      <numFmt numFmtId="168" formatCode="&quot;€&quot;\ #,##0"/>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9"/>
        <color theme="1"/>
        <name val="Aptos Narrow"/>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9"/>
        <color theme="1"/>
        <name val="Aptos Narrow"/>
        <family val="2"/>
        <scheme val="minor"/>
      </font>
      <numFmt numFmtId="1" formatCode="0"/>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9"/>
        <color theme="1"/>
        <name val="Aptos Narrow"/>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9"/>
        <color theme="1"/>
        <name val="Aptos Narrow"/>
        <family val="2"/>
        <scheme val="minor"/>
      </font>
      <numFmt numFmtId="168" formatCode="&quot;€&quot;\ #,##0"/>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9"/>
        <color theme="1"/>
        <name val="Aptos Narrow"/>
        <family val="2"/>
        <scheme val="minor"/>
      </font>
      <alignment horizontal="general" vertical="bottom"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Aptos Narrow"/>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right/>
        <top style="thin">
          <color theme="4" tint="0.39997558519241921"/>
        </top>
        <bottom/>
      </border>
    </dxf>
    <dxf>
      <border outline="0">
        <top style="thin">
          <color theme="4" tint="0.39997558519241921"/>
        </top>
      </border>
    </dxf>
    <dxf>
      <fill>
        <patternFill patternType="none">
          <fgColor indexed="64"/>
          <bgColor auto="1"/>
        </patternFill>
      </fill>
    </dxf>
    <dxf>
      <border outline="0">
        <left style="thin">
          <color theme="4" tint="0.39997558519241921"/>
        </left>
        <right style="thin">
          <color theme="4" tint="0.39997558519241921"/>
        </right>
        <top style="thin">
          <color theme="4" tint="0.39997558519241921"/>
        </top>
        <bottom style="thin">
          <color theme="4" tint="0.39997558519241921"/>
        </bottom>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9"/>
        <color theme="0"/>
        <name val="Aptos Narrow"/>
        <family val="2"/>
        <scheme val="minor"/>
      </font>
      <fill>
        <patternFill patternType="none">
          <fgColor indexed="64"/>
          <bgColor auto="1"/>
        </patternFill>
      </fill>
    </dxf>
    <dxf>
      <font>
        <b val="0"/>
        <i val="0"/>
        <strike val="0"/>
        <condense val="0"/>
        <extend val="0"/>
        <outline val="0"/>
        <shadow val="0"/>
        <u val="none"/>
        <vertAlign val="baseline"/>
        <sz val="9"/>
        <color theme="1"/>
        <name val="Aptos Narrow"/>
        <family val="2"/>
        <scheme val="none"/>
      </font>
    </dxf>
    <dxf>
      <font>
        <strike val="0"/>
        <outline val="0"/>
        <shadow val="0"/>
        <u val="none"/>
        <vertAlign val="baseline"/>
        <sz val="9"/>
        <name val="Aptos Narrow"/>
        <family val="2"/>
        <scheme val="none"/>
      </font>
      <numFmt numFmtId="168" formatCode="&quot;€&quot;\ #,##0"/>
    </dxf>
    <dxf>
      <font>
        <b val="0"/>
        <i val="0"/>
        <strike val="0"/>
        <condense val="0"/>
        <extend val="0"/>
        <outline val="0"/>
        <shadow val="0"/>
        <u val="none"/>
        <vertAlign val="baseline"/>
        <sz val="9"/>
        <color theme="1"/>
        <name val="Aptos Narrow"/>
        <family val="2"/>
        <scheme val="none"/>
      </font>
      <numFmt numFmtId="168" formatCode="&quot;€&quot;\ #,##0"/>
    </dxf>
    <dxf>
      <font>
        <strike val="0"/>
        <outline val="0"/>
        <shadow val="0"/>
        <u val="none"/>
        <vertAlign val="baseline"/>
        <sz val="9"/>
        <name val="Aptos Narrow"/>
        <family val="2"/>
        <scheme val="none"/>
      </font>
      <numFmt numFmtId="168" formatCode="&quot;€&quot;\ #,##0"/>
    </dxf>
    <dxf>
      <font>
        <b val="0"/>
        <i val="0"/>
        <strike val="0"/>
        <condense val="0"/>
        <extend val="0"/>
        <outline val="0"/>
        <shadow val="0"/>
        <u val="none"/>
        <vertAlign val="baseline"/>
        <sz val="9"/>
        <color theme="1"/>
        <name val="Aptos Narrow"/>
        <family val="2"/>
        <scheme val="none"/>
      </font>
      <numFmt numFmtId="168" formatCode="&quot;€&quot;\ #,##0"/>
    </dxf>
    <dxf>
      <font>
        <strike val="0"/>
        <outline val="0"/>
        <shadow val="0"/>
        <u val="none"/>
        <vertAlign val="baseline"/>
        <sz val="9"/>
        <name val="Aptos Narrow"/>
        <family val="2"/>
        <scheme val="none"/>
      </font>
      <numFmt numFmtId="168" formatCode="&quot;€&quot;\ #,##0"/>
    </dxf>
    <dxf>
      <font>
        <b val="0"/>
        <i val="0"/>
        <strike val="0"/>
        <condense val="0"/>
        <extend val="0"/>
        <outline val="0"/>
        <shadow val="0"/>
        <u val="none"/>
        <vertAlign val="baseline"/>
        <sz val="9"/>
        <color theme="1"/>
        <name val="Aptos Narrow"/>
        <family val="2"/>
        <scheme val="minor"/>
      </font>
    </dxf>
    <dxf>
      <font>
        <b val="0"/>
        <i val="0"/>
        <strike val="0"/>
        <condense val="0"/>
        <extend val="0"/>
        <outline val="0"/>
        <shadow val="0"/>
        <u val="none"/>
        <vertAlign val="baseline"/>
        <sz val="9"/>
        <color theme="1"/>
        <name val="Aptos Narrow"/>
        <family val="2"/>
        <scheme val="minor"/>
      </font>
      <numFmt numFmtId="0" formatCode="General"/>
    </dxf>
    <dxf>
      <font>
        <b val="0"/>
        <i val="0"/>
        <strike val="0"/>
        <condense val="0"/>
        <extend val="0"/>
        <outline val="0"/>
        <shadow val="0"/>
        <u val="none"/>
        <vertAlign val="baseline"/>
        <sz val="9"/>
        <color theme="1"/>
        <name val="Aptos Narrow"/>
        <family val="2"/>
        <scheme val="minor"/>
      </font>
    </dxf>
    <dxf>
      <font>
        <strike val="0"/>
        <outline val="0"/>
        <shadow val="0"/>
        <u val="none"/>
        <vertAlign val="baseline"/>
        <sz val="9"/>
        <name val="Aptos Narrow"/>
        <family val="2"/>
        <scheme val="minor"/>
      </font>
    </dxf>
    <dxf>
      <font>
        <b val="0"/>
        <i val="0"/>
        <strike val="0"/>
        <condense val="0"/>
        <extend val="0"/>
        <outline val="0"/>
        <shadow val="0"/>
        <u val="none"/>
        <vertAlign val="baseline"/>
        <sz val="9"/>
        <color theme="1"/>
        <name val="Aptos Narrow"/>
        <family val="2"/>
        <scheme val="minor"/>
      </font>
      <numFmt numFmtId="168" formatCode="&quot;€&quot;\ #,##0"/>
    </dxf>
    <dxf>
      <font>
        <strike val="0"/>
        <outline val="0"/>
        <shadow val="0"/>
        <u val="none"/>
        <vertAlign val="baseline"/>
        <sz val="9"/>
        <name val="Aptos Narrow"/>
        <family val="2"/>
        <scheme val="minor"/>
      </font>
      <numFmt numFmtId="168" formatCode="&quot;€&quot;\ #,##0"/>
    </dxf>
    <dxf>
      <font>
        <b val="0"/>
        <i val="0"/>
        <strike val="0"/>
        <condense val="0"/>
        <extend val="0"/>
        <outline val="0"/>
        <shadow val="0"/>
        <u val="none"/>
        <vertAlign val="baseline"/>
        <sz val="9"/>
        <color theme="1"/>
        <name val="Aptos Narrow"/>
        <family val="2"/>
        <scheme val="minor"/>
      </font>
    </dxf>
    <dxf>
      <font>
        <strike val="0"/>
        <outline val="0"/>
        <shadow val="0"/>
        <u val="none"/>
        <vertAlign val="baseline"/>
        <sz val="9"/>
        <name val="Aptos Narrow"/>
        <family val="2"/>
        <scheme val="minor"/>
      </font>
      <numFmt numFmtId="168" formatCode="&quot;€&quot;\ #,##0"/>
    </dxf>
    <dxf>
      <font>
        <b val="0"/>
        <i val="0"/>
        <strike val="0"/>
        <condense val="0"/>
        <extend val="0"/>
        <outline val="0"/>
        <shadow val="0"/>
        <u val="none"/>
        <vertAlign val="baseline"/>
        <sz val="9"/>
        <color theme="1"/>
        <name val="Aptos Narrow"/>
        <family val="2"/>
        <scheme val="minor"/>
      </font>
    </dxf>
    <dxf>
      <font>
        <strike val="0"/>
        <outline val="0"/>
        <shadow val="0"/>
        <u val="none"/>
        <vertAlign val="baseline"/>
        <sz val="9"/>
        <name val="Aptos Narrow"/>
        <family val="2"/>
        <scheme val="minor"/>
      </font>
    </dxf>
    <dxf>
      <font>
        <b val="0"/>
        <i val="0"/>
        <strike val="0"/>
        <condense val="0"/>
        <extend val="0"/>
        <outline val="0"/>
        <shadow val="0"/>
        <u val="none"/>
        <vertAlign val="baseline"/>
        <sz val="9"/>
        <color theme="1"/>
        <name val="Aptos Narrow"/>
        <family val="2"/>
        <scheme val="minor"/>
      </font>
    </dxf>
    <dxf>
      <font>
        <strike val="0"/>
        <outline val="0"/>
        <shadow val="0"/>
        <u val="none"/>
        <vertAlign val="baseline"/>
        <sz val="9"/>
        <name val="Aptos Narrow"/>
        <family val="2"/>
        <scheme val="minor"/>
      </font>
    </dxf>
    <dxf>
      <font>
        <b val="0"/>
        <i val="0"/>
        <strike val="0"/>
        <condense val="0"/>
        <extend val="0"/>
        <outline val="0"/>
        <shadow val="0"/>
        <u val="none"/>
        <vertAlign val="baseline"/>
        <sz val="9"/>
        <color theme="1"/>
        <name val="Aptos Narrow"/>
        <family val="2"/>
        <scheme val="minor"/>
      </font>
    </dxf>
    <dxf>
      <font>
        <b val="0"/>
        <i val="0"/>
        <strike val="0"/>
        <condense val="0"/>
        <extend val="0"/>
        <outline val="0"/>
        <shadow val="0"/>
        <u val="none"/>
        <vertAlign val="baseline"/>
        <sz val="9"/>
        <color theme="1"/>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minor"/>
      </font>
    </dxf>
    <dxf>
      <font>
        <strike val="0"/>
        <outline val="0"/>
        <shadow val="0"/>
        <u val="none"/>
        <vertAlign val="baseline"/>
        <sz val="9"/>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minor"/>
      </font>
      <alignment horizontal="center" vertical="bottom" textRotation="0" wrapText="0" indent="0" justifyLastLine="0" shrinkToFit="0" readingOrder="0"/>
    </dxf>
    <dxf>
      <font>
        <strike val="0"/>
        <outline val="0"/>
        <shadow val="0"/>
        <u val="none"/>
        <vertAlign val="baseline"/>
        <sz val="9"/>
        <name val="Aptos Narrow"/>
        <family val="2"/>
        <scheme val="minor"/>
      </font>
      <alignment horizontal="center" vertical="bottom" textRotation="0" wrapText="0" indent="0" justifyLastLine="0" shrinkToFit="0" readingOrder="0"/>
    </dxf>
    <dxf>
      <font>
        <strike val="0"/>
        <outline val="0"/>
        <shadow val="0"/>
        <u val="none"/>
        <vertAlign val="baseline"/>
        <sz val="9"/>
        <name val="Aptos Narrow"/>
        <family val="2"/>
        <scheme val="none"/>
      </font>
    </dxf>
    <dxf>
      <font>
        <strike val="0"/>
        <outline val="0"/>
        <shadow val="0"/>
        <u val="none"/>
        <vertAlign val="baseline"/>
        <sz val="9"/>
        <name val="Aptos Narrow"/>
        <family val="2"/>
        <scheme val="none"/>
      </font>
    </dxf>
    <dxf>
      <font>
        <b/>
        <i val="0"/>
        <strike val="0"/>
        <condense val="0"/>
        <extend val="0"/>
        <outline val="0"/>
        <shadow val="0"/>
        <u val="none"/>
        <vertAlign val="baseline"/>
        <sz val="9"/>
        <color theme="1"/>
        <name val="Aptos Narrow"/>
        <family val="2"/>
        <scheme val="minor"/>
      </font>
    </dxf>
    <dxf>
      <font>
        <b val="0"/>
        <i val="0"/>
        <strike val="0"/>
        <condense val="0"/>
        <extend val="0"/>
        <outline val="0"/>
        <shadow val="0"/>
        <u val="none"/>
        <vertAlign val="baseline"/>
        <sz val="9"/>
        <color theme="1"/>
        <name val="Aptos Narrow"/>
        <family val="2"/>
        <scheme val="minor"/>
      </font>
      <numFmt numFmtId="168" formatCode="&quot;€&quot;\ #,##0"/>
    </dxf>
    <dxf>
      <font>
        <b val="0"/>
        <i val="0"/>
        <strike val="0"/>
        <condense val="0"/>
        <extend val="0"/>
        <outline val="0"/>
        <shadow val="0"/>
        <u val="none"/>
        <vertAlign val="baseline"/>
        <sz val="9"/>
        <color theme="1"/>
        <name val="Aptos Narrow"/>
        <family val="2"/>
        <scheme val="minor"/>
      </font>
      <numFmt numFmtId="168" formatCode="&quot;€&quot;\ #,##0"/>
    </dxf>
    <dxf>
      <font>
        <b val="0"/>
        <i val="0"/>
        <strike val="0"/>
        <condense val="0"/>
        <extend val="0"/>
        <outline val="0"/>
        <shadow val="0"/>
        <u val="none"/>
        <vertAlign val="baseline"/>
        <sz val="9"/>
        <color theme="1"/>
        <name val="Aptos Narrow"/>
        <family val="2"/>
        <scheme val="minor"/>
      </font>
    </dxf>
    <dxf>
      <font>
        <strike val="0"/>
        <outline val="0"/>
        <shadow val="0"/>
        <u val="none"/>
        <vertAlign val="baseline"/>
        <sz val="9"/>
        <name val="Aptos Narrow"/>
        <family val="2"/>
        <scheme val="minor"/>
      </font>
      <numFmt numFmtId="1" formatCode="0"/>
    </dxf>
    <dxf>
      <font>
        <b val="0"/>
        <i val="0"/>
        <strike val="0"/>
        <condense val="0"/>
        <extend val="0"/>
        <outline val="0"/>
        <shadow val="0"/>
        <u val="none"/>
        <vertAlign val="baseline"/>
        <sz val="9"/>
        <color theme="1"/>
        <name val="Aptos Narrow"/>
        <family val="2"/>
        <scheme val="minor"/>
      </font>
    </dxf>
    <dxf>
      <font>
        <b val="0"/>
        <i val="0"/>
        <strike val="0"/>
        <condense val="0"/>
        <extend val="0"/>
        <outline val="0"/>
        <shadow val="0"/>
        <u val="none"/>
        <vertAlign val="baseline"/>
        <sz val="9"/>
        <color theme="1"/>
        <name val="Aptos Narrow"/>
        <family val="2"/>
        <scheme val="minor"/>
      </font>
      <numFmt numFmtId="168" formatCode="&quot;€&quot;\ #,##0"/>
    </dxf>
    <dxf>
      <font>
        <b val="0"/>
        <i val="0"/>
        <strike val="0"/>
        <condense val="0"/>
        <extend val="0"/>
        <outline val="0"/>
        <shadow val="0"/>
        <u val="none"/>
        <vertAlign val="baseline"/>
        <sz val="9"/>
        <color theme="1"/>
        <name val="Aptos Narrow"/>
        <family val="2"/>
        <scheme val="minor"/>
      </font>
    </dxf>
    <dxf>
      <font>
        <strike val="0"/>
        <outline val="0"/>
        <shadow val="0"/>
        <u val="none"/>
        <vertAlign val="baseline"/>
        <sz val="9"/>
        <name val="Aptos Narrow"/>
        <family val="2"/>
        <scheme val="minor"/>
      </font>
      <alignment horizontal="general" vertical="bottom" textRotation="0" wrapText="1" indent="0" justifyLastLine="0" shrinkToFit="0" readingOrder="0"/>
    </dxf>
    <dxf>
      <font>
        <strike val="0"/>
        <outline val="0"/>
        <shadow val="0"/>
        <u val="none"/>
        <vertAlign val="baseline"/>
        <sz val="9"/>
        <name val="Aptos Narrow"/>
        <family val="2"/>
        <scheme val="none"/>
      </font>
    </dxf>
    <dxf>
      <font>
        <strike val="0"/>
        <outline val="0"/>
        <shadow val="0"/>
        <u val="none"/>
        <vertAlign val="baseline"/>
        <sz val="9"/>
        <name val="Aptos Narrow"/>
        <family val="2"/>
        <scheme val="none"/>
      </font>
    </dxf>
    <dxf>
      <font>
        <strike val="0"/>
        <outline val="0"/>
        <shadow val="0"/>
        <u val="none"/>
        <vertAlign val="baseline"/>
        <sz val="9"/>
        <name val="Aptos Narrow"/>
        <family val="2"/>
        <scheme val="minor"/>
      </font>
    </dxf>
    <dxf>
      <font>
        <strike val="0"/>
        <outline val="0"/>
        <shadow val="0"/>
        <u val="none"/>
        <vertAlign val="baseline"/>
        <sz val="9"/>
        <name val="Aptos Narrow"/>
        <family val="2"/>
        <scheme val="none"/>
      </font>
    </dxf>
    <dxf>
      <font>
        <strike val="0"/>
        <outline val="0"/>
        <shadow val="0"/>
        <u val="none"/>
        <vertAlign val="baseline"/>
        <sz val="9"/>
        <name val="Aptos Narrow"/>
        <family val="2"/>
        <scheme val="none"/>
      </font>
      <fill>
        <patternFill patternType="none">
          <fgColor rgb="FF000000"/>
          <bgColor auto="1"/>
        </patternFill>
      </fill>
    </dxf>
    <dxf>
      <font>
        <strike val="0"/>
        <outline val="0"/>
        <shadow val="0"/>
        <u val="none"/>
        <vertAlign val="baseline"/>
        <sz val="9"/>
        <name val="Aptos Narrow"/>
        <family val="2"/>
        <scheme val="minor"/>
      </font>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040CCB-6AFA-4880-B2F6-BFA78C810B24}" name="Table1" displayName="Table1" ref="A1:O91" totalsRowCount="1">
  <autoFilter ref="A1:O90" xr:uid="{B0040CCB-6AFA-4880-B2F6-BFA78C810B24}"/>
  <sortState xmlns:xlrd2="http://schemas.microsoft.com/office/spreadsheetml/2017/richdata2" ref="A2:O89">
    <sortCondition descending="1" ref="N1:N89"/>
  </sortState>
  <tableColumns count="15">
    <tableColumn id="1" xr3:uid="{9FC65859-EB4A-423C-A15D-460F8E878C84}" name="full_name_in_English" totalsRowLabel="Total"/>
    <tableColumn id="2" xr3:uid="{8BDA108F-DB32-411E-B3C8-714AB5719C55}" name="acronym_EN"/>
    <tableColumn id="3" xr3:uid="{9EE22FF5-EF93-4517-9BAB-A8446F31F7C5}" name="acronym_AGG"/>
    <tableColumn id="4" xr3:uid="{3198B142-F11D-4997-9F59-937B7ED28848}" name="main_grouping"/>
    <tableColumn id="5" xr3:uid="{7CDA9549-ECA9-4572-B73B-39192FD4966F}" name="ROR"/>
    <tableColumn id="6" xr3:uid="{93BD60A4-D40F-425E-A160-294314D13759}" name="ROR_LINK" totalsRowFunction="count"/>
    <tableColumn id="7" xr3:uid="{CCE1FAB9-93D0-44C2-991C-B305FED4FAB6}" name="OpenAlex_ID"/>
    <tableColumn id="8" xr3:uid="{5ECAE471-EA3A-4D03-BC69-918542386557}" name="OpenAlex_LINK"/>
    <tableColumn id="9" xr3:uid="{1A8B9BFB-DF1B-4F7D-9103-BCDBF9402FCD}" name="OpenAIRE_ID"/>
    <tableColumn id="10" xr3:uid="{5C8B1462-2F36-4802-A66F-52B33919AEFD}" name="OpenAIRE_LINK"/>
    <tableColumn id="11" xr3:uid="{AD3F34B9-1E1E-4B2D-98E8-EEAE84FEDC91}" name="OpenAIRE_Org_ID"/>
    <tableColumn id="12" xr3:uid="{AD6465B4-EDA8-45DA-92A6-762AB80611BC}" name="OpenAIRE_Org_ID_Explore_URL"/>
    <tableColumn id="13" xr3:uid="{290F5316-1CD9-4550-B8A9-41E3CCD2A00A}" name="numFound_ResearchProducts_OpenOrgs" dataDxfId="144" dataCellStyle="Comma"/>
    <tableColumn id="15" xr3:uid="{DC7D7728-81C4-4B95-A133-CF29443FF226}" name="numFound_ResearchProducts_2020_2023" totalsRowFunction="custom" dataDxfId="143" dataCellStyle="Comma">
      <totalsRowFormula>COUNTIFS(Table1[numFound_ResearchProducts_2020_2023],"&gt;=1000")</totalsRowFormula>
    </tableColumn>
    <tableColumn id="14" xr3:uid="{FBE91A2C-E658-4383-B317-5409F0CAB950}" name="Opmerkingen" dataDxfId="14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8F7DAB8-3140-4C39-A896-C0F4DB63C21E}" name="Table26" displayName="Table26" ref="A4:O31" totalsRowCount="1" headerRowDxfId="141" dataDxfId="140" totalsRowDxfId="139">
  <autoFilter ref="A4:O30" xr:uid="{9BA3D26F-40DA-4568-A46F-4095C542416A}"/>
  <sortState xmlns:xlrd2="http://schemas.microsoft.com/office/spreadsheetml/2017/richdata2" ref="A5:D27">
    <sortCondition descending="1" ref="D4:D27"/>
  </sortState>
  <tableColumns count="15">
    <tableColumn id="1" xr3:uid="{B3B4C4AF-92B1-4415-9827-8A3E36CF18FD}" name="NL-Research Portal Consortium deelnemers" totalsRowFunction="count" dataDxfId="30" totalsRowDxfId="15"/>
    <tableColumn id="11" xr3:uid="{5D818295-3299-4458-9D53-D2A2714B39E0}" name="reeds lid van OpenAIRE" dataDxfId="29" totalsRowDxfId="14"/>
    <tableColumn id="3" xr3:uid="{758B7293-4FFE-4CD7-858E-D01266E28C75}" name="Research Output 2020-2023" totalsRowFunction="sum" dataDxfId="28" totalsRowDxfId="13" dataCellStyle="Comma"/>
    <tableColumn id="2" xr3:uid="{3FF8D0BC-A33C-49BE-A324-745B45B0720B}" name="Categorie" dataDxfId="27" totalsRowDxfId="12" dataCellStyle="Comma"/>
    <tableColumn id="4" xr3:uid="{96465841-1395-4537-AEAB-4D3A819449D0}" name="Bijdrage aan NL-Research Portal beheer" totalsRowFunction="sum" dataDxfId="26" totalsRowDxfId="11" dataCellStyle="Currency">
      <calculatedColumnFormula>VLOOKUP(Table26[[#This Row],[Categorie]],$A$48:$H$53,6,FALSE)</calculatedColumnFormula>
    </tableColumn>
    <tableColumn id="5" xr3:uid="{56335266-7E22-4E14-B09A-2AB01AB88D2C}" name="OpenAIRE lidmaatschap" totalsRowFunction="custom" dataDxfId="25" totalsRowDxfId="10">
      <calculatedColumnFormula>VLOOKUP(Table26[[#This Row],[Categorie]],$A$48:$H$53,8,FALSE)</calculatedColumnFormula>
      <totalsRowFormula>COUNTIF(Table26[OpenAIRE lidmaatschap],"ja")</totalsRowFormula>
    </tableColumn>
    <tableColumn id="6" xr3:uid="{3E3FE28C-2EF9-42BD-8725-F81BE55E5E1C}" name="aanvullende lidmaatschaps-kosten" totalsRowFunction="sum" dataDxfId="24" totalsRowDxfId="9">
      <calculatedColumnFormula>IF(F5="ja",SUM($B$35,$B$36),0)</calculatedColumnFormula>
    </tableColumn>
    <tableColumn id="8" xr3:uid="{CCF748A1-96EE-4C28-A627-2BE9629B711C}" name="Totaal per instelling" totalsRowFunction="sum" dataDxfId="23" totalsRowDxfId="8">
      <calculatedColumnFormula>SUM(Table26[[#This Row],[Bijdrage aan NL-Research Portal beheer]]+Table26[[#This Row],[aanvullende lidmaatschaps-kosten]])</calculatedColumnFormula>
    </tableColumn>
    <tableColumn id="10" xr3:uid="{1A0F44E7-75F4-4E12-B70F-FCE9DC7A2A30}" name="Contactpersoon naam" dataDxfId="22" totalsRowDxfId="7"/>
    <tableColumn id="9" xr3:uid="{5CC09C7D-E617-4A16-9FEA-29BDC06BE4B6}" name="Contactpersoon email" dataDxfId="21" totalsRowDxfId="6"/>
    <tableColumn id="16" xr3:uid="{E6110671-5D87-4141-995E-1899EBBD0B8F}" name="Library Director naam" dataDxfId="20" totalsRowDxfId="5"/>
    <tableColumn id="15" xr3:uid="{56A9D0FB-7052-47EA-9145-2B7CD2D75B14}" name="Library Director email" dataDxfId="19" totalsRowDxfId="4"/>
    <tableColumn id="14" xr3:uid="{03E67090-4CFF-46A0-92E8-E4998756CF26}" name="Chief Open Science naam" dataDxfId="18" totalsRowDxfId="3"/>
    <tableColumn id="13" xr3:uid="{D5907D31-8F2C-46AA-96FD-48BE802A40B0}" name="Chief Open Science email" dataDxfId="17" totalsRowDxfId="2"/>
    <tableColumn id="7" xr3:uid="{F6EDAC2D-3AF7-4464-8784-B5596846072C}" name="is akkoord?" dataDxfId="16" totalsRow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72C60B3-186E-4281-ABB2-D05FF567D095}" name="Table37" displayName="Table37" ref="A39:D44" totalsRowCount="1" headerRowDxfId="138" dataDxfId="137" totalsRowDxfId="136">
  <autoFilter ref="A39:D43" xr:uid="{2D98538D-9E2F-4D62-BA4F-02FF8A124442}"/>
  <tableColumns count="4">
    <tableColumn id="1" xr3:uid="{C57329BA-D12B-4F3D-9B02-C4EE56D882A1}" name="Te verdelen Portal Kosten" totalsRowLabel="Total" dataDxfId="135" totalsRowDxfId="134"/>
    <tableColumn id="2" xr3:uid="{9B5D5F8B-8974-4CAD-B21D-41EBDAB6B0D6}" name="jaarlijks bedrag" dataDxfId="133" totalsRowDxfId="132" dataCellStyle="Currency"/>
    <tableColumn id="3" xr3:uid="{96743E7F-4A9D-401D-B45D-1BD0214ACA45}" name="aantal" dataDxfId="131" totalsRowDxfId="130"/>
    <tableColumn id="4" xr3:uid="{E3B8E422-DA0A-4875-9813-A58D86E5626A}" name="totaal" totalsRowFunction="custom" dataDxfId="129" totalsRowDxfId="128" dataCellStyle="Currency">
      <calculatedColumnFormula>B40*C40</calculatedColumnFormula>
      <totalsRowFormula>SUM(D40:D43)</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F7652C9-2F8B-40A3-8975-1B7B3C49CDE6}" name="Table48" displayName="Table48" ref="A48:L54" totalsRowCount="1" headerRowDxfId="127" dataDxfId="126" totalsRowDxfId="125">
  <autoFilter ref="A48:L53" xr:uid="{165A979C-DA7F-42AD-806E-D1ADBDEA795B}"/>
  <tableColumns count="12">
    <tableColumn id="1" xr3:uid="{8D088C21-A385-495E-B127-390BC21E57C1}" name="Categorie" totalsRowLabel="Total" dataDxfId="124" totalsRowDxfId="123"/>
    <tableColumn id="2" xr3:uid="{F1C07AEC-36FF-408F-92E3-4AD561916BFF}" name="Publicaties/tijdsvenster" dataDxfId="122" totalsRowDxfId="121"/>
    <tableColumn id="8" xr3:uid="{BAE43B5A-642A-464E-9567-2616588B6A51}" name="Belang" dataDxfId="120" totalsRowDxfId="119"/>
    <tableColumn id="3" xr3:uid="{EA1203FB-BAFB-48F2-8085-373B22D419C4}" name="Aantal deelnemers in Tier" totalsRowFunction="custom" dataDxfId="118" totalsRowDxfId="117">
      <totalsRowFormula>SUM(D49:D52)</totalsRowFormula>
    </tableColumn>
    <tableColumn id="4" xr3:uid="{9242A9BB-4230-4076-9703-EA1155CAA653}" name="Reken Factor" totalsRowFunction="sum" dataDxfId="116" totalsRowDxfId="115"/>
    <tableColumn id="5" xr3:uid="{EF2E5A98-EC9C-460D-8723-724C0FDAFBB3}" name="Kosten per deelnemer" dataDxfId="114" totalsRowDxfId="113"/>
    <tableColumn id="6" xr3:uid="{2752649A-C7A4-418D-B4AF-69900EBAA2CE}" name="Totaal voor beheer" totalsRowFunction="sum" dataDxfId="112" totalsRowDxfId="111">
      <calculatedColumnFormula>D49*F49</calculatedColumnFormula>
    </tableColumn>
    <tableColumn id="7" xr3:uid="{D88D0669-2EB2-4BAA-A774-09A53B57C2F2}" name="Verplicht aanvullend OpenAIRE lidmaatschap" dataDxfId="110" totalsRowDxfId="109"/>
    <tableColumn id="11" xr3:uid="{78E88B23-1954-41A7-A61F-E74FCAE50C60}" name="aantal leden in categorie" dataDxfId="108" totalsRowDxfId="107">
      <calculatedColumnFormula>COUNTIFS(Table26[Categorie],Table48[[#This Row],[Categorie]],Table26[OpenAIRE lidmaatschap],"ja")</calculatedColumnFormula>
    </tableColumn>
    <tableColumn id="9" xr3:uid="{A0AD2F57-354B-45F0-A47D-E7B07C4ECCA6}" name="kosten per lidmaatschap" dataDxfId="106" totalsRowDxfId="105">
      <calculatedColumnFormula>Table8[[#Totals],[jaarlijks bedrag]]</calculatedColumnFormula>
    </tableColumn>
    <tableColumn id="10" xr3:uid="{63858641-98DC-45C5-A7AB-66E475D1C024}" name="totaal voor lidmaatschap" totalsRowFunction="sum" dataDxfId="104" totalsRowDxfId="103">
      <calculatedColumnFormula>Table48[[#This Row],[aantal leden in categorie]]*Table48[[#This Row],[kosten per lidmaatschap]]</calculatedColumnFormula>
    </tableColumn>
    <tableColumn id="13" xr3:uid="{F564A92E-D0E2-4ADF-B8E2-F801538F5D27}" name="Totaal per categorie" totalsRowFunction="sum" dataDxfId="102" totalsRowDxfId="101">
      <calculatedColumnFormula>Table48[[#This Row],[totaal voor lidmaatschap]]+Table48[[#This Row],[Totaal voor beheer]]</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7AC7836-400C-4192-9A8E-9074BC51184A}" name="Table8" displayName="Table8" ref="A34:D37" totalsRowCount="1" headerRowDxfId="100" dataDxfId="98" totalsRowDxfId="96" headerRowBorderDxfId="99" tableBorderDxfId="97" totalsRowBorderDxfId="95">
  <autoFilter ref="A34:D36" xr:uid="{27AC7836-400C-4192-9A8E-9074BC51184A}"/>
  <tableColumns count="4">
    <tableColumn id="1" xr3:uid="{10EC836C-DC1A-4927-A5B1-08D2420BAD96}" name="Lidmaatschap Kosten" totalsRowLabel="Total" dataDxfId="94" totalsRowDxfId="93"/>
    <tableColumn id="2" xr3:uid="{3F9D291D-8C65-4D1F-B4B5-88275BA6CE0F}" name="jaarlijks bedrag" totalsRowFunction="sum" dataDxfId="92" totalsRowDxfId="91" dataCellStyle="Currency">
      <calculatedColumnFormula>1500*0.7</calculatedColumnFormula>
    </tableColumn>
    <tableColumn id="3" xr3:uid="{A1E4976F-A94A-44BF-B708-DDAC365367CD}" name="aantal" dataDxfId="90" totalsRowDxfId="89">
      <calculatedColumnFormula>Table26[[#Totals],[OpenAIRE lidmaatschap]]</calculatedColumnFormula>
    </tableColumn>
    <tableColumn id="4" xr3:uid="{A4C20F51-20B0-49B1-A459-CF3291CCE7F0}" name="totaal" totalsRowFunction="sum" dataDxfId="88" totalsRowDxfId="87" dataCellStyle="Currency">
      <calculatedColumnFormula>B35*C35</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49FEF80-8CEC-4C4D-B8E0-60CACF0949D5}" name="Table10" displayName="Table10" ref="A1:O27" totalsRowShown="0">
  <autoFilter ref="A1:O27" xr:uid="{849FEF80-8CEC-4C4D-B8E0-60CACF0949D5}"/>
  <tableColumns count="15">
    <tableColumn id="1" xr3:uid="{9C010FD9-EB35-44E4-B2BF-3A8F399CCDD1}" name="Instellingsnaam">
      <calculatedColumnFormula>IF(ISBLANK(Kostenverdeelmodel!A5),"",Kostenverdeelmodel!A5)</calculatedColumnFormula>
    </tableColumn>
    <tableColumn id="16" xr3:uid="{A08BAADE-BAAB-4A2E-8FDC-35328038886D}" name="reeds lid">
      <calculatedColumnFormula>IF(ISBLANK(Kostenverdeelmodel!B5),"",Kostenverdeelmodel!B5)</calculatedColumnFormula>
    </tableColumn>
    <tableColumn id="2" xr3:uid="{D4059CA4-472E-4179-BF1F-9A7ADC10503F}" name="aantal" dataDxfId="0" dataCellStyle="Comma">
      <calculatedColumnFormula>Kostenverdeelmodel!C5</calculatedColumnFormula>
    </tableColumn>
    <tableColumn id="3" xr3:uid="{EC5BCE84-C9AE-4ED7-BE9A-6EFAFE367FEB}" name="categorie">
      <calculatedColumnFormula>Kostenverdeelmodel!D5</calculatedColumnFormula>
    </tableColumn>
    <tableColumn id="4" xr3:uid="{234B5FCD-D151-4E83-B49A-2B942BEA42FF}" name="beheerkosten" dataDxfId="43">
      <calculatedColumnFormula>Kostenverdeelmodel!E5</calculatedColumnFormula>
    </tableColumn>
    <tableColumn id="5" xr3:uid="{04DFD0FB-7989-4772-9E98-EFE3699BB2FB}" name="OpenAIRE lidmaatschap">
      <calculatedColumnFormula>Kostenverdeelmodel!F5</calculatedColumnFormula>
    </tableColumn>
    <tableColumn id="6" xr3:uid="{E9033C0E-488C-458F-9C5B-CBAA7232B721}" name="lidmaatschapskosten" dataDxfId="40">
      <calculatedColumnFormula>Kostenverdeelmodel!G5</calculatedColumnFormula>
    </tableColumn>
    <tableColumn id="7" xr3:uid="{E7B8A670-2B07-4648-AB00-D2DD201D388A}" name="bedrag" dataDxfId="41">
      <calculatedColumnFormula>Kostenverdeelmodel!H5</calculatedColumnFormula>
    </tableColumn>
    <tableColumn id="8" xr3:uid="{4ECF8215-951A-4A23-9716-25D79F60ADA9}" name="Contactpersoon naam">
      <calculatedColumnFormula>IF(ISBLANK(Kostenverdeelmodel!I5),"",Kostenverdeelmodel!I5)</calculatedColumnFormula>
    </tableColumn>
    <tableColumn id="9" xr3:uid="{77BC2654-FBA4-4AA1-9161-8AC6832C377C}" name="Contactpersoon email">
      <calculatedColumnFormula>IF(ISBLANK(Kostenverdeelmodel!J5),"",Kostenverdeelmodel!J5)</calculatedColumnFormula>
    </tableColumn>
    <tableColumn id="10" xr3:uid="{61F6CB57-CB6E-442C-892E-C09B8E4B9CB9}" name="Library Director naam" dataDxfId="42">
      <calculatedColumnFormula>IF(ISBLANK(Kostenverdeelmodel!K5),"",Kostenverdeelmodel!K5)</calculatedColumnFormula>
    </tableColumn>
    <tableColumn id="11" xr3:uid="{F6A72123-D548-4F5C-A576-DE17FB36A6FB}" name="Library Director email2">
      <calculatedColumnFormula>IF(ISBLANK(Kostenverdeelmodel!L5),"",Kostenverdeelmodel!L5)</calculatedColumnFormula>
    </tableColumn>
    <tableColumn id="12" xr3:uid="{F731A20E-272C-4C9D-A698-5A0A52961C05}" name="Chief Open Science naam">
      <calculatedColumnFormula>IF(ISBLANK(Kostenverdeelmodel!M5),"",Kostenverdeelmodel!M5)</calculatedColumnFormula>
    </tableColumn>
    <tableColumn id="13" xr3:uid="{B059C2E9-1AE2-4386-868D-741A4AD829A0}" name="Chief Open Science email">
      <calculatedColumnFormula>IF(ISBLANK(Kostenverdeelmodel!N5),"",Kostenverdeelmodel!N5)</calculatedColumnFormula>
    </tableColumn>
    <tableColumn id="15" xr3:uid="{0AFA438D-F27C-4E33-A1B7-212B557E2155}" name="is akkoord">
      <calculatedColumnFormula>IF(ISBLANK(Kostenverdeelmodel!O5),"",Kostenverdeelmodel!O5)</calculatedColumnFormula>
    </tableColumn>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A3D26F-40DA-4568-A46F-4095C542416A}" name="Table2" displayName="Table2" ref="A3:F28" totalsRowCount="1" headerRowDxfId="86" dataDxfId="85" totalsRowDxfId="84">
  <autoFilter ref="A3:F27" xr:uid="{9BA3D26F-40DA-4568-A46F-4095C542416A}"/>
  <sortState xmlns:xlrd2="http://schemas.microsoft.com/office/spreadsheetml/2017/richdata2" ref="A4:C26">
    <sortCondition descending="1" ref="C3:C26"/>
  </sortState>
  <tableColumns count="6">
    <tableColumn id="1" xr3:uid="{FDBEFE07-BD87-4841-8534-1066FDDF7B08}" name="NL-NaMeCo deelnemers die betalen" totalsRowFunction="count" dataDxfId="83" totalsRowDxfId="82"/>
    <tableColumn id="3" xr3:uid="{78A5D5AC-8E18-46C4-895E-001A926C7039}" name="Research Output 2020-2023" totalsRowFunction="sum" dataDxfId="81" totalsRowDxfId="80" dataCellStyle="Comma"/>
    <tableColumn id="2" xr3:uid="{D169B454-9265-4DF8-A151-0F92BE6ECED9}" name="Groep" dataDxfId="79" totalsRowDxfId="78" dataCellStyle="Comma"/>
    <tableColumn id="4" xr3:uid="{D932B16F-C44E-4D47-8DB7-51EEF0AB04B4}" name="Bijdrage aan NL-Research Portal beheer" totalsRowFunction="sum" dataDxfId="77" totalsRowDxfId="76" dataCellStyle="Currency">
      <calculatedColumnFormula>VLOOKUP(Table2[[#This Row],[Groep]],$A$39:$G$44,5,FALSE)</calculatedColumnFormula>
    </tableColumn>
    <tableColumn id="5" xr3:uid="{D335AC6A-06F0-4298-8BAC-25C7EFCB5D53}" name="incl OpenAIRE lidmaatschap" totalsRowFunction="custom" dataDxfId="75" totalsRowDxfId="74">
      <calculatedColumnFormula>VLOOKUP(Table2[[#This Row],[Groep]],$A$39:$G$44,7,FALSE)</calculatedColumnFormula>
      <totalsRowFormula>COUNTIF(Table2[incl OpenAIRE lidmaatschap],"ja")</totalsRowFormula>
    </tableColumn>
    <tableColumn id="6" xr3:uid="{D2BD4920-F106-46FC-AB39-ACB3553B5816}" name="aanvullend ivm eigen lidmaatschap" dataDxfId="73" totalsRowDxfId="7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D98538D-9E2F-4D62-BA4F-02FF8A124442}" name="Table3" displayName="Table3" ref="A31:D35" totalsRowCount="1" headerRowDxfId="71" dataDxfId="70" totalsRowDxfId="69">
  <autoFilter ref="A31:D34" xr:uid="{2D98538D-9E2F-4D62-BA4F-02FF8A124442}"/>
  <tableColumns count="4">
    <tableColumn id="1" xr3:uid="{6261A821-CA2F-44FE-B3A5-80D578125BCB}" name="Te verdelen Kosten" totalsRowLabel="Total" dataDxfId="68" totalsRowDxfId="67"/>
    <tableColumn id="2" xr3:uid="{78A1A3B4-C949-41DC-A498-07C06BED2075}" name="bedrag" dataDxfId="66" totalsRowDxfId="65" dataCellStyle="Currency"/>
    <tableColumn id="3" xr3:uid="{4F6D7919-6022-4B7B-97B6-3253784FC859}" name="aantal" dataDxfId="64" totalsRowDxfId="63"/>
    <tableColumn id="4" xr3:uid="{5B490215-AD9D-4B5C-8D9B-F01B4283F766}" name="totaal" totalsRowFunction="sum" dataDxfId="62" totalsRowDxfId="61" dataCellStyle="Currency"/>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65A979C-DA7F-42AD-806E-D1ADBDEA795B}" name="Table4" displayName="Table4" ref="A39:G45" totalsRowCount="1" headerRowDxfId="60" dataDxfId="59" totalsRowDxfId="58">
  <autoFilter ref="A39:G44" xr:uid="{165A979C-DA7F-42AD-806E-D1ADBDEA795B}"/>
  <tableColumns count="7">
    <tableColumn id="1" xr3:uid="{C75E89AF-982E-4204-8C8E-74A448B95370}" name="Tier" totalsRowLabel="Total" dataDxfId="57" totalsRowDxfId="56"/>
    <tableColumn id="2" xr3:uid="{A70E018B-C5D7-4142-BA33-51F8067ED4EA}" name="Publicaties/tijdsframe" dataDxfId="55" totalsRowDxfId="54"/>
    <tableColumn id="3" xr3:uid="{75C52025-8AC4-43FE-81B1-C8658575B32C}" name="Aantal deelnemers in Tier" dataDxfId="53" totalsRowDxfId="52"/>
    <tableColumn id="4" xr3:uid="{09961F7E-11AC-4F6A-A8E9-8F8F3081A10A}" name="Factor" totalsRowFunction="sum" dataDxfId="51" totalsRowDxfId="50" totalsRowCellStyle="Normal"/>
    <tableColumn id="5" xr3:uid="{42637985-88FF-4E01-A0A9-BE3C839F09AE}" name="Kosten per deelnemer" dataDxfId="49" totalsRowDxfId="48" totalsRowCellStyle="Normal"/>
    <tableColumn id="6" xr3:uid="{920D616A-867E-4E05-A5CC-E59D792A6715}" name="Totaal" totalsRowFunction="sum" dataDxfId="47" totalsRowDxfId="46" totalsRowCellStyle="Normal"/>
    <tableColumn id="7" xr3:uid="{649E2415-2DA6-4C60-BB94-1CDF053C25DF}" name="Incl. OpenAIRE lidmaatschap" dataDxfId="45" totalsRowDxfId="4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or.org/015xq7480" TargetMode="External"/><Relationship Id="rId13" Type="http://schemas.openxmlformats.org/officeDocument/2006/relationships/hyperlink" Target="https://ror.org/053tsx367" TargetMode="External"/><Relationship Id="rId18" Type="http://schemas.openxmlformats.org/officeDocument/2006/relationships/hyperlink" Target="https://ror.org/008pnp284" TargetMode="External"/><Relationship Id="rId3" Type="http://schemas.openxmlformats.org/officeDocument/2006/relationships/hyperlink" Target="https://ror.org/02x435584" TargetMode="External"/><Relationship Id="rId21" Type="http://schemas.openxmlformats.org/officeDocument/2006/relationships/hyperlink" Target="https://explore.openaire.eu/search/organization?organizationId=openorgs____::db787c50cf46f2b08e69f830e292e42d" TargetMode="External"/><Relationship Id="rId7" Type="http://schemas.openxmlformats.org/officeDocument/2006/relationships/hyperlink" Target="https://ror.org/0566bfb96" TargetMode="External"/><Relationship Id="rId12" Type="http://schemas.openxmlformats.org/officeDocument/2006/relationships/hyperlink" Target="https://ror.org/04tagjk85" TargetMode="External"/><Relationship Id="rId17" Type="http://schemas.openxmlformats.org/officeDocument/2006/relationships/hyperlink" Target="https://ror.org/0002exf56" TargetMode="External"/><Relationship Id="rId2" Type="http://schemas.openxmlformats.org/officeDocument/2006/relationships/hyperlink" Target="https://ror.org/016w23120" TargetMode="External"/><Relationship Id="rId16" Type="http://schemas.openxmlformats.org/officeDocument/2006/relationships/hyperlink" Target="https://ror.org/030deh410" TargetMode="External"/><Relationship Id="rId20" Type="http://schemas.openxmlformats.org/officeDocument/2006/relationships/hyperlink" Target="https://explore.openaire.eu/search/organization?organizationId=openorgs____::df96ffc1951dc9bc14b0695e3297f6e1" TargetMode="External"/><Relationship Id="rId1" Type="http://schemas.openxmlformats.org/officeDocument/2006/relationships/hyperlink" Target="https://ror.org/043c0p156" TargetMode="External"/><Relationship Id="rId6" Type="http://schemas.openxmlformats.org/officeDocument/2006/relationships/hyperlink" Target="https://ror.org/04jsz6e67" TargetMode="External"/><Relationship Id="rId11" Type="http://schemas.openxmlformats.org/officeDocument/2006/relationships/hyperlink" Target="https://ror.org/01cesdt21" TargetMode="External"/><Relationship Id="rId5" Type="http://schemas.openxmlformats.org/officeDocument/2006/relationships/hyperlink" Target="https://ror.org/025ae8628" TargetMode="External"/><Relationship Id="rId15" Type="http://schemas.openxmlformats.org/officeDocument/2006/relationships/hyperlink" Target="https://ror.org/03s2fjy85" TargetMode="External"/><Relationship Id="rId10" Type="http://schemas.openxmlformats.org/officeDocument/2006/relationships/hyperlink" Target="https://ror.org/018528593" TargetMode="External"/><Relationship Id="rId19" Type="http://schemas.openxmlformats.org/officeDocument/2006/relationships/hyperlink" Target="https://ror.org/00rbjv475" TargetMode="External"/><Relationship Id="rId4" Type="http://schemas.openxmlformats.org/officeDocument/2006/relationships/hyperlink" Target="https://ror.org/04w5ec154" TargetMode="External"/><Relationship Id="rId9" Type="http://schemas.openxmlformats.org/officeDocument/2006/relationships/hyperlink" Target="https://ror.org/022sw4578" TargetMode="External"/><Relationship Id="rId14" Type="http://schemas.openxmlformats.org/officeDocument/2006/relationships/hyperlink" Target="https://ror.org/01bnjb948" TargetMode="External"/><Relationship Id="rId22"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2.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9F70E-03D4-471A-A1BD-AD758693ADC0}">
  <dimension ref="A1:CJ92"/>
  <sheetViews>
    <sheetView topLeftCell="H1" workbookViewId="0">
      <pane ySplit="1" topLeftCell="A2" activePane="bottomLeft" state="frozen"/>
      <selection pane="bottomLeft" activeCell="N1" sqref="N1"/>
    </sheetView>
  </sheetViews>
  <sheetFormatPr defaultRowHeight="15" x14ac:dyDescent="0.25"/>
  <cols>
    <col min="1" max="1" width="41.7109375" customWidth="1"/>
    <col min="2" max="2" width="13.28515625" customWidth="1"/>
    <col min="3" max="3" width="14.7109375" customWidth="1"/>
    <col min="4" max="4" width="15" customWidth="1"/>
    <col min="5" max="5" width="19.28515625" customWidth="1"/>
    <col min="6" max="6" width="11.140625" customWidth="1"/>
    <col min="7" max="7" width="13.42578125" customWidth="1"/>
    <col min="8" max="8" width="15.5703125" customWidth="1"/>
    <col min="9" max="9" width="13.7109375" customWidth="1"/>
    <col min="10" max="10" width="15.7109375" customWidth="1"/>
    <col min="11" max="11" width="17.28515625" customWidth="1"/>
    <col min="12" max="12" width="28.28515625" customWidth="1"/>
    <col min="13" max="13" width="36.5703125" style="9" customWidth="1"/>
    <col min="14" max="14" width="37.140625" style="9" customWidth="1"/>
    <col min="15" max="15" width="70.42578125" customWidth="1"/>
  </cols>
  <sheetData>
    <row r="1" spans="1:88" x14ac:dyDescent="0.25">
      <c r="A1" t="s">
        <v>0</v>
      </c>
      <c r="B1" t="s">
        <v>1</v>
      </c>
      <c r="C1" t="s">
        <v>2</v>
      </c>
      <c r="D1" t="s">
        <v>3</v>
      </c>
      <c r="E1" t="s">
        <v>4</v>
      </c>
      <c r="F1" t="s">
        <v>5</v>
      </c>
      <c r="G1" t="s">
        <v>6</v>
      </c>
      <c r="H1" t="s">
        <v>7</v>
      </c>
      <c r="I1" t="s">
        <v>8</v>
      </c>
      <c r="J1" t="s">
        <v>9</v>
      </c>
      <c r="K1" t="s">
        <v>10</v>
      </c>
      <c r="L1" t="s">
        <v>11</v>
      </c>
      <c r="M1" s="9" t="s">
        <v>12</v>
      </c>
      <c r="N1" s="9" t="s">
        <v>13</v>
      </c>
      <c r="O1" t="s">
        <v>674</v>
      </c>
    </row>
    <row r="2" spans="1:88" s="3" customFormat="1" x14ac:dyDescent="0.25">
      <c r="A2" s="3" t="s">
        <v>14</v>
      </c>
      <c r="B2" s="3" t="s">
        <v>15</v>
      </c>
      <c r="C2" s="3" t="s">
        <v>16</v>
      </c>
      <c r="D2" s="3" t="s">
        <v>17</v>
      </c>
      <c r="E2" s="3" t="s">
        <v>18</v>
      </c>
      <c r="F2" s="3" t="s">
        <v>19</v>
      </c>
      <c r="G2" s="3" t="s">
        <v>20</v>
      </c>
      <c r="H2" s="3" t="s">
        <v>21</v>
      </c>
      <c r="I2" s="3" t="s">
        <v>22</v>
      </c>
      <c r="J2" s="3" t="s">
        <v>23</v>
      </c>
      <c r="K2" s="3" t="s">
        <v>22</v>
      </c>
      <c r="L2" s="3" t="s">
        <v>23</v>
      </c>
      <c r="M2" s="11">
        <v>377986</v>
      </c>
      <c r="N2" s="11">
        <v>68465</v>
      </c>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row>
    <row r="3" spans="1:88" s="1" customFormat="1" x14ac:dyDescent="0.25">
      <c r="A3" s="3" t="s">
        <v>24</v>
      </c>
      <c r="B3" s="3" t="s">
        <v>25</v>
      </c>
      <c r="C3" s="3" t="s">
        <v>26</v>
      </c>
      <c r="D3" s="3" t="s">
        <v>17</v>
      </c>
      <c r="E3" s="3" t="s">
        <v>27</v>
      </c>
      <c r="F3" s="3" t="s">
        <v>28</v>
      </c>
      <c r="G3" s="3" t="s">
        <v>29</v>
      </c>
      <c r="H3" s="3" t="s">
        <v>30</v>
      </c>
      <c r="I3" s="3" t="s">
        <v>31</v>
      </c>
      <c r="J3" s="3" t="s">
        <v>32</v>
      </c>
      <c r="K3" s="3" t="s">
        <v>31</v>
      </c>
      <c r="L3" s="3" t="s">
        <v>32</v>
      </c>
      <c r="M3" s="11">
        <v>358787</v>
      </c>
      <c r="N3" s="11">
        <v>60257</v>
      </c>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row>
    <row r="4" spans="1:88" s="1" customFormat="1" x14ac:dyDescent="0.25">
      <c r="A4" s="3" t="s">
        <v>33</v>
      </c>
      <c r="B4" t="s">
        <v>34</v>
      </c>
      <c r="C4" t="s">
        <v>35</v>
      </c>
      <c r="D4" t="s">
        <v>17</v>
      </c>
      <c r="E4" t="s">
        <v>36</v>
      </c>
      <c r="F4" t="s">
        <v>37</v>
      </c>
      <c r="G4" t="s">
        <v>38</v>
      </c>
      <c r="H4" t="s">
        <v>39</v>
      </c>
      <c r="I4" t="s">
        <v>40</v>
      </c>
      <c r="J4" t="s">
        <v>41</v>
      </c>
      <c r="K4" t="s">
        <v>40</v>
      </c>
      <c r="L4" t="s">
        <v>41</v>
      </c>
      <c r="M4" s="9">
        <v>323047</v>
      </c>
      <c r="N4" s="9">
        <v>56275</v>
      </c>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row>
    <row r="5" spans="1:88" x14ac:dyDescent="0.25">
      <c r="A5" s="3" t="s">
        <v>42</v>
      </c>
      <c r="B5" s="3" t="s">
        <v>43</v>
      </c>
      <c r="C5" s="3" t="s">
        <v>44</v>
      </c>
      <c r="D5" s="3" t="s">
        <v>17</v>
      </c>
      <c r="E5" s="3" t="s">
        <v>45</v>
      </c>
      <c r="F5" s="3" t="s">
        <v>46</v>
      </c>
      <c r="G5" s="3" t="s">
        <v>47</v>
      </c>
      <c r="H5" s="3" t="s">
        <v>48</v>
      </c>
      <c r="I5" s="3" t="s">
        <v>49</v>
      </c>
      <c r="J5" s="3" t="s">
        <v>50</v>
      </c>
      <c r="K5" s="3" t="s">
        <v>49</v>
      </c>
      <c r="L5" s="3" t="s">
        <v>50</v>
      </c>
      <c r="M5" s="11">
        <v>218436</v>
      </c>
      <c r="N5" s="11">
        <v>47078</v>
      </c>
    </row>
    <row r="6" spans="1:88" x14ac:dyDescent="0.25">
      <c r="A6" s="3" t="s">
        <v>51</v>
      </c>
      <c r="B6" s="3" t="s">
        <v>52</v>
      </c>
      <c r="C6" s="3" t="s">
        <v>53</v>
      </c>
      <c r="D6" s="3" t="s">
        <v>17</v>
      </c>
      <c r="E6" s="3" t="s">
        <v>54</v>
      </c>
      <c r="F6" s="3" t="s">
        <v>55</v>
      </c>
      <c r="G6" s="3" t="s">
        <v>56</v>
      </c>
      <c r="H6" s="3" t="s">
        <v>57</v>
      </c>
      <c r="I6" s="3" t="s">
        <v>58</v>
      </c>
      <c r="J6" s="3" t="s">
        <v>59</v>
      </c>
      <c r="K6" s="3" t="s">
        <v>58</v>
      </c>
      <c r="L6" s="3" t="s">
        <v>59</v>
      </c>
      <c r="M6" s="11">
        <v>276759</v>
      </c>
      <c r="N6" s="11">
        <v>45349</v>
      </c>
    </row>
    <row r="7" spans="1:88" x14ac:dyDescent="0.25">
      <c r="A7" s="3" t="s">
        <v>60</v>
      </c>
      <c r="B7" s="3" t="s">
        <v>61</v>
      </c>
      <c r="C7" s="3" t="s">
        <v>62</v>
      </c>
      <c r="D7" s="3" t="s">
        <v>17</v>
      </c>
      <c r="E7" s="3" t="s">
        <v>63</v>
      </c>
      <c r="F7" s="3" t="s">
        <v>64</v>
      </c>
      <c r="G7" s="3" t="s">
        <v>65</v>
      </c>
      <c r="H7" s="3" t="s">
        <v>66</v>
      </c>
      <c r="I7" s="3" t="s">
        <v>67</v>
      </c>
      <c r="J7" s="3" t="s">
        <v>68</v>
      </c>
      <c r="K7" s="3" t="s">
        <v>67</v>
      </c>
      <c r="L7" s="3" t="s">
        <v>68</v>
      </c>
      <c r="M7" s="11">
        <v>257749</v>
      </c>
      <c r="N7" s="11">
        <v>44206</v>
      </c>
    </row>
    <row r="8" spans="1:88" s="3" customFormat="1" x14ac:dyDescent="0.25">
      <c r="A8" s="3" t="s">
        <v>69</v>
      </c>
      <c r="B8" s="3" t="s">
        <v>70</v>
      </c>
      <c r="C8" s="3" t="s">
        <v>70</v>
      </c>
      <c r="D8" s="3" t="s">
        <v>17</v>
      </c>
      <c r="E8" s="3" t="s">
        <v>71</v>
      </c>
      <c r="F8" s="3" t="s">
        <v>72</v>
      </c>
      <c r="G8" s="3" t="s">
        <v>73</v>
      </c>
      <c r="H8" s="3" t="s">
        <v>74</v>
      </c>
      <c r="I8" s="3" t="s">
        <v>75</v>
      </c>
      <c r="J8" s="3" t="s">
        <v>76</v>
      </c>
      <c r="K8" s="3" t="s">
        <v>75</v>
      </c>
      <c r="L8" s="3" t="s">
        <v>76</v>
      </c>
      <c r="M8" s="11">
        <v>229813</v>
      </c>
      <c r="N8" s="11">
        <v>42961</v>
      </c>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row>
    <row r="9" spans="1:88" x14ac:dyDescent="0.25">
      <c r="A9" s="3" t="s">
        <v>77</v>
      </c>
      <c r="B9" s="3" t="s">
        <v>78</v>
      </c>
      <c r="C9" s="3" t="s">
        <v>79</v>
      </c>
      <c r="D9" s="3" t="s">
        <v>17</v>
      </c>
      <c r="E9" s="3" t="s">
        <v>80</v>
      </c>
      <c r="F9" s="3" t="s">
        <v>81</v>
      </c>
      <c r="G9" s="3" t="s">
        <v>82</v>
      </c>
      <c r="H9" s="3" t="s">
        <v>83</v>
      </c>
      <c r="I9" s="3" t="s">
        <v>84</v>
      </c>
      <c r="J9" s="3" t="s">
        <v>85</v>
      </c>
      <c r="K9" s="3" t="s">
        <v>84</v>
      </c>
      <c r="L9" s="3" t="s">
        <v>85</v>
      </c>
      <c r="M9" s="11">
        <v>160994</v>
      </c>
      <c r="N9" s="11">
        <v>41494</v>
      </c>
    </row>
    <row r="10" spans="1:88" x14ac:dyDescent="0.25">
      <c r="A10" s="3" t="s">
        <v>86</v>
      </c>
      <c r="B10" t="s">
        <v>87</v>
      </c>
      <c r="C10" t="s">
        <v>88</v>
      </c>
      <c r="D10" t="s">
        <v>17</v>
      </c>
      <c r="E10" t="s">
        <v>89</v>
      </c>
      <c r="F10" t="s">
        <v>90</v>
      </c>
      <c r="G10" t="s">
        <v>91</v>
      </c>
      <c r="H10" t="s">
        <v>92</v>
      </c>
      <c r="I10" t="s">
        <v>93</v>
      </c>
      <c r="J10" t="s">
        <v>94</v>
      </c>
      <c r="K10" t="s">
        <v>93</v>
      </c>
      <c r="L10" t="s">
        <v>94</v>
      </c>
      <c r="M10" s="9">
        <v>246426</v>
      </c>
      <c r="N10" s="9">
        <v>39430</v>
      </c>
    </row>
    <row r="11" spans="1:88" x14ac:dyDescent="0.25">
      <c r="A11" s="3" t="s">
        <v>95</v>
      </c>
      <c r="B11" s="3" t="s">
        <v>96</v>
      </c>
      <c r="C11" s="3" t="s">
        <v>96</v>
      </c>
      <c r="D11" s="3" t="s">
        <v>17</v>
      </c>
      <c r="E11" s="3" t="s">
        <v>97</v>
      </c>
      <c r="F11" s="3" t="s">
        <v>98</v>
      </c>
      <c r="G11" s="3" t="s">
        <v>99</v>
      </c>
      <c r="H11" s="3" t="s">
        <v>100</v>
      </c>
      <c r="I11" s="3" t="s">
        <v>101</v>
      </c>
      <c r="J11" s="3" t="s">
        <v>102</v>
      </c>
      <c r="K11" s="3" t="s">
        <v>101</v>
      </c>
      <c r="L11" s="3" t="s">
        <v>102</v>
      </c>
      <c r="M11" s="11">
        <v>284785</v>
      </c>
      <c r="N11" s="11">
        <v>35678</v>
      </c>
    </row>
    <row r="12" spans="1:88" x14ac:dyDescent="0.25">
      <c r="A12" s="1" t="s">
        <v>103</v>
      </c>
      <c r="B12" s="1" t="s">
        <v>103</v>
      </c>
      <c r="C12" s="1" t="s">
        <v>16</v>
      </c>
      <c r="D12" s="1" t="s">
        <v>104</v>
      </c>
      <c r="E12" s="1" t="s">
        <v>105</v>
      </c>
      <c r="F12" s="1" t="s">
        <v>106</v>
      </c>
      <c r="G12" s="1" t="s">
        <v>107</v>
      </c>
      <c r="H12" s="1" t="s">
        <v>108</v>
      </c>
      <c r="I12" s="1" t="s">
        <v>109</v>
      </c>
      <c r="J12" s="1" t="s">
        <v>110</v>
      </c>
      <c r="K12" s="1" t="s">
        <v>109</v>
      </c>
      <c r="L12" s="1" t="s">
        <v>110</v>
      </c>
      <c r="M12" s="12">
        <v>88928</v>
      </c>
      <c r="N12" s="12">
        <v>25574</v>
      </c>
    </row>
    <row r="13" spans="1:88" s="3" customFormat="1" x14ac:dyDescent="0.25">
      <c r="A13" s="1" t="s">
        <v>111</v>
      </c>
      <c r="B13" s="1" t="s">
        <v>112</v>
      </c>
      <c r="C13" s="1" t="s">
        <v>53</v>
      </c>
      <c r="D13" s="1" t="s">
        <v>104</v>
      </c>
      <c r="E13" s="1" t="s">
        <v>113</v>
      </c>
      <c r="F13" s="1" t="s">
        <v>114</v>
      </c>
      <c r="G13" s="1" t="s">
        <v>115</v>
      </c>
      <c r="H13" s="1" t="s">
        <v>116</v>
      </c>
      <c r="I13" s="1" t="s">
        <v>117</v>
      </c>
      <c r="J13" s="1" t="s">
        <v>118</v>
      </c>
      <c r="K13" s="1" t="s">
        <v>117</v>
      </c>
      <c r="L13" s="1" t="s">
        <v>118</v>
      </c>
      <c r="M13" s="12">
        <v>82328</v>
      </c>
      <c r="N13" s="12">
        <v>24849</v>
      </c>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row>
    <row r="14" spans="1:88" x14ac:dyDescent="0.25">
      <c r="A14" s="1" t="s">
        <v>119</v>
      </c>
      <c r="B14" s="1" t="s">
        <v>119</v>
      </c>
      <c r="C14" s="1" t="s">
        <v>44</v>
      </c>
      <c r="D14" s="1" t="s">
        <v>104</v>
      </c>
      <c r="E14" s="1" t="s">
        <v>120</v>
      </c>
      <c r="F14" s="1" t="s">
        <v>121</v>
      </c>
      <c r="G14" s="1" t="s">
        <v>122</v>
      </c>
      <c r="H14" s="1" t="s">
        <v>123</v>
      </c>
      <c r="I14" s="1" t="s">
        <v>124</v>
      </c>
      <c r="J14" s="1" t="s">
        <v>125</v>
      </c>
      <c r="K14" s="1" t="s">
        <v>124</v>
      </c>
      <c r="L14" s="1" t="s">
        <v>126</v>
      </c>
      <c r="M14" s="12">
        <v>90555</v>
      </c>
      <c r="N14" s="12">
        <v>24045</v>
      </c>
    </row>
    <row r="15" spans="1:88" s="3" customFormat="1" x14ac:dyDescent="0.25">
      <c r="A15" s="3" t="s">
        <v>127</v>
      </c>
      <c r="B15" s="3" t="s">
        <v>128</v>
      </c>
      <c r="C15" s="3" t="s">
        <v>128</v>
      </c>
      <c r="D15" s="3" t="s">
        <v>17</v>
      </c>
      <c r="E15" s="3" t="s">
        <v>129</v>
      </c>
      <c r="F15" s="3" t="s">
        <v>130</v>
      </c>
      <c r="G15" s="3" t="s">
        <v>131</v>
      </c>
      <c r="H15" s="3" t="s">
        <v>132</v>
      </c>
      <c r="I15" s="3" t="s">
        <v>133</v>
      </c>
      <c r="J15" s="3" t="s">
        <v>134</v>
      </c>
      <c r="K15" s="3" t="s">
        <v>133</v>
      </c>
      <c r="L15" s="3" t="s">
        <v>134</v>
      </c>
      <c r="M15" s="11">
        <v>157571</v>
      </c>
      <c r="N15" s="11">
        <v>23209</v>
      </c>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row>
    <row r="16" spans="1:88" x14ac:dyDescent="0.25">
      <c r="A16" s="1" t="s">
        <v>135</v>
      </c>
      <c r="B16" s="1" t="s">
        <v>135</v>
      </c>
      <c r="C16" s="1" t="s">
        <v>62</v>
      </c>
      <c r="D16" s="1" t="s">
        <v>104</v>
      </c>
      <c r="E16" s="1" t="s">
        <v>136</v>
      </c>
      <c r="F16" s="1" t="s">
        <v>137</v>
      </c>
      <c r="G16" s="1" t="s">
        <v>138</v>
      </c>
      <c r="H16" s="1" t="s">
        <v>139</v>
      </c>
      <c r="I16" s="1" t="s">
        <v>140</v>
      </c>
      <c r="J16" s="1" t="s">
        <v>141</v>
      </c>
      <c r="K16" s="1" t="s">
        <v>140</v>
      </c>
      <c r="L16" s="13" t="s">
        <v>141</v>
      </c>
      <c r="M16" s="12">
        <v>91343</v>
      </c>
      <c r="N16" s="12">
        <v>22307</v>
      </c>
    </row>
    <row r="17" spans="1:88" s="3" customFormat="1" x14ac:dyDescent="0.25">
      <c r="A17" s="1" t="s">
        <v>142</v>
      </c>
      <c r="B17" s="1" t="s">
        <v>142</v>
      </c>
      <c r="C17" s="1" t="s">
        <v>88</v>
      </c>
      <c r="D17" s="1" t="s">
        <v>104</v>
      </c>
      <c r="E17" s="2">
        <v>1.8906E+26</v>
      </c>
      <c r="F17" s="1" t="s">
        <v>143</v>
      </c>
      <c r="G17" s="1" t="s">
        <v>144</v>
      </c>
      <c r="H17" s="1" t="s">
        <v>145</v>
      </c>
      <c r="I17" s="1" t="s">
        <v>146</v>
      </c>
      <c r="J17" s="1" t="s">
        <v>147</v>
      </c>
      <c r="K17" s="1" t="s">
        <v>148</v>
      </c>
      <c r="L17" s="1" t="s">
        <v>149</v>
      </c>
      <c r="M17" s="12">
        <v>72169</v>
      </c>
      <c r="N17" s="12">
        <v>21732</v>
      </c>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row>
    <row r="18" spans="1:88" x14ac:dyDescent="0.25">
      <c r="A18" s="1" t="s">
        <v>565</v>
      </c>
      <c r="B18" s="1" t="s">
        <v>565</v>
      </c>
      <c r="C18" s="1" t="s">
        <v>35</v>
      </c>
      <c r="D18" s="1" t="s">
        <v>104</v>
      </c>
      <c r="E18" s="1" t="s">
        <v>566</v>
      </c>
      <c r="F18" s="1" t="s">
        <v>567</v>
      </c>
      <c r="G18" s="1" t="s">
        <v>568</v>
      </c>
      <c r="H18" s="1" t="s">
        <v>569</v>
      </c>
      <c r="I18" s="1" t="s">
        <v>570</v>
      </c>
      <c r="J18" s="1" t="s">
        <v>571</v>
      </c>
      <c r="K18" s="1"/>
      <c r="L18" s="1"/>
      <c r="M18" s="12">
        <v>74247</v>
      </c>
      <c r="N18" s="12">
        <v>20650</v>
      </c>
    </row>
    <row r="19" spans="1:88" s="1" customFormat="1" x14ac:dyDescent="0.25">
      <c r="A19" s="3" t="s">
        <v>150</v>
      </c>
      <c r="B19" s="3" t="s">
        <v>151</v>
      </c>
      <c r="C19" s="3" t="s">
        <v>151</v>
      </c>
      <c r="D19" s="3" t="s">
        <v>17</v>
      </c>
      <c r="E19" s="3" t="s">
        <v>152</v>
      </c>
      <c r="F19" s="3" t="s">
        <v>153</v>
      </c>
      <c r="G19" s="3" t="s">
        <v>154</v>
      </c>
      <c r="H19" s="3" t="s">
        <v>155</v>
      </c>
      <c r="I19" s="3" t="s">
        <v>156</v>
      </c>
      <c r="J19" s="3" t="s">
        <v>157</v>
      </c>
      <c r="K19" s="3" t="s">
        <v>156</v>
      </c>
      <c r="L19" s="38" t="s">
        <v>157</v>
      </c>
      <c r="M19" s="11">
        <v>76551</v>
      </c>
      <c r="N19" s="11">
        <v>17134</v>
      </c>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row>
    <row r="20" spans="1:88" x14ac:dyDescent="0.25">
      <c r="A20" t="s">
        <v>627</v>
      </c>
      <c r="F20" t="s">
        <v>582</v>
      </c>
      <c r="L20" t="str">
        <f>_xlfn.CONCAT("https://explore.openaire.eu/search/organization?organizationId=",I20)</f>
        <v>https://explore.openaire.eu/search/organization?organizationId=</v>
      </c>
      <c r="N20" s="9">
        <v>16072</v>
      </c>
      <c r="O20" t="s">
        <v>671</v>
      </c>
    </row>
    <row r="21" spans="1:88" x14ac:dyDescent="0.25">
      <c r="A21" s="3" t="s">
        <v>158</v>
      </c>
      <c r="B21" s="3" t="s">
        <v>159</v>
      </c>
      <c r="C21" s="3" t="s">
        <v>159</v>
      </c>
      <c r="D21" s="3" t="s">
        <v>17</v>
      </c>
      <c r="E21" s="3" t="s">
        <v>160</v>
      </c>
      <c r="F21" s="3" t="s">
        <v>161</v>
      </c>
      <c r="G21" s="3" t="s">
        <v>162</v>
      </c>
      <c r="H21" s="3" t="s">
        <v>163</v>
      </c>
      <c r="I21" s="3" t="s">
        <v>164</v>
      </c>
      <c r="J21" s="3" t="s">
        <v>165</v>
      </c>
      <c r="K21" s="3" t="s">
        <v>164</v>
      </c>
      <c r="L21" s="3" t="s">
        <v>165</v>
      </c>
      <c r="M21" s="11">
        <v>107746</v>
      </c>
      <c r="N21" s="11">
        <v>14474</v>
      </c>
    </row>
    <row r="22" spans="1:88" x14ac:dyDescent="0.25">
      <c r="A22" s="1" t="s">
        <v>166</v>
      </c>
      <c r="B22" s="1" t="s">
        <v>167</v>
      </c>
      <c r="C22" s="1" t="s">
        <v>167</v>
      </c>
      <c r="D22" s="1" t="s">
        <v>104</v>
      </c>
      <c r="E22" s="1" t="s">
        <v>168</v>
      </c>
      <c r="F22" s="1" t="s">
        <v>169</v>
      </c>
      <c r="G22" s="1" t="s">
        <v>170</v>
      </c>
      <c r="H22" s="1" t="s">
        <v>171</v>
      </c>
      <c r="I22" s="1" t="s">
        <v>172</v>
      </c>
      <c r="J22" s="1" t="s">
        <v>173</v>
      </c>
      <c r="K22" s="1" t="s">
        <v>172</v>
      </c>
      <c r="L22" s="1" t="s">
        <v>173</v>
      </c>
      <c r="M22" s="12">
        <v>20886</v>
      </c>
      <c r="N22" s="12">
        <v>13933</v>
      </c>
    </row>
    <row r="23" spans="1:88" x14ac:dyDescent="0.25">
      <c r="A23" s="1" t="s">
        <v>174</v>
      </c>
      <c r="B23" s="1" t="s">
        <v>174</v>
      </c>
      <c r="C23" s="1" t="s">
        <v>79</v>
      </c>
      <c r="D23" s="1" t="s">
        <v>104</v>
      </c>
      <c r="E23" s="1" t="s">
        <v>175</v>
      </c>
      <c r="F23" s="1" t="s">
        <v>176</v>
      </c>
      <c r="G23" s="1" t="s">
        <v>177</v>
      </c>
      <c r="H23" s="1" t="s">
        <v>178</v>
      </c>
      <c r="I23" s="1" t="s">
        <v>179</v>
      </c>
      <c r="J23" s="1" t="s">
        <v>180</v>
      </c>
      <c r="K23" s="1" t="s">
        <v>179</v>
      </c>
      <c r="L23" s="1" t="s">
        <v>180</v>
      </c>
      <c r="M23" s="12">
        <v>36137</v>
      </c>
      <c r="N23" s="12">
        <v>11817</v>
      </c>
    </row>
    <row r="24" spans="1:88" x14ac:dyDescent="0.25">
      <c r="A24" t="s">
        <v>580</v>
      </c>
      <c r="F24" s="10" t="s">
        <v>581</v>
      </c>
      <c r="I24" t="s">
        <v>608</v>
      </c>
      <c r="L24" t="str">
        <f>_xlfn.CONCAT("https://explore.openaire.eu/search/organization?organizationId=",I24)</f>
        <v>https://explore.openaire.eu/search/organization?organizationId=openorgs____::c1a1811a679593a3e8b973f41bc8c8ea</v>
      </c>
      <c r="M24" s="9">
        <v>36862</v>
      </c>
      <c r="N24" s="9">
        <v>11167</v>
      </c>
      <c r="O24" t="s">
        <v>670</v>
      </c>
    </row>
    <row r="25" spans="1:88" x14ac:dyDescent="0.25">
      <c r="A25" t="s">
        <v>658</v>
      </c>
      <c r="B25" t="s">
        <v>219</v>
      </c>
      <c r="C25" t="s">
        <v>219</v>
      </c>
      <c r="D25" t="s">
        <v>219</v>
      </c>
      <c r="F25" s="10" t="s">
        <v>573</v>
      </c>
      <c r="I25" t="s">
        <v>605</v>
      </c>
      <c r="L25" t="str">
        <f>_xlfn.CONCAT("https://explore.openaire.eu/search/organization?organizationId=",I25)</f>
        <v>https://explore.openaire.eu/search/organization?organizationId=openorgs____::cb77737b5a390319030e6abdb12aa6ad</v>
      </c>
      <c r="M25" s="9">
        <v>27821</v>
      </c>
      <c r="N25" s="9">
        <v>7476</v>
      </c>
      <c r="O25" t="s">
        <v>668</v>
      </c>
    </row>
    <row r="26" spans="1:88" s="3" customFormat="1" x14ac:dyDescent="0.25">
      <c r="A26" t="s">
        <v>583</v>
      </c>
      <c r="B26"/>
      <c r="C26"/>
      <c r="D26"/>
      <c r="E26"/>
      <c r="F26" s="10" t="s">
        <v>584</v>
      </c>
      <c r="G26"/>
      <c r="H26"/>
      <c r="I26" t="s">
        <v>609</v>
      </c>
      <c r="J26"/>
      <c r="K26"/>
      <c r="L26" t="str">
        <f>_xlfn.CONCAT("https://explore.openaire.eu/search/organization?organizationId=",I26)</f>
        <v>https://explore.openaire.eu/search/organization?organizationId=openorgs____::dd29a935a8c8b552752fd00524f5c2a3</v>
      </c>
      <c r="M26" s="9"/>
      <c r="N26" s="9">
        <v>6941</v>
      </c>
      <c r="O26" t="s">
        <v>676</v>
      </c>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row>
    <row r="27" spans="1:88" x14ac:dyDescent="0.25">
      <c r="A27" t="s">
        <v>655</v>
      </c>
      <c r="B27" t="s">
        <v>591</v>
      </c>
      <c r="C27" t="s">
        <v>591</v>
      </c>
      <c r="D27" t="s">
        <v>650</v>
      </c>
      <c r="F27" s="10" t="s">
        <v>592</v>
      </c>
      <c r="I27" t="s">
        <v>612</v>
      </c>
      <c r="L27" t="str">
        <f>_xlfn.CONCAT("https://explore.openaire.eu/search/organization?organizationId=",I27)</f>
        <v>https://explore.openaire.eu/search/organization?organizationId=openorgs____::ee938614ce34e199c2901282deb79db4</v>
      </c>
      <c r="N27" s="9">
        <v>6115</v>
      </c>
      <c r="O27" t="s">
        <v>676</v>
      </c>
    </row>
    <row r="28" spans="1:88" x14ac:dyDescent="0.25">
      <c r="A28" s="1" t="s">
        <v>181</v>
      </c>
      <c r="B28" s="1" t="s">
        <v>182</v>
      </c>
      <c r="C28" s="1" t="s">
        <v>26</v>
      </c>
      <c r="D28" s="1" t="s">
        <v>104</v>
      </c>
      <c r="E28" s="1" t="s">
        <v>183</v>
      </c>
      <c r="F28" s="1" t="s">
        <v>184</v>
      </c>
      <c r="G28" s="1" t="s">
        <v>185</v>
      </c>
      <c r="H28" s="1" t="s">
        <v>186</v>
      </c>
      <c r="I28" s="1" t="s">
        <v>187</v>
      </c>
      <c r="J28" s="1" t="s">
        <v>188</v>
      </c>
      <c r="K28" s="1" t="s">
        <v>189</v>
      </c>
      <c r="L28" s="1" t="s">
        <v>190</v>
      </c>
      <c r="M28" s="12">
        <v>12377</v>
      </c>
      <c r="N28" s="12">
        <v>6109</v>
      </c>
    </row>
    <row r="29" spans="1:88" x14ac:dyDescent="0.25">
      <c r="A29" s="3" t="s">
        <v>191</v>
      </c>
      <c r="B29" s="3" t="s">
        <v>192</v>
      </c>
      <c r="C29" s="3" t="s">
        <v>192</v>
      </c>
      <c r="D29" s="3" t="s">
        <v>17</v>
      </c>
      <c r="E29" s="3" t="s">
        <v>193</v>
      </c>
      <c r="F29" s="3" t="s">
        <v>194</v>
      </c>
      <c r="G29" s="3" t="s">
        <v>195</v>
      </c>
      <c r="H29" s="3" t="s">
        <v>196</v>
      </c>
      <c r="I29" s="3" t="s">
        <v>197</v>
      </c>
      <c r="J29" s="3" t="s">
        <v>198</v>
      </c>
      <c r="K29" s="3" t="s">
        <v>197</v>
      </c>
      <c r="L29" s="3" t="s">
        <v>198</v>
      </c>
      <c r="M29" s="11">
        <v>17258</v>
      </c>
      <c r="N29" s="11">
        <v>5445</v>
      </c>
    </row>
    <row r="30" spans="1:88" x14ac:dyDescent="0.25">
      <c r="A30" t="s">
        <v>199</v>
      </c>
      <c r="B30" t="s">
        <v>200</v>
      </c>
      <c r="C30" t="s">
        <v>200</v>
      </c>
      <c r="D30" t="s">
        <v>201</v>
      </c>
      <c r="E30" t="s">
        <v>202</v>
      </c>
      <c r="F30" t="s">
        <v>203</v>
      </c>
      <c r="G30" t="s">
        <v>204</v>
      </c>
      <c r="H30" t="s">
        <v>205</v>
      </c>
      <c r="I30" t="s">
        <v>206</v>
      </c>
      <c r="J30" t="s">
        <v>207</v>
      </c>
      <c r="K30" t="s">
        <v>206</v>
      </c>
      <c r="L30" t="s">
        <v>207</v>
      </c>
      <c r="M30" s="9">
        <v>7768</v>
      </c>
      <c r="N30" s="9">
        <v>2851</v>
      </c>
    </row>
    <row r="31" spans="1:88" x14ac:dyDescent="0.25">
      <c r="A31" s="3" t="s">
        <v>208</v>
      </c>
      <c r="B31" s="3" t="s">
        <v>209</v>
      </c>
      <c r="C31" s="3" t="s">
        <v>209</v>
      </c>
      <c r="D31" s="3" t="s">
        <v>210</v>
      </c>
      <c r="E31" s="3" t="s">
        <v>211</v>
      </c>
      <c r="F31" s="3" t="s">
        <v>212</v>
      </c>
      <c r="G31" s="3" t="s">
        <v>213</v>
      </c>
      <c r="H31" s="3" t="s">
        <v>214</v>
      </c>
      <c r="I31" s="3" t="s">
        <v>215</v>
      </c>
      <c r="J31" s="3" t="s">
        <v>216</v>
      </c>
      <c r="K31" s="3" t="s">
        <v>215</v>
      </c>
      <c r="L31" s="3" t="s">
        <v>216</v>
      </c>
      <c r="M31" s="11">
        <v>10564</v>
      </c>
      <c r="N31" s="11">
        <v>2648</v>
      </c>
    </row>
    <row r="32" spans="1:88" x14ac:dyDescent="0.25">
      <c r="A32" t="s">
        <v>636</v>
      </c>
      <c r="B32" t="s">
        <v>637</v>
      </c>
      <c r="C32" t="s">
        <v>637</v>
      </c>
      <c r="D32" t="s">
        <v>219</v>
      </c>
      <c r="F32" s="10" t="s">
        <v>638</v>
      </c>
      <c r="I32" t="s">
        <v>639</v>
      </c>
      <c r="L32" t="str">
        <f>_xlfn.CONCAT("https://explore.openaire.eu/search/organization?organizationId=",I32)</f>
        <v>https://explore.openaire.eu/search/organization?organizationId=openorgs____::a8767e80afb51d63802fdf1ddabeacb0</v>
      </c>
      <c r="M32" s="9">
        <v>9169</v>
      </c>
      <c r="N32" s="9">
        <v>2523</v>
      </c>
      <c r="O32" t="s">
        <v>676</v>
      </c>
    </row>
    <row r="33" spans="1:88" s="3" customFormat="1" x14ac:dyDescent="0.25">
      <c r="A33" t="s">
        <v>657</v>
      </c>
      <c r="B33" t="s">
        <v>585</v>
      </c>
      <c r="C33" t="s">
        <v>585</v>
      </c>
      <c r="D33"/>
      <c r="E33"/>
      <c r="F33" s="10" t="s">
        <v>586</v>
      </c>
      <c r="G33"/>
      <c r="H33"/>
      <c r="I33" t="s">
        <v>610</v>
      </c>
      <c r="J33"/>
      <c r="K33"/>
      <c r="L33" t="str">
        <f>_xlfn.CONCAT("https://explore.openaire.eu/search/organization?organizationId=",I33)</f>
        <v>https://explore.openaire.eu/search/organization?organizationId=openorgs____::19274b9a576d284a2b900e2f112f6a0c</v>
      </c>
      <c r="M33" s="9"/>
      <c r="N33" s="9">
        <v>2232</v>
      </c>
      <c r="O33" t="s">
        <v>676</v>
      </c>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row>
    <row r="34" spans="1:88" s="1" customFormat="1" x14ac:dyDescent="0.25">
      <c r="A34" t="s">
        <v>651</v>
      </c>
      <c r="B34" t="s">
        <v>601</v>
      </c>
      <c r="C34" t="s">
        <v>601</v>
      </c>
      <c r="D34" t="s">
        <v>652</v>
      </c>
      <c r="E34"/>
      <c r="F34" s="10" t="s">
        <v>602</v>
      </c>
      <c r="G34"/>
      <c r="H34"/>
      <c r="I34" t="s">
        <v>617</v>
      </c>
      <c r="J34"/>
      <c r="K34"/>
      <c r="L34" t="str">
        <f>_xlfn.CONCAT("https://explore.openaire.eu/search/organization?organizationId=",I34)</f>
        <v>https://explore.openaire.eu/search/organization?organizationId=openorgs____::25b87dfee5c1855dab099c5a2eef225a</v>
      </c>
      <c r="M34" s="9"/>
      <c r="N34" s="9">
        <v>1686</v>
      </c>
      <c r="O34" t="s">
        <v>676</v>
      </c>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row>
    <row r="35" spans="1:88" s="3" customFormat="1" x14ac:dyDescent="0.25">
      <c r="A35" t="s">
        <v>653</v>
      </c>
      <c r="B35" t="s">
        <v>597</v>
      </c>
      <c r="C35" t="s">
        <v>597</v>
      </c>
      <c r="D35" t="s">
        <v>650</v>
      </c>
      <c r="E35"/>
      <c r="F35" s="10" t="s">
        <v>598</v>
      </c>
      <c r="G35"/>
      <c r="H35"/>
      <c r="I35" t="s">
        <v>615</v>
      </c>
      <c r="J35"/>
      <c r="K35"/>
      <c r="L35" t="str">
        <f>_xlfn.CONCAT("https://explore.openaire.eu/search/organization?organizationId=",I35)</f>
        <v>https://explore.openaire.eu/search/organization?organizationId=openorgs____::20e491a3310e7146d52161c825a980ec</v>
      </c>
      <c r="M35" s="9"/>
      <c r="N35" s="9">
        <v>1582</v>
      </c>
      <c r="O35" t="s">
        <v>676</v>
      </c>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row>
    <row r="36" spans="1:88" s="1" customFormat="1" x14ac:dyDescent="0.25">
      <c r="A36" s="3" t="s">
        <v>217</v>
      </c>
      <c r="B36" t="s">
        <v>218</v>
      </c>
      <c r="C36" t="s">
        <v>218</v>
      </c>
      <c r="D36" s="3" t="s">
        <v>219</v>
      </c>
      <c r="E36" t="s">
        <v>220</v>
      </c>
      <c r="F36" t="s">
        <v>221</v>
      </c>
      <c r="G36" t="s">
        <v>222</v>
      </c>
      <c r="H36" t="s">
        <v>223</v>
      </c>
      <c r="I36" t="s">
        <v>224</v>
      </c>
      <c r="J36" t="s">
        <v>225</v>
      </c>
      <c r="K36" t="s">
        <v>224</v>
      </c>
      <c r="L36" t="s">
        <v>226</v>
      </c>
      <c r="M36" s="9">
        <v>5839</v>
      </c>
      <c r="N36" s="9">
        <v>1324</v>
      </c>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row>
    <row r="37" spans="1:88" x14ac:dyDescent="0.25">
      <c r="A37" s="3" t="s">
        <v>227</v>
      </c>
      <c r="B37" s="3" t="s">
        <v>228</v>
      </c>
      <c r="C37" s="3" t="s">
        <v>228</v>
      </c>
      <c r="D37" s="3" t="s">
        <v>210</v>
      </c>
      <c r="E37" s="3" t="s">
        <v>229</v>
      </c>
      <c r="F37" s="3" t="s">
        <v>230</v>
      </c>
      <c r="G37" s="3" t="s">
        <v>231</v>
      </c>
      <c r="H37" s="3" t="s">
        <v>232</v>
      </c>
      <c r="I37" s="3" t="s">
        <v>233</v>
      </c>
      <c r="J37" s="3" t="s">
        <v>234</v>
      </c>
      <c r="K37" s="3" t="s">
        <v>233</v>
      </c>
      <c r="L37" s="3" t="s">
        <v>234</v>
      </c>
      <c r="M37" s="11">
        <v>4335</v>
      </c>
      <c r="N37" s="11">
        <v>1316</v>
      </c>
    </row>
    <row r="38" spans="1:88" s="3" customFormat="1" x14ac:dyDescent="0.25">
      <c r="A38" t="s">
        <v>235</v>
      </c>
      <c r="B38" t="s">
        <v>236</v>
      </c>
      <c r="C38" t="s">
        <v>236</v>
      </c>
      <c r="D38" t="s">
        <v>201</v>
      </c>
      <c r="E38" t="s">
        <v>237</v>
      </c>
      <c r="F38" t="s">
        <v>238</v>
      </c>
      <c r="G38" t="s">
        <v>239</v>
      </c>
      <c r="H38" t="s">
        <v>240</v>
      </c>
      <c r="I38" t="s">
        <v>241</v>
      </c>
      <c r="J38" t="s">
        <v>242</v>
      </c>
      <c r="K38" t="s">
        <v>241</v>
      </c>
      <c r="L38" t="s">
        <v>242</v>
      </c>
      <c r="M38" s="9">
        <v>2967</v>
      </c>
      <c r="N38" s="9">
        <v>1234</v>
      </c>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row>
    <row r="39" spans="1:88" x14ac:dyDescent="0.25">
      <c r="A39" s="3" t="s">
        <v>243</v>
      </c>
      <c r="B39" t="s">
        <v>244</v>
      </c>
      <c r="C39" t="s">
        <v>244</v>
      </c>
      <c r="D39" t="s">
        <v>201</v>
      </c>
      <c r="E39" t="s">
        <v>245</v>
      </c>
      <c r="F39" t="s">
        <v>246</v>
      </c>
      <c r="G39" t="s">
        <v>247</v>
      </c>
      <c r="H39" t="s">
        <v>248</v>
      </c>
      <c r="I39" t="s">
        <v>249</v>
      </c>
      <c r="J39" t="s">
        <v>250</v>
      </c>
      <c r="K39" t="s">
        <v>249</v>
      </c>
      <c r="L39" t="s">
        <v>250</v>
      </c>
      <c r="M39" s="9">
        <v>5481</v>
      </c>
      <c r="N39" s="9">
        <v>1134</v>
      </c>
    </row>
    <row r="40" spans="1:88" x14ac:dyDescent="0.25">
      <c r="A40" t="s">
        <v>251</v>
      </c>
      <c r="B40" t="s">
        <v>252</v>
      </c>
      <c r="C40" t="s">
        <v>252</v>
      </c>
      <c r="D40" t="s">
        <v>201</v>
      </c>
      <c r="E40" t="s">
        <v>253</v>
      </c>
      <c r="F40" t="s">
        <v>254</v>
      </c>
      <c r="G40" t="s">
        <v>255</v>
      </c>
      <c r="H40" t="s">
        <v>256</v>
      </c>
      <c r="I40" t="s">
        <v>257</v>
      </c>
      <c r="J40" t="s">
        <v>258</v>
      </c>
      <c r="K40" t="s">
        <v>257</v>
      </c>
      <c r="L40" t="s">
        <v>258</v>
      </c>
      <c r="M40" s="9">
        <v>2966</v>
      </c>
      <c r="N40" s="9">
        <v>1079</v>
      </c>
    </row>
    <row r="41" spans="1:88" x14ac:dyDescent="0.25">
      <c r="A41" t="s">
        <v>259</v>
      </c>
      <c r="B41" t="s">
        <v>260</v>
      </c>
      <c r="C41" t="s">
        <v>260</v>
      </c>
      <c r="D41" t="s">
        <v>201</v>
      </c>
      <c r="E41" t="s">
        <v>261</v>
      </c>
      <c r="F41" t="s">
        <v>262</v>
      </c>
      <c r="G41" t="s">
        <v>263</v>
      </c>
      <c r="H41" t="s">
        <v>264</v>
      </c>
      <c r="I41" t="s">
        <v>265</v>
      </c>
      <c r="J41" t="s">
        <v>266</v>
      </c>
      <c r="K41" t="s">
        <v>265</v>
      </c>
      <c r="L41" t="s">
        <v>266</v>
      </c>
      <c r="M41" s="9">
        <v>2389</v>
      </c>
      <c r="N41" s="9">
        <v>1071</v>
      </c>
    </row>
    <row r="42" spans="1:88" x14ac:dyDescent="0.25">
      <c r="A42" t="s">
        <v>640</v>
      </c>
      <c r="B42" t="s">
        <v>641</v>
      </c>
      <c r="C42" t="s">
        <v>641</v>
      </c>
      <c r="D42" t="s">
        <v>580</v>
      </c>
      <c r="F42" s="10" t="s">
        <v>642</v>
      </c>
      <c r="I42" t="s">
        <v>643</v>
      </c>
      <c r="L42" t="str">
        <f>_xlfn.CONCAT("https://explore.openaire.eu/search/organization?organizationId=",I42)</f>
        <v>https://explore.openaire.eu/search/organization?organizationId=openorgs____::863c4184481f057bfe695c9c2786a90a</v>
      </c>
      <c r="M42" s="9">
        <v>1932</v>
      </c>
      <c r="N42" s="9">
        <v>974</v>
      </c>
      <c r="O42" t="s">
        <v>676</v>
      </c>
    </row>
    <row r="43" spans="1:88" s="3" customFormat="1" x14ac:dyDescent="0.25">
      <c r="A43" t="s">
        <v>647</v>
      </c>
      <c r="B43"/>
      <c r="C43"/>
      <c r="D43"/>
      <c r="E43"/>
      <c r="F43" s="10" t="s">
        <v>576</v>
      </c>
      <c r="G43"/>
      <c r="H43"/>
      <c r="I43" t="s">
        <v>648</v>
      </c>
      <c r="J43"/>
      <c r="K43"/>
      <c r="L43" t="str">
        <f>_xlfn.CONCAT("https://explore.openaire.eu/search/organization?organizationId=",I43)</f>
        <v>https://explore.openaire.eu/search/organization?organizationId=openorgs____::7d8ba78b303d8a0065029dffb414d4ae</v>
      </c>
      <c r="M43" s="9">
        <v>3383</v>
      </c>
      <c r="N43" s="9">
        <v>973</v>
      </c>
      <c r="O43" t="s">
        <v>669</v>
      </c>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row>
    <row r="44" spans="1:88" s="3" customFormat="1" x14ac:dyDescent="0.25">
      <c r="A44" s="3" t="s">
        <v>267</v>
      </c>
      <c r="B44" t="s">
        <v>268</v>
      </c>
      <c r="C44" t="s">
        <v>268</v>
      </c>
      <c r="D44" s="3" t="s">
        <v>219</v>
      </c>
      <c r="E44" t="s">
        <v>269</v>
      </c>
      <c r="F44" t="s">
        <v>270</v>
      </c>
      <c r="G44" t="s">
        <v>271</v>
      </c>
      <c r="H44" t="s">
        <v>272</v>
      </c>
      <c r="I44" t="s">
        <v>273</v>
      </c>
      <c r="J44" t="s">
        <v>274</v>
      </c>
      <c r="K44" t="s">
        <v>273</v>
      </c>
      <c r="L44" t="s">
        <v>274</v>
      </c>
      <c r="M44" s="9">
        <v>3559</v>
      </c>
      <c r="N44" s="9">
        <v>944</v>
      </c>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row>
    <row r="45" spans="1:88" s="3" customFormat="1" x14ac:dyDescent="0.25">
      <c r="A45" s="3" t="s">
        <v>275</v>
      </c>
      <c r="B45" s="3" t="s">
        <v>276</v>
      </c>
      <c r="C45" s="3" t="s">
        <v>276</v>
      </c>
      <c r="D45" s="3" t="s">
        <v>210</v>
      </c>
      <c r="E45" s="3" t="s">
        <v>277</v>
      </c>
      <c r="F45" s="3" t="s">
        <v>278</v>
      </c>
      <c r="G45" s="3" t="s">
        <v>279</v>
      </c>
      <c r="H45" s="3" t="s">
        <v>280</v>
      </c>
      <c r="I45" s="3" t="s">
        <v>281</v>
      </c>
      <c r="J45" s="3" t="s">
        <v>282</v>
      </c>
      <c r="K45" s="3" t="s">
        <v>281</v>
      </c>
      <c r="L45" s="3" t="s">
        <v>282</v>
      </c>
      <c r="M45" s="11">
        <v>5699</v>
      </c>
      <c r="N45" s="11">
        <v>890</v>
      </c>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row>
    <row r="46" spans="1:88" s="1" customFormat="1" x14ac:dyDescent="0.25">
      <c r="A46" s="3" t="s">
        <v>283</v>
      </c>
      <c r="B46" t="s">
        <v>284</v>
      </c>
      <c r="C46" t="s">
        <v>284</v>
      </c>
      <c r="D46" s="3" t="s">
        <v>219</v>
      </c>
      <c r="E46" t="s">
        <v>285</v>
      </c>
      <c r="F46" t="s">
        <v>286</v>
      </c>
      <c r="G46" t="s">
        <v>287</v>
      </c>
      <c r="H46" t="s">
        <v>288</v>
      </c>
      <c r="I46" t="s">
        <v>289</v>
      </c>
      <c r="J46" t="s">
        <v>290</v>
      </c>
      <c r="K46" t="s">
        <v>289</v>
      </c>
      <c r="L46" t="s">
        <v>290</v>
      </c>
      <c r="M46" s="9">
        <v>1625</v>
      </c>
      <c r="N46" s="9">
        <v>856</v>
      </c>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row>
    <row r="47" spans="1:88" x14ac:dyDescent="0.25">
      <c r="A47" t="s">
        <v>645</v>
      </c>
      <c r="B47" t="s">
        <v>644</v>
      </c>
      <c r="C47" t="s">
        <v>644</v>
      </c>
      <c r="D47" t="s">
        <v>17</v>
      </c>
      <c r="F47" s="10" t="s">
        <v>577</v>
      </c>
      <c r="I47" t="s">
        <v>646</v>
      </c>
      <c r="L47" t="str">
        <f>_xlfn.CONCAT("https://explore.openaire.eu/search/organization?organizationId=",I47)</f>
        <v>https://explore.openaire.eu/search/organization?organizationId=openorgs____::ba45682d5fd11bfdb695ca2fe5a0d377</v>
      </c>
      <c r="M47" s="9">
        <v>4476</v>
      </c>
      <c r="N47" s="9">
        <v>774</v>
      </c>
      <c r="O47" t="s">
        <v>676</v>
      </c>
    </row>
    <row r="48" spans="1:88" x14ac:dyDescent="0.25">
      <c r="A48" s="3" t="s">
        <v>291</v>
      </c>
      <c r="B48" s="3" t="s">
        <v>292</v>
      </c>
      <c r="C48" s="3" t="s">
        <v>292</v>
      </c>
      <c r="D48" s="3" t="s">
        <v>210</v>
      </c>
      <c r="E48" s="3" t="s">
        <v>293</v>
      </c>
      <c r="F48" s="3" t="s">
        <v>294</v>
      </c>
      <c r="G48" s="3" t="s">
        <v>295</v>
      </c>
      <c r="H48" s="3" t="s">
        <v>296</v>
      </c>
      <c r="I48" s="3" t="s">
        <v>297</v>
      </c>
      <c r="J48" s="3" t="s">
        <v>298</v>
      </c>
      <c r="K48" s="3" t="s">
        <v>297</v>
      </c>
      <c r="L48" s="3" t="s">
        <v>298</v>
      </c>
      <c r="M48" s="11">
        <v>4344</v>
      </c>
      <c r="N48" s="11">
        <v>746</v>
      </c>
    </row>
    <row r="49" spans="1:88" x14ac:dyDescent="0.25">
      <c r="A49" s="3" t="s">
        <v>299</v>
      </c>
      <c r="B49" s="3" t="s">
        <v>300</v>
      </c>
      <c r="C49" s="3" t="s">
        <v>300</v>
      </c>
      <c r="D49" s="3" t="s">
        <v>219</v>
      </c>
      <c r="E49" s="3" t="s">
        <v>301</v>
      </c>
      <c r="F49" s="3" t="s">
        <v>302</v>
      </c>
      <c r="G49" s="3" t="s">
        <v>303</v>
      </c>
      <c r="H49" s="3" t="s">
        <v>304</v>
      </c>
      <c r="I49" s="3" t="s">
        <v>305</v>
      </c>
      <c r="J49" s="3" t="s">
        <v>306</v>
      </c>
      <c r="K49" s="3" t="s">
        <v>305</v>
      </c>
      <c r="L49" s="3" t="s">
        <v>306</v>
      </c>
      <c r="M49" s="11">
        <v>2508</v>
      </c>
      <c r="N49" s="11">
        <v>698</v>
      </c>
    </row>
    <row r="50" spans="1:88" x14ac:dyDescent="0.25">
      <c r="A50" t="s">
        <v>307</v>
      </c>
      <c r="B50" t="s">
        <v>308</v>
      </c>
      <c r="C50" t="s">
        <v>308</v>
      </c>
      <c r="D50" t="s">
        <v>201</v>
      </c>
      <c r="E50" t="s">
        <v>309</v>
      </c>
      <c r="F50" t="s">
        <v>310</v>
      </c>
      <c r="G50" t="s">
        <v>311</v>
      </c>
      <c r="H50" t="s">
        <v>312</v>
      </c>
      <c r="I50" t="s">
        <v>313</v>
      </c>
      <c r="J50" t="s">
        <v>314</v>
      </c>
      <c r="K50" t="s">
        <v>313</v>
      </c>
      <c r="L50" t="s">
        <v>314</v>
      </c>
      <c r="M50" s="9">
        <v>1886</v>
      </c>
      <c r="N50" s="9">
        <v>582</v>
      </c>
    </row>
    <row r="51" spans="1:88" s="3" customFormat="1" x14ac:dyDescent="0.25">
      <c r="A51" s="3" t="s">
        <v>315</v>
      </c>
      <c r="B51" s="3" t="s">
        <v>316</v>
      </c>
      <c r="C51" s="3" t="s">
        <v>316</v>
      </c>
      <c r="D51" s="3" t="s">
        <v>210</v>
      </c>
      <c r="E51" s="3" t="s">
        <v>317</v>
      </c>
      <c r="F51" s="3" t="s">
        <v>318</v>
      </c>
      <c r="G51" s="3" t="s">
        <v>319</v>
      </c>
      <c r="H51" s="3" t="s">
        <v>320</v>
      </c>
      <c r="I51" s="3" t="s">
        <v>321</v>
      </c>
      <c r="J51" s="3" t="s">
        <v>322</v>
      </c>
      <c r="K51" s="3" t="s">
        <v>321</v>
      </c>
      <c r="L51" s="3" t="s">
        <v>322</v>
      </c>
      <c r="M51" s="11">
        <v>3866</v>
      </c>
      <c r="N51" s="11">
        <v>548</v>
      </c>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row>
    <row r="52" spans="1:88" x14ac:dyDescent="0.25">
      <c r="A52" t="s">
        <v>323</v>
      </c>
      <c r="B52" t="s">
        <v>324</v>
      </c>
      <c r="C52" t="s">
        <v>324</v>
      </c>
      <c r="D52" t="s">
        <v>201</v>
      </c>
      <c r="E52" t="s">
        <v>325</v>
      </c>
      <c r="F52" t="s">
        <v>326</v>
      </c>
      <c r="G52" t="s">
        <v>327</v>
      </c>
      <c r="H52" t="s">
        <v>328</v>
      </c>
      <c r="I52" t="s">
        <v>329</v>
      </c>
      <c r="J52" t="s">
        <v>330</v>
      </c>
      <c r="K52" t="s">
        <v>329</v>
      </c>
      <c r="L52" t="s">
        <v>330</v>
      </c>
      <c r="M52" s="9">
        <v>1537</v>
      </c>
      <c r="N52" s="9">
        <v>527</v>
      </c>
    </row>
    <row r="53" spans="1:88" s="3" customFormat="1" x14ac:dyDescent="0.25">
      <c r="A53" t="s">
        <v>331</v>
      </c>
      <c r="B53" t="s">
        <v>332</v>
      </c>
      <c r="C53" t="s">
        <v>332</v>
      </c>
      <c r="D53" t="s">
        <v>201</v>
      </c>
      <c r="E53" t="s">
        <v>333</v>
      </c>
      <c r="F53" t="s">
        <v>334</v>
      </c>
      <c r="G53" t="s">
        <v>335</v>
      </c>
      <c r="H53" t="s">
        <v>336</v>
      </c>
      <c r="I53" t="s">
        <v>337</v>
      </c>
      <c r="J53" t="s">
        <v>338</v>
      </c>
      <c r="K53" t="s">
        <v>337</v>
      </c>
      <c r="L53" t="s">
        <v>338</v>
      </c>
      <c r="M53" s="9">
        <v>1453</v>
      </c>
      <c r="N53" s="9">
        <v>515</v>
      </c>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row>
    <row r="54" spans="1:88" s="1" customFormat="1" x14ac:dyDescent="0.25">
      <c r="A54" t="s">
        <v>339</v>
      </c>
      <c r="B54" t="s">
        <v>340</v>
      </c>
      <c r="C54" t="s">
        <v>340</v>
      </c>
      <c r="D54" t="s">
        <v>201</v>
      </c>
      <c r="E54" t="s">
        <v>341</v>
      </c>
      <c r="F54" t="s">
        <v>342</v>
      </c>
      <c r="G54" t="s">
        <v>343</v>
      </c>
      <c r="H54" t="s">
        <v>344</v>
      </c>
      <c r="I54" t="s">
        <v>345</v>
      </c>
      <c r="J54" t="s">
        <v>346</v>
      </c>
      <c r="K54" t="s">
        <v>345</v>
      </c>
      <c r="L54" t="s">
        <v>346</v>
      </c>
      <c r="M54" s="9">
        <v>1484</v>
      </c>
      <c r="N54" s="9">
        <v>464</v>
      </c>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row>
    <row r="55" spans="1:88" s="1" customFormat="1" x14ac:dyDescent="0.25">
      <c r="A55" t="s">
        <v>347</v>
      </c>
      <c r="B55" t="s">
        <v>348</v>
      </c>
      <c r="C55" t="s">
        <v>348</v>
      </c>
      <c r="D55" t="s">
        <v>201</v>
      </c>
      <c r="E55" t="s">
        <v>349</v>
      </c>
      <c r="F55" t="s">
        <v>350</v>
      </c>
      <c r="G55" t="s">
        <v>351</v>
      </c>
      <c r="H55" t="s">
        <v>352</v>
      </c>
      <c r="I55" t="s">
        <v>353</v>
      </c>
      <c r="J55" t="s">
        <v>354</v>
      </c>
      <c r="K55" t="s">
        <v>353</v>
      </c>
      <c r="L55" t="s">
        <v>354</v>
      </c>
      <c r="M55" s="9">
        <v>1187</v>
      </c>
      <c r="N55" s="9">
        <v>435</v>
      </c>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row>
    <row r="56" spans="1:88" s="3" customFormat="1" x14ac:dyDescent="0.25">
      <c r="A56" t="s">
        <v>355</v>
      </c>
      <c r="B56" t="s">
        <v>356</v>
      </c>
      <c r="C56" t="s">
        <v>356</v>
      </c>
      <c r="D56" t="s">
        <v>201</v>
      </c>
      <c r="E56" t="s">
        <v>357</v>
      </c>
      <c r="F56" t="s">
        <v>358</v>
      </c>
      <c r="G56" t="s">
        <v>359</v>
      </c>
      <c r="H56" t="s">
        <v>360</v>
      </c>
      <c r="I56" t="s">
        <v>361</v>
      </c>
      <c r="J56" t="s">
        <v>362</v>
      </c>
      <c r="K56" t="s">
        <v>363</v>
      </c>
      <c r="L56" t="s">
        <v>364</v>
      </c>
      <c r="M56" s="9">
        <v>980</v>
      </c>
      <c r="N56" s="9">
        <v>395</v>
      </c>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row>
    <row r="57" spans="1:88" x14ac:dyDescent="0.25">
      <c r="A57" t="s">
        <v>588</v>
      </c>
      <c r="F57" s="10" t="s">
        <v>590</v>
      </c>
      <c r="I57" t="s">
        <v>611</v>
      </c>
      <c r="L57" t="str">
        <f>_xlfn.CONCAT("https://explore.openaire.eu/search/organization?organizationId=",I57)</f>
        <v>https://explore.openaire.eu/search/organization?organizationId=openorgs____::48ffea8c900e79deaa2256aa2c0a0ee2</v>
      </c>
      <c r="N57" s="9">
        <v>375</v>
      </c>
      <c r="O57" t="s">
        <v>673</v>
      </c>
    </row>
    <row r="58" spans="1:88" x14ac:dyDescent="0.25">
      <c r="A58" t="s">
        <v>365</v>
      </c>
      <c r="B58" t="s">
        <v>366</v>
      </c>
      <c r="C58" t="s">
        <v>366</v>
      </c>
      <c r="D58" t="s">
        <v>201</v>
      </c>
      <c r="E58" t="s">
        <v>367</v>
      </c>
      <c r="F58" t="s">
        <v>368</v>
      </c>
      <c r="G58" t="s">
        <v>369</v>
      </c>
      <c r="H58" t="s">
        <v>370</v>
      </c>
      <c r="I58" t="s">
        <v>371</v>
      </c>
      <c r="J58" t="s">
        <v>372</v>
      </c>
      <c r="K58" t="s">
        <v>371</v>
      </c>
      <c r="L58" t="s">
        <v>372</v>
      </c>
      <c r="M58" s="9">
        <v>864</v>
      </c>
      <c r="N58" s="9">
        <v>320</v>
      </c>
    </row>
    <row r="59" spans="1:88" x14ac:dyDescent="0.25">
      <c r="A59" t="s">
        <v>373</v>
      </c>
      <c r="B59" t="s">
        <v>374</v>
      </c>
      <c r="C59" t="s">
        <v>374</v>
      </c>
      <c r="D59" t="s">
        <v>201</v>
      </c>
      <c r="E59" t="s">
        <v>375</v>
      </c>
      <c r="F59" t="s">
        <v>376</v>
      </c>
      <c r="G59" t="s">
        <v>377</v>
      </c>
      <c r="H59" t="s">
        <v>378</v>
      </c>
      <c r="I59" t="s">
        <v>379</v>
      </c>
      <c r="J59" t="s">
        <v>380</v>
      </c>
      <c r="K59" t="s">
        <v>379</v>
      </c>
      <c r="L59" t="s">
        <v>380</v>
      </c>
      <c r="M59" s="9">
        <v>752</v>
      </c>
      <c r="N59" s="9">
        <v>318</v>
      </c>
    </row>
    <row r="60" spans="1:88" x14ac:dyDescent="0.25">
      <c r="A60" t="s">
        <v>381</v>
      </c>
      <c r="B60" t="s">
        <v>382</v>
      </c>
      <c r="C60" t="s">
        <v>382</v>
      </c>
      <c r="D60" t="s">
        <v>201</v>
      </c>
      <c r="E60" t="s">
        <v>383</v>
      </c>
      <c r="F60" t="s">
        <v>384</v>
      </c>
      <c r="G60" t="s">
        <v>385</v>
      </c>
      <c r="H60" t="s">
        <v>386</v>
      </c>
      <c r="I60" t="s">
        <v>387</v>
      </c>
      <c r="J60" t="s">
        <v>388</v>
      </c>
      <c r="K60" t="s">
        <v>387</v>
      </c>
      <c r="L60" t="s">
        <v>388</v>
      </c>
      <c r="M60" s="9">
        <v>865</v>
      </c>
      <c r="N60" s="9">
        <v>306</v>
      </c>
    </row>
    <row r="61" spans="1:88" s="3" customFormat="1" x14ac:dyDescent="0.25">
      <c r="A61" t="s">
        <v>574</v>
      </c>
      <c r="B61"/>
      <c r="C61"/>
      <c r="D61"/>
      <c r="E61"/>
      <c r="F61" s="10" t="s">
        <v>575</v>
      </c>
      <c r="G61"/>
      <c r="H61"/>
      <c r="I61" t="s">
        <v>606</v>
      </c>
      <c r="J61"/>
      <c r="K61"/>
      <c r="L61" t="str">
        <f>_xlfn.CONCAT("https://explore.openaire.eu/search/organization?organizationId=",I61)</f>
        <v>https://explore.openaire.eu/search/organization?organizationId=openorgs____::cb04606c0c4eb1696cf4bc74dba44bdf</v>
      </c>
      <c r="M61" s="9"/>
      <c r="N61" s="9">
        <v>230</v>
      </c>
      <c r="O61" t="s">
        <v>669</v>
      </c>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row>
    <row r="62" spans="1:88" s="3" customFormat="1" x14ac:dyDescent="0.25">
      <c r="A62" t="s">
        <v>389</v>
      </c>
      <c r="B62" t="s">
        <v>390</v>
      </c>
      <c r="C62" t="s">
        <v>390</v>
      </c>
      <c r="D62" t="s">
        <v>201</v>
      </c>
      <c r="E62" t="s">
        <v>391</v>
      </c>
      <c r="F62" t="s">
        <v>392</v>
      </c>
      <c r="G62" t="s">
        <v>393</v>
      </c>
      <c r="H62" t="s">
        <v>394</v>
      </c>
      <c r="I62" t="s">
        <v>395</v>
      </c>
      <c r="J62" t="s">
        <v>396</v>
      </c>
      <c r="K62" t="s">
        <v>395</v>
      </c>
      <c r="L62" t="s">
        <v>396</v>
      </c>
      <c r="M62" s="9">
        <v>750</v>
      </c>
      <c r="N62" s="9">
        <v>208</v>
      </c>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row>
    <row r="63" spans="1:88" x14ac:dyDescent="0.25">
      <c r="A63" t="s">
        <v>397</v>
      </c>
      <c r="B63" t="s">
        <v>398</v>
      </c>
      <c r="C63" t="s">
        <v>398</v>
      </c>
      <c r="D63" t="s">
        <v>201</v>
      </c>
      <c r="E63" t="s">
        <v>399</v>
      </c>
      <c r="F63" t="s">
        <v>400</v>
      </c>
      <c r="G63" t="s">
        <v>401</v>
      </c>
      <c r="H63" t="s">
        <v>402</v>
      </c>
      <c r="I63" t="s">
        <v>403</v>
      </c>
      <c r="J63" t="s">
        <v>404</v>
      </c>
      <c r="K63" t="s">
        <v>403</v>
      </c>
      <c r="L63" t="s">
        <v>404</v>
      </c>
      <c r="M63" s="9">
        <v>525</v>
      </c>
      <c r="N63" s="9">
        <v>195</v>
      </c>
    </row>
    <row r="64" spans="1:88" s="3" customFormat="1" x14ac:dyDescent="0.25">
      <c r="A64" s="3" t="s">
        <v>405</v>
      </c>
      <c r="B64" t="s">
        <v>406</v>
      </c>
      <c r="C64" t="s">
        <v>406</v>
      </c>
      <c r="D64" s="3" t="s">
        <v>219</v>
      </c>
      <c r="E64" t="s">
        <v>407</v>
      </c>
      <c r="F64" t="s">
        <v>408</v>
      </c>
      <c r="G64" t="s">
        <v>409</v>
      </c>
      <c r="H64" t="s">
        <v>410</v>
      </c>
      <c r="I64" t="s">
        <v>411</v>
      </c>
      <c r="J64" t="s">
        <v>412</v>
      </c>
      <c r="K64" t="s">
        <v>411</v>
      </c>
      <c r="L64" t="s">
        <v>412</v>
      </c>
      <c r="M64" s="9">
        <v>837</v>
      </c>
      <c r="N64" s="9">
        <v>186</v>
      </c>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row>
    <row r="65" spans="1:88" s="1" customFormat="1" x14ac:dyDescent="0.25">
      <c r="A65" s="3" t="s">
        <v>413</v>
      </c>
      <c r="B65" s="3" t="s">
        <v>414</v>
      </c>
      <c r="C65" s="3" t="s">
        <v>414</v>
      </c>
      <c r="D65" s="3" t="s">
        <v>210</v>
      </c>
      <c r="E65" s="3" t="s">
        <v>415</v>
      </c>
      <c r="F65" s="3" t="s">
        <v>416</v>
      </c>
      <c r="G65" s="3" t="s">
        <v>417</v>
      </c>
      <c r="H65" s="3" t="s">
        <v>418</v>
      </c>
      <c r="I65" s="3" t="s">
        <v>419</v>
      </c>
      <c r="J65" s="3" t="s">
        <v>420</v>
      </c>
      <c r="K65" s="3" t="s">
        <v>419</v>
      </c>
      <c r="L65" s="3" t="s">
        <v>420</v>
      </c>
      <c r="M65" s="11">
        <v>4015</v>
      </c>
      <c r="N65" s="11">
        <v>168</v>
      </c>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row>
    <row r="66" spans="1:88" s="3" customFormat="1" x14ac:dyDescent="0.25">
      <c r="A66" t="s">
        <v>421</v>
      </c>
      <c r="B66" t="s">
        <v>422</v>
      </c>
      <c r="C66" t="s">
        <v>422</v>
      </c>
      <c r="D66" t="s">
        <v>201</v>
      </c>
      <c r="E66" t="s">
        <v>423</v>
      </c>
      <c r="F66" t="s">
        <v>424</v>
      </c>
      <c r="G66" t="s">
        <v>425</v>
      </c>
      <c r="H66" t="s">
        <v>426</v>
      </c>
      <c r="I66" t="s">
        <v>427</v>
      </c>
      <c r="J66" t="s">
        <v>428</v>
      </c>
      <c r="K66" t="s">
        <v>427</v>
      </c>
      <c r="L66" t="s">
        <v>428</v>
      </c>
      <c r="M66" s="9">
        <v>358</v>
      </c>
      <c r="N66" s="9">
        <v>164</v>
      </c>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row>
    <row r="67" spans="1:88" x14ac:dyDescent="0.25">
      <c r="A67" t="s">
        <v>429</v>
      </c>
      <c r="B67" t="s">
        <v>430</v>
      </c>
      <c r="C67" t="s">
        <v>430</v>
      </c>
      <c r="D67" t="s">
        <v>201</v>
      </c>
      <c r="E67" t="s">
        <v>431</v>
      </c>
      <c r="F67" t="s">
        <v>432</v>
      </c>
      <c r="G67" t="s">
        <v>433</v>
      </c>
      <c r="H67" t="s">
        <v>434</v>
      </c>
      <c r="I67" t="s">
        <v>435</v>
      </c>
      <c r="J67" t="s">
        <v>436</v>
      </c>
      <c r="K67" t="s">
        <v>435</v>
      </c>
      <c r="L67" t="s">
        <v>436</v>
      </c>
      <c r="M67" s="9">
        <v>260</v>
      </c>
      <c r="N67" s="9">
        <v>138</v>
      </c>
    </row>
    <row r="68" spans="1:88" x14ac:dyDescent="0.25">
      <c r="A68" s="4" t="s">
        <v>587</v>
      </c>
      <c r="F68" s="10" t="s">
        <v>589</v>
      </c>
      <c r="L68" t="s">
        <v>659</v>
      </c>
      <c r="M68" s="9">
        <v>2699</v>
      </c>
      <c r="N68" s="9">
        <v>127</v>
      </c>
      <c r="O68" t="s">
        <v>672</v>
      </c>
    </row>
    <row r="69" spans="1:88" x14ac:dyDescent="0.25">
      <c r="A69" t="s">
        <v>654</v>
      </c>
      <c r="B69" t="s">
        <v>593</v>
      </c>
      <c r="D69" t="s">
        <v>650</v>
      </c>
      <c r="F69" s="10" t="s">
        <v>594</v>
      </c>
      <c r="I69" t="s">
        <v>613</v>
      </c>
      <c r="L69" t="str">
        <f>_xlfn.CONCAT("https://explore.openaire.eu/search/organization?organizationId=",I69)</f>
        <v>https://explore.openaire.eu/search/organization?organizationId=openorgs____::374bcee2ff43200e9afe71b6dc606e6c</v>
      </c>
      <c r="N69" s="9">
        <v>115</v>
      </c>
      <c r="O69" t="s">
        <v>676</v>
      </c>
    </row>
    <row r="70" spans="1:88" x14ac:dyDescent="0.25">
      <c r="A70" s="4" t="s">
        <v>595</v>
      </c>
      <c r="B70" t="s">
        <v>656</v>
      </c>
      <c r="C70" t="s">
        <v>656</v>
      </c>
      <c r="F70" s="10" t="s">
        <v>596</v>
      </c>
      <c r="I70" t="s">
        <v>614</v>
      </c>
      <c r="L70" t="str">
        <f>_xlfn.CONCAT("https://explore.openaire.eu/search/organization?organizationId=",I70)</f>
        <v>https://explore.openaire.eu/search/organization?organizationId=openorgs____::0a49c26b60b634e6f8f6334bb8e078ae</v>
      </c>
      <c r="N70" s="9">
        <v>115</v>
      </c>
      <c r="O70" t="s">
        <v>676</v>
      </c>
    </row>
    <row r="71" spans="1:88" x14ac:dyDescent="0.25">
      <c r="A71" s="3" t="s">
        <v>437</v>
      </c>
      <c r="B71" t="s">
        <v>438</v>
      </c>
      <c r="C71" t="s">
        <v>438</v>
      </c>
      <c r="D71" s="3" t="s">
        <v>219</v>
      </c>
      <c r="E71" t="s">
        <v>439</v>
      </c>
      <c r="F71" t="s">
        <v>440</v>
      </c>
      <c r="G71" t="s">
        <v>441</v>
      </c>
      <c r="H71" t="s">
        <v>442</v>
      </c>
      <c r="I71" t="s">
        <v>443</v>
      </c>
      <c r="J71" t="s">
        <v>444</v>
      </c>
      <c r="K71" t="s">
        <v>443</v>
      </c>
      <c r="L71" t="s">
        <v>444</v>
      </c>
      <c r="M71" s="9">
        <v>390</v>
      </c>
      <c r="N71" s="9">
        <v>101</v>
      </c>
    </row>
    <row r="72" spans="1:88" s="3" customFormat="1" x14ac:dyDescent="0.25">
      <c r="A72" t="s">
        <v>445</v>
      </c>
      <c r="B72" t="s">
        <v>446</v>
      </c>
      <c r="C72" t="s">
        <v>446</v>
      </c>
      <c r="D72" t="s">
        <v>201</v>
      </c>
      <c r="E72" t="s">
        <v>447</v>
      </c>
      <c r="F72" t="s">
        <v>448</v>
      </c>
      <c r="G72" t="s">
        <v>449</v>
      </c>
      <c r="H72" t="s">
        <v>450</v>
      </c>
      <c r="I72" t="s">
        <v>451</v>
      </c>
      <c r="J72" t="s">
        <v>452</v>
      </c>
      <c r="K72" t="s">
        <v>451</v>
      </c>
      <c r="L72" t="s">
        <v>452</v>
      </c>
      <c r="M72" s="9">
        <v>217</v>
      </c>
      <c r="N72" s="9">
        <v>97</v>
      </c>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row>
    <row r="73" spans="1:88" x14ac:dyDescent="0.25">
      <c r="A73" t="s">
        <v>453</v>
      </c>
      <c r="B73" t="s">
        <v>454</v>
      </c>
      <c r="C73" t="s">
        <v>454</v>
      </c>
      <c r="D73" t="s">
        <v>201</v>
      </c>
      <c r="E73" t="s">
        <v>455</v>
      </c>
      <c r="F73" t="s">
        <v>456</v>
      </c>
      <c r="G73" t="s">
        <v>457</v>
      </c>
      <c r="H73" t="s">
        <v>458</v>
      </c>
      <c r="I73" t="s">
        <v>459</v>
      </c>
      <c r="J73" t="s">
        <v>460</v>
      </c>
      <c r="K73" t="s">
        <v>459</v>
      </c>
      <c r="L73" t="s">
        <v>460</v>
      </c>
      <c r="M73" s="9">
        <v>201</v>
      </c>
      <c r="N73" s="9">
        <v>54</v>
      </c>
    </row>
    <row r="74" spans="1:88" x14ac:dyDescent="0.25">
      <c r="A74" t="s">
        <v>578</v>
      </c>
      <c r="F74" s="10" t="s">
        <v>579</v>
      </c>
      <c r="I74" t="s">
        <v>607</v>
      </c>
      <c r="L74" t="str">
        <f>_xlfn.CONCAT("https://explore.openaire.eu/search/organization?organizationId=",I74)</f>
        <v>https://explore.openaire.eu/search/organization?organizationId=openorgs____::f2a84eb5c508838ba5dd728a1b8ac5ba</v>
      </c>
      <c r="N74" s="9">
        <v>54</v>
      </c>
      <c r="O74" t="s">
        <v>676</v>
      </c>
    </row>
    <row r="75" spans="1:88" x14ac:dyDescent="0.25">
      <c r="A75" t="s">
        <v>461</v>
      </c>
      <c r="B75" t="s">
        <v>462</v>
      </c>
      <c r="C75" t="s">
        <v>462</v>
      </c>
      <c r="D75" t="s">
        <v>201</v>
      </c>
      <c r="E75" t="s">
        <v>463</v>
      </c>
      <c r="F75" t="s">
        <v>464</v>
      </c>
      <c r="G75" t="s">
        <v>465</v>
      </c>
      <c r="H75" t="s">
        <v>466</v>
      </c>
      <c r="I75" t="s">
        <v>467</v>
      </c>
      <c r="J75" t="s">
        <v>468</v>
      </c>
      <c r="K75" t="s">
        <v>467</v>
      </c>
      <c r="L75" t="s">
        <v>468</v>
      </c>
      <c r="M75" s="9">
        <v>119</v>
      </c>
      <c r="N75" s="9">
        <v>49</v>
      </c>
    </row>
    <row r="76" spans="1:88" x14ac:dyDescent="0.25">
      <c r="A76" t="s">
        <v>469</v>
      </c>
      <c r="B76" t="s">
        <v>470</v>
      </c>
      <c r="C76" t="s">
        <v>470</v>
      </c>
      <c r="D76" t="s">
        <v>201</v>
      </c>
      <c r="E76" t="s">
        <v>471</v>
      </c>
      <c r="F76" t="s">
        <v>472</v>
      </c>
      <c r="G76" t="s">
        <v>473</v>
      </c>
      <c r="H76" t="s">
        <v>474</v>
      </c>
      <c r="I76" t="s">
        <v>475</v>
      </c>
      <c r="J76" t="s">
        <v>476</v>
      </c>
      <c r="K76" t="s">
        <v>475</v>
      </c>
      <c r="L76" t="s">
        <v>476</v>
      </c>
      <c r="M76" s="9">
        <v>98</v>
      </c>
      <c r="N76" s="9">
        <v>47</v>
      </c>
    </row>
    <row r="77" spans="1:88" x14ac:dyDescent="0.25">
      <c r="A77" t="s">
        <v>599</v>
      </c>
      <c r="F77" s="10" t="s">
        <v>600</v>
      </c>
      <c r="I77" t="s">
        <v>616</v>
      </c>
      <c r="L77" t="str">
        <f>_xlfn.CONCAT("https://explore.openaire.eu/search/organization?organizationId=",I77)</f>
        <v>https://explore.openaire.eu/search/organization?organizationId=openorgs____::14e84ae5ab9b8fd2b05b65c19551a416</v>
      </c>
      <c r="N77" s="9">
        <v>36</v>
      </c>
      <c r="O77" t="s">
        <v>676</v>
      </c>
    </row>
    <row r="78" spans="1:88" x14ac:dyDescent="0.25">
      <c r="A78" t="s">
        <v>477</v>
      </c>
      <c r="B78" t="s">
        <v>478</v>
      </c>
      <c r="C78" t="s">
        <v>478</v>
      </c>
      <c r="D78" t="s">
        <v>201</v>
      </c>
      <c r="E78" t="s">
        <v>479</v>
      </c>
      <c r="F78" t="s">
        <v>480</v>
      </c>
      <c r="G78" t="s">
        <v>481</v>
      </c>
      <c r="H78" t="s">
        <v>482</v>
      </c>
      <c r="I78" t="s">
        <v>483</v>
      </c>
      <c r="J78" t="s">
        <v>484</v>
      </c>
      <c r="K78" t="s">
        <v>483</v>
      </c>
      <c r="L78" t="s">
        <v>484</v>
      </c>
      <c r="M78" s="9">
        <v>35</v>
      </c>
      <c r="N78" s="9">
        <v>16</v>
      </c>
    </row>
    <row r="79" spans="1:88" x14ac:dyDescent="0.25">
      <c r="A79" t="s">
        <v>485</v>
      </c>
      <c r="B79" t="s">
        <v>486</v>
      </c>
      <c r="C79" t="s">
        <v>486</v>
      </c>
      <c r="D79" t="s">
        <v>201</v>
      </c>
      <c r="E79" t="s">
        <v>487</v>
      </c>
      <c r="F79" t="s">
        <v>488</v>
      </c>
      <c r="G79" t="s">
        <v>489</v>
      </c>
      <c r="H79" t="s">
        <v>490</v>
      </c>
      <c r="I79" t="s">
        <v>491</v>
      </c>
      <c r="J79" t="s">
        <v>492</v>
      </c>
      <c r="K79" t="s">
        <v>491</v>
      </c>
      <c r="L79" t="s">
        <v>492</v>
      </c>
      <c r="M79" s="9">
        <v>33</v>
      </c>
      <c r="N79" s="9">
        <v>14</v>
      </c>
    </row>
    <row r="80" spans="1:88" x14ac:dyDescent="0.25">
      <c r="A80" t="s">
        <v>493</v>
      </c>
      <c r="B80" t="s">
        <v>494</v>
      </c>
      <c r="C80" t="s">
        <v>494</v>
      </c>
      <c r="D80" t="s">
        <v>201</v>
      </c>
      <c r="E80" t="s">
        <v>495</v>
      </c>
      <c r="F80" t="s">
        <v>496</v>
      </c>
      <c r="G80" t="s">
        <v>497</v>
      </c>
      <c r="H80" t="s">
        <v>498</v>
      </c>
      <c r="I80" t="s">
        <v>499</v>
      </c>
      <c r="J80" t="s">
        <v>500</v>
      </c>
      <c r="K80" t="s">
        <v>499</v>
      </c>
      <c r="L80" t="s">
        <v>500</v>
      </c>
      <c r="M80" s="9">
        <v>40</v>
      </c>
      <c r="N80" s="9">
        <v>13</v>
      </c>
    </row>
    <row r="81" spans="1:15" x14ac:dyDescent="0.25">
      <c r="A81" t="s">
        <v>501</v>
      </c>
      <c r="B81" t="s">
        <v>502</v>
      </c>
      <c r="C81" t="s">
        <v>502</v>
      </c>
      <c r="D81" t="s">
        <v>201</v>
      </c>
      <c r="E81" t="s">
        <v>503</v>
      </c>
      <c r="F81" t="s">
        <v>504</v>
      </c>
      <c r="G81" t="s">
        <v>505</v>
      </c>
      <c r="H81" t="s">
        <v>506</v>
      </c>
      <c r="I81" t="s">
        <v>507</v>
      </c>
      <c r="J81" t="s">
        <v>508</v>
      </c>
      <c r="K81" t="s">
        <v>507</v>
      </c>
      <c r="L81" t="s">
        <v>508</v>
      </c>
      <c r="M81" s="9">
        <v>27</v>
      </c>
      <c r="N81" s="9">
        <v>11</v>
      </c>
    </row>
    <row r="82" spans="1:15" x14ac:dyDescent="0.25">
      <c r="A82" t="s">
        <v>509</v>
      </c>
      <c r="B82" t="s">
        <v>510</v>
      </c>
      <c r="C82" t="s">
        <v>510</v>
      </c>
      <c r="D82" t="s">
        <v>201</v>
      </c>
      <c r="E82" t="s">
        <v>511</v>
      </c>
      <c r="F82" t="s">
        <v>512</v>
      </c>
      <c r="G82" t="s">
        <v>513</v>
      </c>
      <c r="H82" t="s">
        <v>514</v>
      </c>
      <c r="I82" t="s">
        <v>515</v>
      </c>
      <c r="J82" t="s">
        <v>516</v>
      </c>
      <c r="K82" t="s">
        <v>515</v>
      </c>
      <c r="L82" t="s">
        <v>516</v>
      </c>
      <c r="M82" s="9">
        <v>30</v>
      </c>
      <c r="N82" s="9">
        <v>11</v>
      </c>
    </row>
    <row r="83" spans="1:15" x14ac:dyDescent="0.25">
      <c r="A83" t="s">
        <v>525</v>
      </c>
      <c r="B83" t="s">
        <v>526</v>
      </c>
      <c r="C83" t="s">
        <v>526</v>
      </c>
      <c r="D83" t="s">
        <v>201</v>
      </c>
      <c r="E83" t="s">
        <v>527</v>
      </c>
      <c r="F83" t="s">
        <v>528</v>
      </c>
      <c r="G83" t="s">
        <v>529</v>
      </c>
      <c r="H83" t="s">
        <v>530</v>
      </c>
      <c r="I83" t="s">
        <v>531</v>
      </c>
      <c r="J83" t="s">
        <v>532</v>
      </c>
      <c r="K83" t="s">
        <v>531</v>
      </c>
      <c r="L83" t="s">
        <v>532</v>
      </c>
      <c r="M83" s="9">
        <v>11</v>
      </c>
      <c r="N83" s="9">
        <v>5</v>
      </c>
    </row>
    <row r="84" spans="1:15" x14ac:dyDescent="0.25">
      <c r="A84" t="s">
        <v>517</v>
      </c>
      <c r="B84" t="s">
        <v>518</v>
      </c>
      <c r="C84" t="s">
        <v>518</v>
      </c>
      <c r="D84" t="s">
        <v>201</v>
      </c>
      <c r="E84" t="s">
        <v>519</v>
      </c>
      <c r="F84" t="s">
        <v>520</v>
      </c>
      <c r="G84" t="s">
        <v>521</v>
      </c>
      <c r="H84" t="s">
        <v>522</v>
      </c>
      <c r="I84" t="s">
        <v>523</v>
      </c>
      <c r="J84" t="s">
        <v>524</v>
      </c>
      <c r="K84" t="s">
        <v>523</v>
      </c>
      <c r="L84" t="s">
        <v>524</v>
      </c>
      <c r="M84" s="9">
        <v>94</v>
      </c>
      <c r="N84" s="9">
        <v>5</v>
      </c>
    </row>
    <row r="85" spans="1:15" x14ac:dyDescent="0.25">
      <c r="A85" t="s">
        <v>533</v>
      </c>
      <c r="B85" t="s">
        <v>534</v>
      </c>
      <c r="C85" t="s">
        <v>534</v>
      </c>
      <c r="D85" t="s">
        <v>201</v>
      </c>
      <c r="E85" t="s">
        <v>535</v>
      </c>
      <c r="F85" t="s">
        <v>536</v>
      </c>
      <c r="G85" t="s">
        <v>537</v>
      </c>
      <c r="H85" t="s">
        <v>538</v>
      </c>
      <c r="I85" t="s">
        <v>539</v>
      </c>
      <c r="J85" t="s">
        <v>540</v>
      </c>
      <c r="K85" t="s">
        <v>539</v>
      </c>
      <c r="L85" t="s">
        <v>540</v>
      </c>
      <c r="M85" s="9">
        <v>6</v>
      </c>
      <c r="N85" s="9">
        <v>3</v>
      </c>
    </row>
    <row r="86" spans="1:15" x14ac:dyDescent="0.25">
      <c r="A86" t="s">
        <v>541</v>
      </c>
      <c r="B86" t="s">
        <v>542</v>
      </c>
      <c r="C86" t="s">
        <v>542</v>
      </c>
      <c r="D86" t="s">
        <v>201</v>
      </c>
      <c r="E86" t="s">
        <v>543</v>
      </c>
      <c r="F86" t="s">
        <v>544</v>
      </c>
      <c r="G86" t="s">
        <v>545</v>
      </c>
      <c r="H86" t="s">
        <v>546</v>
      </c>
      <c r="I86" t="s">
        <v>547</v>
      </c>
      <c r="J86" t="s">
        <v>548</v>
      </c>
      <c r="K86" t="s">
        <v>547</v>
      </c>
      <c r="L86" t="s">
        <v>548</v>
      </c>
      <c r="M86" s="9">
        <v>9</v>
      </c>
      <c r="N86" s="9">
        <v>3</v>
      </c>
    </row>
    <row r="87" spans="1:15" x14ac:dyDescent="0.25">
      <c r="A87" t="s">
        <v>649</v>
      </c>
      <c r="B87" t="s">
        <v>603</v>
      </c>
      <c r="C87" t="s">
        <v>603</v>
      </c>
      <c r="D87" t="s">
        <v>650</v>
      </c>
      <c r="F87" s="10" t="s">
        <v>604</v>
      </c>
      <c r="I87" t="s">
        <v>675</v>
      </c>
      <c r="L87" t="str">
        <f>_xlfn.CONCAT("https://explore.openaire.eu/search/organization?organizationId=",I87)</f>
        <v>https://explore.openaire.eu/search/organization?organizationId=openorgs____::994d7f6fc25c5de47b9212bb69524380</v>
      </c>
      <c r="M87" s="9">
        <v>3</v>
      </c>
      <c r="N87" s="9">
        <v>1</v>
      </c>
      <c r="O87" t="s">
        <v>676</v>
      </c>
    </row>
    <row r="88" spans="1:15" x14ac:dyDescent="0.25">
      <c r="A88" t="s">
        <v>549</v>
      </c>
      <c r="B88" t="s">
        <v>550</v>
      </c>
      <c r="C88" t="s">
        <v>550</v>
      </c>
      <c r="D88" t="s">
        <v>201</v>
      </c>
      <c r="E88" t="s">
        <v>551</v>
      </c>
      <c r="F88" t="s">
        <v>552</v>
      </c>
      <c r="G88" t="s">
        <v>553</v>
      </c>
      <c r="H88" t="s">
        <v>554</v>
      </c>
      <c r="I88" t="s">
        <v>555</v>
      </c>
      <c r="J88" t="s">
        <v>556</v>
      </c>
      <c r="K88" t="s">
        <v>555</v>
      </c>
      <c r="L88" t="s">
        <v>556</v>
      </c>
      <c r="M88" s="9">
        <v>1</v>
      </c>
      <c r="N88" s="9">
        <v>0</v>
      </c>
    </row>
    <row r="89" spans="1:15" x14ac:dyDescent="0.25">
      <c r="A89" t="s">
        <v>557</v>
      </c>
      <c r="B89" t="s">
        <v>558</v>
      </c>
      <c r="C89" t="s">
        <v>558</v>
      </c>
      <c r="D89" t="s">
        <v>201</v>
      </c>
      <c r="E89" t="s">
        <v>559</v>
      </c>
      <c r="F89" t="s">
        <v>560</v>
      </c>
      <c r="G89" t="s">
        <v>561</v>
      </c>
      <c r="H89" t="s">
        <v>562</v>
      </c>
      <c r="I89" t="s">
        <v>563</v>
      </c>
      <c r="J89" t="s">
        <v>564</v>
      </c>
      <c r="K89" t="s">
        <v>563</v>
      </c>
      <c r="L89" t="s">
        <v>564</v>
      </c>
      <c r="M89" s="9">
        <v>4</v>
      </c>
      <c r="N89" s="9">
        <v>0</v>
      </c>
    </row>
    <row r="90" spans="1:15" x14ac:dyDescent="0.25">
      <c r="A90" t="s">
        <v>680</v>
      </c>
    </row>
    <row r="91" spans="1:15" x14ac:dyDescent="0.25">
      <c r="A91" t="s">
        <v>666</v>
      </c>
      <c r="F91">
        <f>SUBTOTAL(103,Table1[ROR_LINK])</f>
        <v>88</v>
      </c>
      <c r="M91"/>
      <c r="N91">
        <f>COUNTIFS(Table1[numFound_ResearchProducts_2020_2023],"&gt;=1000")</f>
        <v>40</v>
      </c>
    </row>
    <row r="92" spans="1:15" x14ac:dyDescent="0.25">
      <c r="N92" s="9" t="s">
        <v>677</v>
      </c>
    </row>
  </sheetData>
  <conditionalFormatting sqref="N95:N1048576 N1:N90">
    <cfRule type="iconSet" priority="1">
      <iconSet iconSet="4TrafficLights">
        <cfvo type="percent" val="0"/>
        <cfvo type="num" val="5000"/>
        <cfvo type="num" val="10000"/>
        <cfvo type="num" val="40000"/>
      </iconSet>
    </cfRule>
  </conditionalFormatting>
  <hyperlinks>
    <hyperlink ref="F25" r:id="rId1" xr:uid="{6D8C0310-7ADB-4EBC-B846-0486C9EFEC1E}"/>
    <hyperlink ref="F61" r:id="rId2" xr:uid="{6D390392-4D3C-4BD9-9163-354423B9A96B}"/>
    <hyperlink ref="F43" r:id="rId3" xr:uid="{556C3BA9-7868-4901-AD53-3A69CA9F3525}"/>
    <hyperlink ref="F47" r:id="rId4" xr:uid="{AC3865F1-7395-4E77-A460-3BF03F0BD45C}"/>
    <hyperlink ref="F74" r:id="rId5" xr:uid="{4296D088-896C-49C3-9B56-EE0136265192}"/>
    <hyperlink ref="F24" r:id="rId6" xr:uid="{C43C010D-A103-4B3A-B938-E07D489C2B03}"/>
    <hyperlink ref="F26" r:id="rId7" xr:uid="{F94EFB51-DF0E-4F0D-BC68-0DD0143D2215}"/>
    <hyperlink ref="F33" r:id="rId8" xr:uid="{CDB5089F-B77E-4617-8C51-93973C504D6F}"/>
    <hyperlink ref="F68" r:id="rId9" xr:uid="{45A67D86-DFD9-4D4E-AE84-B800B4A5D7F6}"/>
    <hyperlink ref="F57" r:id="rId10" xr:uid="{B64CF63E-8379-460B-A9B6-C487B62E1D7B}"/>
    <hyperlink ref="F27" r:id="rId11" xr:uid="{3CF084A1-873A-4A9C-970E-629D2EB2D692}"/>
    <hyperlink ref="F69" r:id="rId12" xr:uid="{98EB5B07-F5AF-4941-BD3C-E3DF42448682}"/>
    <hyperlink ref="F70" r:id="rId13" xr:uid="{787D682F-20C3-4CB7-9AF7-E48CC468D55E}"/>
    <hyperlink ref="F35" r:id="rId14" xr:uid="{5DBEC7FC-2276-4181-A762-F2069336A0E1}"/>
    <hyperlink ref="F77" r:id="rId15" xr:uid="{9CA94F55-28E4-4B1F-ABE6-E6E8D4BCD6F2}"/>
    <hyperlink ref="F34" r:id="rId16" xr:uid="{3D29062E-319D-476D-8B25-9AFF233CE5E5}"/>
    <hyperlink ref="F87" r:id="rId17" xr:uid="{0FDF3401-E55A-48FE-9651-56A8AB54D4B1}"/>
    <hyperlink ref="F32" r:id="rId18" xr:uid="{0E3F0391-BF3B-4BCE-8B3E-EE6C7C7A1F97}"/>
    <hyperlink ref="F42" r:id="rId19" xr:uid="{88341678-61F4-4D68-BC49-710B45781BA9}"/>
    <hyperlink ref="L16" r:id="rId20" xr:uid="{3E19FE23-24F9-47BF-9FAE-EC60F0F92CFC}"/>
    <hyperlink ref="L19" r:id="rId21" xr:uid="{3B071F4F-3A37-4F4B-ABAB-E2D9B9086CDD}"/>
  </hyperlinks>
  <pageMargins left="0.7" right="0.7" top="0.75" bottom="0.75" header="0.3" footer="0.3"/>
  <tableParts count="1">
    <tablePart r:id="rId2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2130F-9A60-4ACC-874C-030A610C10A2}">
  <dimension ref="A1:AO61"/>
  <sheetViews>
    <sheetView topLeftCell="A2" zoomScale="112" zoomScaleNormal="112" workbookViewId="0">
      <pane xSplit="1" topLeftCell="B1" activePane="topRight" state="frozen"/>
      <selection pane="topRight" activeCell="G5" sqref="G5"/>
    </sheetView>
  </sheetViews>
  <sheetFormatPr defaultRowHeight="15" x14ac:dyDescent="0.25"/>
  <cols>
    <col min="1" max="1" width="29.5703125" customWidth="1"/>
    <col min="2" max="2" width="7.28515625" customWidth="1"/>
    <col min="3" max="3" width="8.85546875" customWidth="1"/>
    <col min="4" max="4" width="12.85546875" customWidth="1"/>
    <col min="5" max="5" width="12.140625" customWidth="1"/>
    <col min="6" max="7" width="14.42578125" customWidth="1"/>
    <col min="8" max="9" width="16" customWidth="1"/>
    <col min="12" max="12" width="11.42578125" customWidth="1"/>
    <col min="14" max="14" width="12" customWidth="1"/>
  </cols>
  <sheetData>
    <row r="1" spans="1:41" ht="21" x14ac:dyDescent="0.35">
      <c r="A1" s="40" t="s">
        <v>716</v>
      </c>
    </row>
    <row r="2" spans="1:41" x14ac:dyDescent="0.25">
      <c r="A2" s="50" t="s">
        <v>714</v>
      </c>
    </row>
    <row r="3" spans="1:41" x14ac:dyDescent="0.25">
      <c r="A3" s="50" t="s">
        <v>715</v>
      </c>
    </row>
    <row r="4" spans="1:41" ht="47.25" customHeight="1" x14ac:dyDescent="0.25">
      <c r="A4" s="14" t="s">
        <v>713</v>
      </c>
      <c r="B4" s="14" t="s">
        <v>849</v>
      </c>
      <c r="C4" s="14" t="s">
        <v>629</v>
      </c>
      <c r="D4" s="14" t="s">
        <v>687</v>
      </c>
      <c r="E4" s="14" t="s">
        <v>679</v>
      </c>
      <c r="F4" s="14" t="s">
        <v>698</v>
      </c>
      <c r="G4" s="37" t="s">
        <v>697</v>
      </c>
      <c r="H4" s="14" t="s">
        <v>683</v>
      </c>
      <c r="I4" s="14" t="s">
        <v>734</v>
      </c>
      <c r="J4" s="14" t="s">
        <v>735</v>
      </c>
      <c r="K4" s="39" t="s">
        <v>784</v>
      </c>
      <c r="L4" s="39" t="s">
        <v>846</v>
      </c>
      <c r="M4" s="14" t="s">
        <v>782</v>
      </c>
      <c r="N4" s="14" t="s">
        <v>783</v>
      </c>
      <c r="O4" s="14" t="s">
        <v>733</v>
      </c>
      <c r="P4" s="15"/>
      <c r="Q4" s="15"/>
      <c r="R4" s="15"/>
    </row>
    <row r="5" spans="1:41" x14ac:dyDescent="0.25">
      <c r="A5" s="15" t="s">
        <v>14</v>
      </c>
      <c r="B5" s="15"/>
      <c r="C5" s="16">
        <v>68465</v>
      </c>
      <c r="D5" s="48">
        <v>1</v>
      </c>
      <c r="E5" s="18">
        <f>ROUND(VLOOKUP(Table26[[#This Row],[Categorie]],$A$48:$H$53,6,FALSE),0)</f>
        <v>1612</v>
      </c>
      <c r="F5" s="19" t="str">
        <f>VLOOKUP(Table26[[#This Row],[Categorie]],$A$48:$H$53,8,FALSE)</f>
        <v>ja</v>
      </c>
      <c r="G5" s="22">
        <f>IF(F5="ja",SUM($B$35,$B$36),0)</f>
        <v>1302</v>
      </c>
      <c r="H5" s="39">
        <f>SUM(Table26[[#This Row],[Bijdrage aan NL-Research Portal beheer]]+Table26[[#This Row],[aanvullende lidmaatschaps-kosten]])</f>
        <v>2914</v>
      </c>
      <c r="I5" s="39" t="s">
        <v>785</v>
      </c>
      <c r="J5" s="39" t="s">
        <v>786</v>
      </c>
      <c r="K5" s="39" t="s">
        <v>787</v>
      </c>
      <c r="L5" s="39" t="s">
        <v>788</v>
      </c>
      <c r="M5" s="15" t="s">
        <v>778</v>
      </c>
      <c r="N5" s="39" t="s">
        <v>779</v>
      </c>
      <c r="O5" s="49"/>
      <c r="P5" s="22"/>
      <c r="Q5" s="22"/>
      <c r="R5" s="22"/>
    </row>
    <row r="6" spans="1:41" x14ac:dyDescent="0.25">
      <c r="A6" s="15" t="s">
        <v>24</v>
      </c>
      <c r="B6" s="15"/>
      <c r="C6" s="16">
        <v>60257</v>
      </c>
      <c r="D6" s="48">
        <v>1</v>
      </c>
      <c r="E6" s="18">
        <f>ROUND(VLOOKUP(Table26[[#This Row],[Categorie]],$A$48:$H$53,6,FALSE),0)</f>
        <v>1612</v>
      </c>
      <c r="F6" s="19" t="str">
        <f>VLOOKUP(Table26[[#This Row],[Categorie]],$A$48:$H$53,8,FALSE)</f>
        <v>ja</v>
      </c>
      <c r="G6" s="22">
        <f t="shared" ref="G5:G29" si="0">IF(F6="ja",SUM($B$35,$B$36),0)</f>
        <v>1302</v>
      </c>
      <c r="H6" s="39">
        <f>SUM(Table26[[#This Row],[Bijdrage aan NL-Research Portal beheer]]+Table26[[#This Row],[aanvullende lidmaatschaps-kosten]])</f>
        <v>2914</v>
      </c>
      <c r="I6" s="39" t="s">
        <v>789</v>
      </c>
      <c r="J6" s="39" t="s">
        <v>790</v>
      </c>
      <c r="K6" s="39" t="s">
        <v>791</v>
      </c>
      <c r="L6" s="39" t="s">
        <v>792</v>
      </c>
      <c r="M6" s="39" t="s">
        <v>777</v>
      </c>
      <c r="N6" s="39" t="s">
        <v>776</v>
      </c>
      <c r="O6" s="49"/>
      <c r="P6" s="22"/>
      <c r="Q6" s="22"/>
      <c r="R6" s="22"/>
    </row>
    <row r="7" spans="1:41" x14ac:dyDescent="0.25">
      <c r="A7" s="15" t="s">
        <v>33</v>
      </c>
      <c r="B7" s="15"/>
      <c r="C7" s="16">
        <v>56275</v>
      </c>
      <c r="D7" s="48">
        <v>1</v>
      </c>
      <c r="E7" s="18">
        <f>ROUND(VLOOKUP(Table26[[#This Row],[Categorie]],$A$48:$H$53,6,FALSE),0)</f>
        <v>1612</v>
      </c>
      <c r="F7" s="19" t="str">
        <f>VLOOKUP(Table26[[#This Row],[Categorie]],$A$48:$H$53,8,FALSE)</f>
        <v>ja</v>
      </c>
      <c r="G7" s="22">
        <f t="shared" si="0"/>
        <v>1302</v>
      </c>
      <c r="H7" s="39">
        <f>SUM(Table26[[#This Row],[Bijdrage aan NL-Research Portal beheer]]+Table26[[#This Row],[aanvullende lidmaatschaps-kosten]])</f>
        <v>2914</v>
      </c>
      <c r="I7" s="39" t="s">
        <v>793</v>
      </c>
      <c r="J7" s="39" t="s">
        <v>794</v>
      </c>
      <c r="K7" s="39" t="s">
        <v>795</v>
      </c>
      <c r="L7" s="39" t="s">
        <v>823</v>
      </c>
      <c r="M7" s="15" t="s">
        <v>772</v>
      </c>
      <c r="N7" s="15" t="s">
        <v>773</v>
      </c>
      <c r="O7" s="49"/>
      <c r="P7" s="22"/>
      <c r="Q7" s="22"/>
      <c r="R7" s="22"/>
    </row>
    <row r="8" spans="1:41" x14ac:dyDescent="0.25">
      <c r="A8" s="15" t="s">
        <v>42</v>
      </c>
      <c r="B8" s="15"/>
      <c r="C8" s="16">
        <v>47078</v>
      </c>
      <c r="D8" s="48">
        <v>1</v>
      </c>
      <c r="E8" s="18">
        <f>ROUND(VLOOKUP(Table26[[#This Row],[Categorie]],$A$48:$H$53,6,FALSE),0)</f>
        <v>1612</v>
      </c>
      <c r="F8" s="19" t="str">
        <f>VLOOKUP(Table26[[#This Row],[Categorie]],$A$48:$H$53,8,FALSE)</f>
        <v>ja</v>
      </c>
      <c r="G8" s="22">
        <f t="shared" si="0"/>
        <v>1302</v>
      </c>
      <c r="H8" s="39">
        <f>SUM(Table26[[#This Row],[Bijdrage aan NL-Research Portal beheer]]+Table26[[#This Row],[aanvullende lidmaatschaps-kosten]])</f>
        <v>2914</v>
      </c>
      <c r="I8" s="39" t="s">
        <v>796</v>
      </c>
      <c r="J8" s="39" t="s">
        <v>797</v>
      </c>
      <c r="K8" s="39" t="s">
        <v>798</v>
      </c>
      <c r="L8" s="39" t="s">
        <v>822</v>
      </c>
      <c r="M8" s="15" t="s">
        <v>770</v>
      </c>
      <c r="N8" s="15" t="s">
        <v>771</v>
      </c>
      <c r="O8" s="49"/>
      <c r="P8" s="22"/>
      <c r="Q8" s="22"/>
      <c r="R8" s="22"/>
    </row>
    <row r="9" spans="1:41" x14ac:dyDescent="0.25">
      <c r="A9" s="15" t="s">
        <v>51</v>
      </c>
      <c r="B9" s="15"/>
      <c r="C9" s="16">
        <v>45349</v>
      </c>
      <c r="D9" s="48">
        <v>1</v>
      </c>
      <c r="E9" s="18">
        <f>ROUND(VLOOKUP(Table26[[#This Row],[Categorie]],$A$48:$H$53,6,FALSE),0)</f>
        <v>1612</v>
      </c>
      <c r="F9" s="19" t="str">
        <f>VLOOKUP(Table26[[#This Row],[Categorie]],$A$48:$H$53,8,FALSE)</f>
        <v>ja</v>
      </c>
      <c r="G9" s="22">
        <f t="shared" si="0"/>
        <v>1302</v>
      </c>
      <c r="H9" s="39">
        <f>SUM(Table26[[#This Row],[Bijdrage aan NL-Research Portal beheer]]+Table26[[#This Row],[aanvullende lidmaatschaps-kosten]])</f>
        <v>2914</v>
      </c>
      <c r="I9" s="39" t="s">
        <v>799</v>
      </c>
      <c r="J9" s="39" t="s">
        <v>800</v>
      </c>
      <c r="K9" s="39" t="s">
        <v>801</v>
      </c>
      <c r="L9" s="39" t="s">
        <v>802</v>
      </c>
      <c r="M9" s="15" t="s">
        <v>768</v>
      </c>
      <c r="N9" s="15" t="s">
        <v>769</v>
      </c>
      <c r="O9" s="49"/>
      <c r="P9" s="22"/>
      <c r="Q9" s="15"/>
      <c r="R9" s="15"/>
      <c r="S9" s="15"/>
      <c r="T9" s="15"/>
      <c r="U9" s="15"/>
      <c r="V9" s="51" t="s">
        <v>721</v>
      </c>
      <c r="W9" s="51"/>
      <c r="X9" s="52"/>
      <c r="Y9" s="52"/>
      <c r="Z9" s="52"/>
      <c r="AA9" s="52"/>
      <c r="AB9" s="52"/>
      <c r="AC9" s="52"/>
      <c r="AD9" s="15"/>
      <c r="AE9" s="15"/>
      <c r="AF9" s="15"/>
      <c r="AG9" s="15"/>
      <c r="AH9" s="15"/>
      <c r="AI9" s="15"/>
      <c r="AJ9" s="15"/>
      <c r="AK9" s="15"/>
      <c r="AL9" s="15"/>
      <c r="AM9" s="15"/>
      <c r="AN9" s="15"/>
      <c r="AO9" s="15"/>
    </row>
    <row r="10" spans="1:41" x14ac:dyDescent="0.25">
      <c r="A10" s="15" t="s">
        <v>852</v>
      </c>
      <c r="B10" s="15" t="s">
        <v>850</v>
      </c>
      <c r="C10" s="16">
        <v>44206</v>
      </c>
      <c r="D10" s="48">
        <v>1</v>
      </c>
      <c r="E10" s="18">
        <f>ROUND(VLOOKUP(Table26[[#This Row],[Categorie]],$A$48:$H$53,6,FALSE),0)</f>
        <v>1612</v>
      </c>
      <c r="F10" s="19" t="str">
        <f>VLOOKUP(Table26[[#This Row],[Categorie]],$A$48:$H$53,8,FALSE)</f>
        <v>ja</v>
      </c>
      <c r="G10" s="22">
        <f t="shared" si="0"/>
        <v>1302</v>
      </c>
      <c r="H10" s="39">
        <f>SUM(Table26[[#This Row],[Bijdrage aan NL-Research Portal beheer]]+Table26[[#This Row],[aanvullende lidmaatschaps-kosten]])</f>
        <v>2914</v>
      </c>
      <c r="I10" s="39" t="s">
        <v>774</v>
      </c>
      <c r="J10" s="15" t="s">
        <v>775</v>
      </c>
      <c r="K10" s="15" t="s">
        <v>803</v>
      </c>
      <c r="L10" s="15" t="s">
        <v>804</v>
      </c>
      <c r="M10" s="15" t="s">
        <v>818</v>
      </c>
      <c r="N10" s="15" t="s">
        <v>819</v>
      </c>
      <c r="O10" s="49"/>
      <c r="P10" s="22"/>
      <c r="Q10" s="22"/>
      <c r="R10" s="22"/>
      <c r="V10" s="53" t="s">
        <v>717</v>
      </c>
      <c r="W10" s="51">
        <v>2173</v>
      </c>
      <c r="X10" s="54" t="s">
        <v>719</v>
      </c>
      <c r="Y10" s="51">
        <f>Table8[[#Totals],[jaarlijks bedrag]]</f>
        <v>1302</v>
      </c>
      <c r="Z10" s="53" t="s">
        <v>720</v>
      </c>
      <c r="AA10" s="51">
        <f>W10+Y10</f>
        <v>3475</v>
      </c>
      <c r="AB10" s="52"/>
      <c r="AC10" s="52"/>
    </row>
    <row r="11" spans="1:41" x14ac:dyDescent="0.25">
      <c r="A11" s="15" t="s">
        <v>69</v>
      </c>
      <c r="B11" s="15"/>
      <c r="C11" s="16">
        <v>42961</v>
      </c>
      <c r="D11" s="48">
        <v>1</v>
      </c>
      <c r="E11" s="18">
        <f>ROUND(VLOOKUP(Table26[[#This Row],[Categorie]],$A$48:$H$53,6,FALSE),0)</f>
        <v>1612</v>
      </c>
      <c r="F11" s="19" t="str">
        <f>VLOOKUP(Table26[[#This Row],[Categorie]],$A$48:$H$53,8,FALSE)</f>
        <v>ja</v>
      </c>
      <c r="G11" s="22">
        <f t="shared" si="0"/>
        <v>1302</v>
      </c>
      <c r="H11" s="39">
        <f>SUM(Table26[[#This Row],[Bijdrage aan NL-Research Portal beheer]]+Table26[[#This Row],[aanvullende lidmaatschaps-kosten]])</f>
        <v>2914</v>
      </c>
      <c r="I11" s="15" t="s">
        <v>805</v>
      </c>
      <c r="J11" s="15" t="s">
        <v>806</v>
      </c>
      <c r="K11" s="15" t="s">
        <v>807</v>
      </c>
      <c r="L11" s="15" t="s">
        <v>821</v>
      </c>
      <c r="M11" s="39" t="s">
        <v>820</v>
      </c>
      <c r="N11" s="39"/>
      <c r="O11" s="49"/>
      <c r="P11" s="22"/>
      <c r="Q11" s="22"/>
      <c r="R11" s="22"/>
      <c r="V11" s="53" t="s">
        <v>718</v>
      </c>
      <c r="W11" s="51">
        <v>1449</v>
      </c>
      <c r="X11" s="53" t="s">
        <v>719</v>
      </c>
      <c r="Y11" s="51">
        <f>Table8[[#Totals],[jaarlijks bedrag]]</f>
        <v>1302</v>
      </c>
      <c r="Z11" s="53" t="s">
        <v>720</v>
      </c>
      <c r="AA11" s="51">
        <f>W11+Y11</f>
        <v>2751</v>
      </c>
      <c r="AB11" s="52"/>
      <c r="AC11" s="52"/>
    </row>
    <row r="12" spans="1:41" x14ac:dyDescent="0.25">
      <c r="A12" s="15" t="s">
        <v>77</v>
      </c>
      <c r="B12" s="15"/>
      <c r="C12" s="16">
        <v>41494</v>
      </c>
      <c r="D12" s="48">
        <v>1</v>
      </c>
      <c r="E12" s="18">
        <f>ROUND(VLOOKUP(Table26[[#This Row],[Categorie]],$A$48:$H$53,6,FALSE),0)</f>
        <v>1612</v>
      </c>
      <c r="F12" s="19" t="str">
        <f>VLOOKUP(Table26[[#This Row],[Categorie]],$A$48:$H$53,8,FALSE)</f>
        <v>ja</v>
      </c>
      <c r="G12" s="22">
        <f t="shared" si="0"/>
        <v>1302</v>
      </c>
      <c r="H12" s="39">
        <f>SUM(Table26[[#This Row],[Bijdrage aan NL-Research Portal beheer]]+Table26[[#This Row],[aanvullende lidmaatschaps-kosten]])</f>
        <v>2914</v>
      </c>
      <c r="I12" s="39" t="s">
        <v>808</v>
      </c>
      <c r="J12" s="39" t="s">
        <v>767</v>
      </c>
      <c r="K12" s="39" t="s">
        <v>809</v>
      </c>
      <c r="L12" s="39" t="s">
        <v>810</v>
      </c>
      <c r="M12" s="39" t="s">
        <v>766</v>
      </c>
      <c r="N12" s="39" t="s">
        <v>767</v>
      </c>
      <c r="O12" s="49"/>
      <c r="P12" s="22"/>
      <c r="Q12" s="22"/>
      <c r="R12" s="22"/>
      <c r="V12" s="22"/>
      <c r="W12" s="22"/>
    </row>
    <row r="13" spans="1:41" x14ac:dyDescent="0.25">
      <c r="A13" s="15" t="s">
        <v>86</v>
      </c>
      <c r="B13" s="15"/>
      <c r="C13" s="16">
        <v>39430</v>
      </c>
      <c r="D13" s="48">
        <v>2</v>
      </c>
      <c r="E13" s="18">
        <f>ROUND(VLOOKUP(Table26[[#This Row],[Categorie]],$A$48:$H$53,6,FALSE),0)</f>
        <v>1074</v>
      </c>
      <c r="F13" s="19" t="str">
        <f>VLOOKUP(Table26[[#This Row],[Categorie]],$A$48:$H$53,8,FALSE)</f>
        <v>ja</v>
      </c>
      <c r="G13" s="22">
        <f t="shared" si="0"/>
        <v>1302</v>
      </c>
      <c r="H13" s="39">
        <f>SUM(Table26[[#This Row],[Bijdrage aan NL-Research Portal beheer]]+Table26[[#This Row],[aanvullende lidmaatschaps-kosten]])</f>
        <v>2376</v>
      </c>
      <c r="I13" s="39" t="s">
        <v>811</v>
      </c>
      <c r="J13" s="39" t="s">
        <v>812</v>
      </c>
      <c r="K13" s="39" t="s">
        <v>762</v>
      </c>
      <c r="L13" s="39" t="s">
        <v>763</v>
      </c>
      <c r="M13" s="15" t="s">
        <v>762</v>
      </c>
      <c r="N13" s="15" t="s">
        <v>763</v>
      </c>
      <c r="O13" s="49"/>
      <c r="P13" s="22"/>
      <c r="Q13" s="22"/>
      <c r="R13" s="22"/>
      <c r="V13" s="22"/>
      <c r="W13" s="22"/>
    </row>
    <row r="14" spans="1:41" x14ac:dyDescent="0.25">
      <c r="A14" s="15" t="s">
        <v>95</v>
      </c>
      <c r="B14" s="15"/>
      <c r="C14" s="16">
        <v>35678</v>
      </c>
      <c r="D14" s="48">
        <v>2</v>
      </c>
      <c r="E14" s="18">
        <f>ROUND(VLOOKUP(Table26[[#This Row],[Categorie]],$A$48:$H$53,6,FALSE),0)</f>
        <v>1074</v>
      </c>
      <c r="F14" s="19" t="str">
        <f>VLOOKUP(Table26[[#This Row],[Categorie]],$A$48:$H$53,8,FALSE)</f>
        <v>ja</v>
      </c>
      <c r="G14" s="22">
        <f t="shared" si="0"/>
        <v>1302</v>
      </c>
      <c r="H14" s="39">
        <f>SUM(Table26[[#This Row],[Bijdrage aan NL-Research Portal beheer]]+Table26[[#This Row],[aanvullende lidmaatschaps-kosten]])</f>
        <v>2376</v>
      </c>
      <c r="I14" s="39" t="s">
        <v>813</v>
      </c>
      <c r="J14" s="39" t="s">
        <v>814</v>
      </c>
      <c r="K14" s="39" t="s">
        <v>836</v>
      </c>
      <c r="L14" s="39" t="s">
        <v>837</v>
      </c>
      <c r="M14" s="15" t="s">
        <v>764</v>
      </c>
      <c r="N14" s="15" t="s">
        <v>765</v>
      </c>
      <c r="O14" s="49"/>
      <c r="P14" s="22"/>
      <c r="Q14" s="22"/>
      <c r="R14" s="22"/>
      <c r="V14" s="22" t="s">
        <v>722</v>
      </c>
      <c r="W14" s="22"/>
    </row>
    <row r="15" spans="1:41" x14ac:dyDescent="0.25">
      <c r="A15" s="15" t="s">
        <v>127</v>
      </c>
      <c r="B15" s="15"/>
      <c r="C15" s="16">
        <v>23209</v>
      </c>
      <c r="D15" s="48">
        <v>2</v>
      </c>
      <c r="E15" s="18">
        <f>ROUND(VLOOKUP(Table26[[#This Row],[Categorie]],$A$48:$H$53,6,FALSE),0)</f>
        <v>1074</v>
      </c>
      <c r="F15" s="19" t="str">
        <f>VLOOKUP(Table26[[#This Row],[Categorie]],$A$48:$H$53,8,FALSE)</f>
        <v>ja</v>
      </c>
      <c r="G15" s="22">
        <f t="shared" si="0"/>
        <v>1302</v>
      </c>
      <c r="H15" s="39">
        <f>SUM(Table26[[#This Row],[Bijdrage aan NL-Research Portal beheer]]+Table26[[#This Row],[aanvullende lidmaatschaps-kosten]])</f>
        <v>2376</v>
      </c>
      <c r="I15" s="39" t="s">
        <v>815</v>
      </c>
      <c r="J15" s="39" t="s">
        <v>816</v>
      </c>
      <c r="K15" s="39" t="s">
        <v>760</v>
      </c>
      <c r="L15" s="39" t="s">
        <v>761</v>
      </c>
      <c r="M15" s="39" t="s">
        <v>760</v>
      </c>
      <c r="N15" s="39" t="s">
        <v>761</v>
      </c>
      <c r="O15" s="49"/>
      <c r="P15" s="22"/>
      <c r="Q15" s="22"/>
      <c r="R15" s="22"/>
      <c r="V15" s="22" t="s">
        <v>723</v>
      </c>
      <c r="W15" s="22"/>
    </row>
    <row r="16" spans="1:41" x14ac:dyDescent="0.25">
      <c r="A16" s="15" t="s">
        <v>150</v>
      </c>
      <c r="B16" s="15"/>
      <c r="C16" s="16">
        <v>17134</v>
      </c>
      <c r="D16" s="48">
        <v>2</v>
      </c>
      <c r="E16" s="18">
        <f>ROUND(VLOOKUP(Table26[[#This Row],[Categorie]],$A$48:$H$53,6,FALSE),0)</f>
        <v>1074</v>
      </c>
      <c r="F16" s="19" t="str">
        <f>VLOOKUP(Table26[[#This Row],[Categorie]],$A$48:$H$53,8,FALSE)</f>
        <v>ja</v>
      </c>
      <c r="G16" s="22">
        <f t="shared" si="0"/>
        <v>1302</v>
      </c>
      <c r="H16" s="39">
        <f>SUM(Table26[[#This Row],[Bijdrage aan NL-Research Portal beheer]]+Table26[[#This Row],[aanvullende lidmaatschaps-kosten]])</f>
        <v>2376</v>
      </c>
      <c r="I16" s="39" t="s">
        <v>840</v>
      </c>
      <c r="J16" s="39" t="s">
        <v>841</v>
      </c>
      <c r="K16" s="39" t="s">
        <v>756</v>
      </c>
      <c r="L16" s="39" t="s">
        <v>757</v>
      </c>
      <c r="M16" s="15" t="s">
        <v>756</v>
      </c>
      <c r="N16" s="15" t="s">
        <v>757</v>
      </c>
      <c r="O16" s="49"/>
      <c r="P16" s="22"/>
      <c r="Q16" s="22"/>
      <c r="R16" s="22"/>
      <c r="V16" s="22" t="s">
        <v>724</v>
      </c>
      <c r="W16" s="22"/>
    </row>
    <row r="17" spans="1:22" x14ac:dyDescent="0.25">
      <c r="A17" s="15" t="s">
        <v>847</v>
      </c>
      <c r="B17" s="15"/>
      <c r="C17" s="16">
        <v>16072</v>
      </c>
      <c r="D17" s="48">
        <v>2</v>
      </c>
      <c r="E17" s="18">
        <f>ROUND(VLOOKUP(Table26[[#This Row],[Categorie]],$A$48:$H$53,6,FALSE),0)</f>
        <v>1074</v>
      </c>
      <c r="F17" s="19" t="str">
        <f>VLOOKUP(Table26[[#This Row],[Categorie]],$A$48:$H$53,8,FALSE)</f>
        <v>ja</v>
      </c>
      <c r="G17" s="22">
        <f t="shared" si="0"/>
        <v>1302</v>
      </c>
      <c r="H17" s="39">
        <f>SUM(Table26[[#This Row],[Bijdrage aan NL-Research Portal beheer]]+Table26[[#This Row],[aanvullende lidmaatschaps-kosten]])</f>
        <v>2376</v>
      </c>
      <c r="I17" s="39" t="s">
        <v>748</v>
      </c>
      <c r="J17" s="39" t="s">
        <v>749</v>
      </c>
      <c r="K17" s="39"/>
      <c r="L17" s="39"/>
      <c r="M17" s="39" t="s">
        <v>838</v>
      </c>
      <c r="N17" s="15" t="s">
        <v>839</v>
      </c>
      <c r="O17" s="49"/>
      <c r="P17" s="22"/>
      <c r="Q17" s="22"/>
      <c r="R17" s="22"/>
      <c r="V17" s="15" t="s">
        <v>725</v>
      </c>
    </row>
    <row r="18" spans="1:22" x14ac:dyDescent="0.25">
      <c r="A18" s="15" t="s">
        <v>158</v>
      </c>
      <c r="B18" s="15"/>
      <c r="C18" s="16">
        <v>14474</v>
      </c>
      <c r="D18" s="48">
        <v>2</v>
      </c>
      <c r="E18" s="18">
        <f>ROUND(VLOOKUP(Table26[[#This Row],[Categorie]],$A$48:$H$53,6,FALSE),0)</f>
        <v>1074</v>
      </c>
      <c r="F18" s="19" t="str">
        <f>VLOOKUP(Table26[[#This Row],[Categorie]],$A$48:$H$53,8,FALSE)</f>
        <v>ja</v>
      </c>
      <c r="G18" s="22">
        <f t="shared" si="0"/>
        <v>1302</v>
      </c>
      <c r="H18" s="39">
        <f>SUM(Table26[[#This Row],[Bijdrage aan NL-Research Portal beheer]]+Table26[[#This Row],[aanvullende lidmaatschaps-kosten]])</f>
        <v>2376</v>
      </c>
      <c r="I18" s="39" t="s">
        <v>824</v>
      </c>
      <c r="J18" s="39" t="s">
        <v>825</v>
      </c>
      <c r="K18" s="39" t="s">
        <v>758</v>
      </c>
      <c r="L18" s="39" t="s">
        <v>759</v>
      </c>
      <c r="M18" s="15" t="s">
        <v>758</v>
      </c>
      <c r="N18" s="15" t="s">
        <v>759</v>
      </c>
      <c r="O18" s="49"/>
      <c r="P18" s="22"/>
      <c r="Q18" s="22"/>
      <c r="R18" s="22"/>
      <c r="V18" s="15" t="s">
        <v>726</v>
      </c>
    </row>
    <row r="19" spans="1:22" x14ac:dyDescent="0.25">
      <c r="A19" s="15" t="s">
        <v>580</v>
      </c>
      <c r="B19" s="15"/>
      <c r="C19" s="16">
        <v>11167</v>
      </c>
      <c r="D19" s="48">
        <v>2</v>
      </c>
      <c r="E19" s="18">
        <f>ROUND(VLOOKUP(Table26[[#This Row],[Categorie]],$A$48:$H$53,6,FALSE),0)</f>
        <v>1074</v>
      </c>
      <c r="F19" s="19" t="str">
        <f>VLOOKUP(Table26[[#This Row],[Categorie]],$A$48:$H$53,8,FALSE)</f>
        <v>ja</v>
      </c>
      <c r="G19" s="22">
        <f t="shared" si="0"/>
        <v>1302</v>
      </c>
      <c r="H19" s="39">
        <f>SUM(Table26[[#This Row],[Bijdrage aan NL-Research Portal beheer]]+Table26[[#This Row],[aanvullende lidmaatschaps-kosten]])</f>
        <v>2376</v>
      </c>
      <c r="I19" s="39" t="s">
        <v>751</v>
      </c>
      <c r="J19" s="39" t="s">
        <v>750</v>
      </c>
      <c r="K19" s="39"/>
      <c r="L19" s="39"/>
      <c r="M19" s="39"/>
      <c r="N19" s="39"/>
      <c r="O19" s="49"/>
      <c r="P19" s="22"/>
      <c r="Q19" s="22"/>
      <c r="R19" s="22"/>
      <c r="V19" t="s">
        <v>727</v>
      </c>
    </row>
    <row r="20" spans="1:22" x14ac:dyDescent="0.25">
      <c r="A20" s="15" t="s">
        <v>219</v>
      </c>
      <c r="B20" s="15"/>
      <c r="C20" s="16">
        <v>7476</v>
      </c>
      <c r="D20" s="48">
        <v>3</v>
      </c>
      <c r="E20" s="18">
        <f>ROUND(VLOOKUP(Table26[[#This Row],[Categorie]],$A$48:$H$53,6,FALSE),0)</f>
        <v>716</v>
      </c>
      <c r="F20" s="19" t="str">
        <f>VLOOKUP(Table26[[#This Row],[Categorie]],$A$48:$H$53,8,FALSE)</f>
        <v>nee</v>
      </c>
      <c r="G20" s="22">
        <f t="shared" si="0"/>
        <v>0</v>
      </c>
      <c r="H20" s="39">
        <f>SUM(Table26[[#This Row],[Bijdrage aan NL-Research Portal beheer]]+Table26[[#This Row],[aanvullende lidmaatschaps-kosten]])</f>
        <v>716</v>
      </c>
      <c r="I20" s="39" t="s">
        <v>826</v>
      </c>
      <c r="J20" s="15" t="s">
        <v>827</v>
      </c>
      <c r="K20" s="15" t="s">
        <v>828</v>
      </c>
      <c r="L20" s="15" t="s">
        <v>829</v>
      </c>
      <c r="M20" s="15"/>
      <c r="N20" s="15"/>
      <c r="O20" s="49"/>
      <c r="P20" s="22"/>
      <c r="Q20" s="22"/>
      <c r="R20" s="22"/>
      <c r="V20" t="s">
        <v>728</v>
      </c>
    </row>
    <row r="21" spans="1:22" x14ac:dyDescent="0.25">
      <c r="A21" s="15" t="s">
        <v>583</v>
      </c>
      <c r="B21" s="15"/>
      <c r="C21" s="16">
        <v>6941</v>
      </c>
      <c r="D21" s="48">
        <v>3</v>
      </c>
      <c r="E21" s="18">
        <f>ROUND(VLOOKUP(Table26[[#This Row],[Categorie]],$A$48:$H$53,6,FALSE),0)</f>
        <v>716</v>
      </c>
      <c r="F21" s="19" t="str">
        <f>VLOOKUP(Table26[[#This Row],[Categorie]],$A$48:$H$53,8,FALSE)</f>
        <v>nee</v>
      </c>
      <c r="G21" s="22">
        <f t="shared" si="0"/>
        <v>0</v>
      </c>
      <c r="H21" s="39">
        <f>SUM(Table26[[#This Row],[Bijdrage aan NL-Research Portal beheer]]+Table26[[#This Row],[aanvullende lidmaatschaps-kosten]])</f>
        <v>716</v>
      </c>
      <c r="I21" s="39" t="s">
        <v>752</v>
      </c>
      <c r="J21" s="39" t="s">
        <v>753</v>
      </c>
      <c r="K21" s="39"/>
      <c r="L21" s="39"/>
      <c r="M21" s="39"/>
      <c r="N21" s="39"/>
      <c r="O21" s="49"/>
      <c r="P21" s="22"/>
      <c r="Q21" s="22"/>
      <c r="R21" s="22"/>
    </row>
    <row r="22" spans="1:22" x14ac:dyDescent="0.25">
      <c r="A22" s="15" t="s">
        <v>591</v>
      </c>
      <c r="B22" s="15"/>
      <c r="C22" s="16">
        <v>6115</v>
      </c>
      <c r="D22" s="48">
        <v>3</v>
      </c>
      <c r="E22" s="18">
        <f>ROUND(VLOOKUP(Table26[[#This Row],[Categorie]],$A$48:$H$53,6,FALSE),0)</f>
        <v>716</v>
      </c>
      <c r="F22" s="19" t="str">
        <f>VLOOKUP(Table26[[#This Row],[Categorie]],$A$48:$H$53,8,FALSE)</f>
        <v>nee</v>
      </c>
      <c r="G22" s="22">
        <f t="shared" si="0"/>
        <v>0</v>
      </c>
      <c r="H22" s="39">
        <f>SUM(Table26[[#This Row],[Bijdrage aan NL-Research Portal beheer]]+Table26[[#This Row],[aanvullende lidmaatschaps-kosten]])</f>
        <v>716</v>
      </c>
      <c r="I22" s="39" t="s">
        <v>737</v>
      </c>
      <c r="J22" s="39" t="s">
        <v>736</v>
      </c>
      <c r="K22" s="39"/>
      <c r="L22" s="39"/>
      <c r="M22" s="39"/>
      <c r="N22" s="39"/>
      <c r="O22" s="49"/>
      <c r="P22" s="22"/>
      <c r="Q22" s="22"/>
      <c r="R22" s="22"/>
    </row>
    <row r="23" spans="1:22" x14ac:dyDescent="0.25">
      <c r="A23" s="15" t="s">
        <v>191</v>
      </c>
      <c r="B23" s="15"/>
      <c r="C23" s="16">
        <v>5445</v>
      </c>
      <c r="D23" s="48">
        <v>3</v>
      </c>
      <c r="E23" s="18">
        <f>ROUND(VLOOKUP(Table26[[#This Row],[Categorie]],$A$48:$H$53,6,FALSE),0)</f>
        <v>716</v>
      </c>
      <c r="F23" s="19" t="str">
        <f>VLOOKUP(Table26[[#This Row],[Categorie]],$A$48:$H$53,8,FALSE)</f>
        <v>nee</v>
      </c>
      <c r="G23" s="22">
        <f t="shared" si="0"/>
        <v>0</v>
      </c>
      <c r="H23" s="39">
        <f>SUM(Table26[[#This Row],[Bijdrage aan NL-Research Portal beheer]]+Table26[[#This Row],[aanvullende lidmaatschaps-kosten]])</f>
        <v>716</v>
      </c>
      <c r="I23" s="39" t="s">
        <v>843</v>
      </c>
      <c r="J23" s="39" t="s">
        <v>842</v>
      </c>
      <c r="K23" s="39" t="s">
        <v>830</v>
      </c>
      <c r="L23" s="39" t="s">
        <v>831</v>
      </c>
      <c r="M23" s="39" t="s">
        <v>755</v>
      </c>
      <c r="N23" s="39" t="s">
        <v>754</v>
      </c>
      <c r="O23" s="49"/>
      <c r="P23" s="22"/>
    </row>
    <row r="24" spans="1:22" x14ac:dyDescent="0.25">
      <c r="A24" s="15" t="s">
        <v>636</v>
      </c>
      <c r="B24" s="15" t="s">
        <v>850</v>
      </c>
      <c r="C24" s="17">
        <v>2523</v>
      </c>
      <c r="D24" s="48">
        <v>4</v>
      </c>
      <c r="E24" s="18">
        <f>ROUND(VLOOKUP(Table26[[#This Row],[Categorie]],$A$48:$H$53,6,FALSE),0)</f>
        <v>478</v>
      </c>
      <c r="F24" s="19" t="s">
        <v>634</v>
      </c>
      <c r="G24" s="22">
        <f t="shared" si="0"/>
        <v>1302</v>
      </c>
      <c r="H24" s="39">
        <f>SUM(Table26[[#This Row],[Bijdrage aan NL-Research Portal beheer]]+Table26[[#This Row],[aanvullende lidmaatschaps-kosten]])</f>
        <v>1780</v>
      </c>
      <c r="I24" s="39" t="s">
        <v>738</v>
      </c>
      <c r="J24" s="39" t="s">
        <v>741</v>
      </c>
      <c r="K24" s="39"/>
      <c r="L24" s="39"/>
      <c r="M24" s="39"/>
      <c r="N24" s="39"/>
      <c r="O24" s="49"/>
      <c r="P24" s="22"/>
    </row>
    <row r="25" spans="1:22" x14ac:dyDescent="0.25">
      <c r="A25" s="15" t="s">
        <v>585</v>
      </c>
      <c r="B25" s="15"/>
      <c r="C25" s="16">
        <v>2232</v>
      </c>
      <c r="D25" s="48">
        <v>4</v>
      </c>
      <c r="E25" s="18">
        <f>ROUND(VLOOKUP(Table26[[#This Row],[Categorie]],$A$48:$H$53,6,FALSE),0)</f>
        <v>478</v>
      </c>
      <c r="F25" s="19" t="str">
        <f>VLOOKUP(Table26[[#This Row],[Categorie]],$A$48:$H$53,8,FALSE)</f>
        <v>nee</v>
      </c>
      <c r="G25" s="22">
        <f t="shared" si="0"/>
        <v>0</v>
      </c>
      <c r="H25" s="39">
        <f>SUM(Table26[[#This Row],[Bijdrage aan NL-Research Portal beheer]]+Table26[[#This Row],[aanvullende lidmaatschaps-kosten]])</f>
        <v>478</v>
      </c>
      <c r="I25" s="39" t="s">
        <v>745</v>
      </c>
      <c r="J25" s="39" t="s">
        <v>744</v>
      </c>
      <c r="K25" s="39"/>
      <c r="L25" s="39"/>
      <c r="M25" s="39"/>
      <c r="N25" s="39"/>
      <c r="O25" s="49"/>
      <c r="P25" s="22"/>
    </row>
    <row r="26" spans="1:22" x14ac:dyDescent="0.25">
      <c r="A26" s="15" t="s">
        <v>601</v>
      </c>
      <c r="B26" s="15"/>
      <c r="C26" s="16">
        <v>1686</v>
      </c>
      <c r="D26" s="48">
        <v>4</v>
      </c>
      <c r="E26" s="18">
        <f>ROUND(VLOOKUP(Table26[[#This Row],[Categorie]],$A$48:$H$53,6,FALSE),0)</f>
        <v>478</v>
      </c>
      <c r="F26" s="19" t="str">
        <f>VLOOKUP(Table26[[#This Row],[Categorie]],$A$48:$H$53,8,FALSE)</f>
        <v>nee</v>
      </c>
      <c r="G26" s="22">
        <f t="shared" si="0"/>
        <v>0</v>
      </c>
      <c r="H26" s="39">
        <f>SUM(Table26[[#This Row],[Bijdrage aan NL-Research Portal beheer]]+Table26[[#This Row],[aanvullende lidmaatschaps-kosten]])</f>
        <v>478</v>
      </c>
      <c r="I26" s="39" t="s">
        <v>740</v>
      </c>
      <c r="J26" s="39" t="s">
        <v>739</v>
      </c>
      <c r="K26" s="39"/>
      <c r="L26" s="39"/>
      <c r="M26" s="39"/>
      <c r="N26" s="39"/>
      <c r="O26" s="49"/>
      <c r="P26" s="22"/>
    </row>
    <row r="27" spans="1:22" x14ac:dyDescent="0.25">
      <c r="A27" s="15" t="s">
        <v>597</v>
      </c>
      <c r="B27" s="15"/>
      <c r="C27" s="16">
        <v>1582</v>
      </c>
      <c r="D27" s="48">
        <v>4</v>
      </c>
      <c r="E27" s="18">
        <f>ROUND(VLOOKUP(Table26[[#This Row],[Categorie]],$A$48:$H$53,6,FALSE),0)</f>
        <v>478</v>
      </c>
      <c r="F27" s="19" t="str">
        <f>VLOOKUP(Table26[[#This Row],[Categorie]],$A$48:$H$53,8,FALSE)</f>
        <v>nee</v>
      </c>
      <c r="G27" s="22">
        <f t="shared" si="0"/>
        <v>0</v>
      </c>
      <c r="H27" s="39">
        <f>SUM(Table26[[#This Row],[Bijdrage aan NL-Research Portal beheer]]+Table26[[#This Row],[aanvullende lidmaatschaps-kosten]])</f>
        <v>478</v>
      </c>
      <c r="I27" s="39" t="s">
        <v>743</v>
      </c>
      <c r="J27" s="39" t="s">
        <v>742</v>
      </c>
      <c r="K27" s="39"/>
      <c r="L27" s="39"/>
      <c r="M27" s="39"/>
      <c r="N27" s="39"/>
      <c r="O27" s="49"/>
      <c r="P27" s="22"/>
    </row>
    <row r="28" spans="1:22" x14ac:dyDescent="0.25">
      <c r="A28" s="15" t="s">
        <v>680</v>
      </c>
      <c r="B28" s="15" t="s">
        <v>850</v>
      </c>
      <c r="C28" s="17">
        <v>0</v>
      </c>
      <c r="D28" s="48">
        <v>5</v>
      </c>
      <c r="E28" s="18">
        <f>ROUND(VLOOKUP(Table26[[#This Row],[Categorie]],$A$48:$H$53,6,FALSE),0)</f>
        <v>0</v>
      </c>
      <c r="F28" s="19" t="s">
        <v>634</v>
      </c>
      <c r="G28" s="22">
        <f t="shared" si="0"/>
        <v>1302</v>
      </c>
      <c r="H28" s="39">
        <f>SUM(Table26[[#This Row],[Bijdrage aan NL-Research Portal beheer]]+Table26[[#This Row],[aanvullende lidmaatschaps-kosten]])</f>
        <v>1302</v>
      </c>
      <c r="I28" s="39" t="s">
        <v>747</v>
      </c>
      <c r="J28" s="15" t="s">
        <v>746</v>
      </c>
      <c r="K28" s="15"/>
      <c r="L28" s="15"/>
      <c r="M28" s="15"/>
      <c r="N28" s="15"/>
      <c r="O28" s="49"/>
      <c r="P28" s="22"/>
    </row>
    <row r="29" spans="1:22" x14ac:dyDescent="0.25">
      <c r="A29" s="15" t="s">
        <v>686</v>
      </c>
      <c r="B29" s="15"/>
      <c r="C29" s="17">
        <v>288</v>
      </c>
      <c r="D29" s="48">
        <v>1</v>
      </c>
      <c r="E29" s="18">
        <f>ROUND(VLOOKUP(Table26[[#This Row],[Categorie]],$A$48:$H$53,6,FALSE),0)</f>
        <v>1612</v>
      </c>
      <c r="F29" s="19" t="str">
        <f>VLOOKUP(Table26[[#This Row],[Categorie]],$A$48:$H$53,8,FALSE)</f>
        <v>ja</v>
      </c>
      <c r="G29" s="22">
        <f t="shared" si="0"/>
        <v>1302</v>
      </c>
      <c r="H29" s="39">
        <f>SUM(Table26[[#This Row],[Bijdrage aan NL-Research Portal beheer]]+Table26[[#This Row],[aanvullende lidmaatschaps-kosten]])</f>
        <v>2914</v>
      </c>
      <c r="I29" s="39" t="s">
        <v>832</v>
      </c>
      <c r="J29" s="39" t="s">
        <v>833</v>
      </c>
      <c r="K29" s="39" t="s">
        <v>834</v>
      </c>
      <c r="L29" s="39" t="s">
        <v>835</v>
      </c>
      <c r="M29" s="39" t="s">
        <v>781</v>
      </c>
      <c r="N29" s="39" t="s">
        <v>780</v>
      </c>
      <c r="O29" s="49" t="s">
        <v>634</v>
      </c>
      <c r="P29" s="22"/>
    </row>
    <row r="30" spans="1:22" x14ac:dyDescent="0.25">
      <c r="A30" s="15"/>
      <c r="B30" s="15"/>
      <c r="C30" s="17"/>
      <c r="D30" s="48"/>
      <c r="E30" s="20"/>
      <c r="F30" s="19"/>
      <c r="G30" s="22"/>
      <c r="H30" s="39"/>
      <c r="I30" s="39"/>
      <c r="J30" s="39"/>
      <c r="K30" s="39"/>
      <c r="L30" s="39"/>
      <c r="M30" s="39"/>
      <c r="N30" s="39"/>
      <c r="O30" s="49"/>
      <c r="P30" s="22"/>
    </row>
    <row r="31" spans="1:22" x14ac:dyDescent="0.25">
      <c r="A31" s="15">
        <f>SUBTOTAL(103,Table26[NL-Research Portal Consortium deelnemers])</f>
        <v>25</v>
      </c>
      <c r="B31" s="15"/>
      <c r="C31" s="21">
        <f>SUBTOTAL(109,Table26[Research Output 2020-2023])</f>
        <v>597537</v>
      </c>
      <c r="D31" s="15"/>
      <c r="E31" s="22">
        <f>SUBTOTAL(109,Table26[Bijdrage aan NL-Research Portal beheer])</f>
        <v>26802</v>
      </c>
      <c r="F31" s="15">
        <f>COUNTIF(Table26[OpenAIRE lidmaatschap],"ja")</f>
        <v>18</v>
      </c>
      <c r="G31" s="22">
        <f>SUBTOTAL(109,Table26[aanvullende lidmaatschaps-kosten])</f>
        <v>23436</v>
      </c>
      <c r="H31" s="39">
        <f>SUBTOTAL(109,Table26[Totaal per instelling])</f>
        <v>50238</v>
      </c>
      <c r="I31" s="39"/>
      <c r="J31" s="39"/>
      <c r="K31" s="39"/>
      <c r="L31" s="39"/>
      <c r="M31" s="39"/>
      <c r="N31" s="39"/>
      <c r="O31" s="49"/>
      <c r="P31" s="22"/>
    </row>
    <row r="32" spans="1:22" x14ac:dyDescent="0.25">
      <c r="A32" s="50" t="s">
        <v>853</v>
      </c>
      <c r="B32" s="21"/>
      <c r="C32" s="15"/>
      <c r="D32" s="22"/>
      <c r="E32" s="15"/>
      <c r="F32" s="22"/>
      <c r="G32" s="39"/>
      <c r="I32" s="22"/>
    </row>
    <row r="33" spans="1:13" x14ac:dyDescent="0.25">
      <c r="A33" s="15"/>
      <c r="B33" s="21"/>
      <c r="C33" s="15"/>
      <c r="D33" s="22"/>
      <c r="E33" s="15"/>
      <c r="F33" s="15"/>
      <c r="G33" s="15"/>
    </row>
    <row r="34" spans="1:13" x14ac:dyDescent="0.25">
      <c r="A34" s="41" t="s">
        <v>695</v>
      </c>
      <c r="B34" s="41" t="s">
        <v>688</v>
      </c>
      <c r="C34" s="41" t="s">
        <v>663</v>
      </c>
      <c r="D34" s="41" t="s">
        <v>664</v>
      </c>
      <c r="E34" s="15"/>
      <c r="F34" s="15"/>
      <c r="G34" s="15"/>
    </row>
    <row r="35" spans="1:13" ht="84.75" x14ac:dyDescent="0.25">
      <c r="A35" s="42" t="s">
        <v>708</v>
      </c>
      <c r="B35" s="43">
        <f>1500*1.24</f>
        <v>1860</v>
      </c>
      <c r="C35" s="44">
        <f>Table26[[#Totals],[OpenAIRE lidmaatschap]]</f>
        <v>18</v>
      </c>
      <c r="D35" s="43">
        <f>B35*C35</f>
        <v>33480</v>
      </c>
      <c r="E35" s="15"/>
      <c r="F35" s="15"/>
      <c r="G35" s="15"/>
      <c r="J35" t="s">
        <v>729</v>
      </c>
    </row>
    <row r="36" spans="1:13" ht="36.75" x14ac:dyDescent="0.25">
      <c r="A36" s="42" t="s">
        <v>692</v>
      </c>
      <c r="B36" s="43">
        <f>B35*-0.3</f>
        <v>-558</v>
      </c>
      <c r="C36" s="44">
        <f>Table26[[#Totals],[OpenAIRE lidmaatschap]]</f>
        <v>18</v>
      </c>
      <c r="D36" s="43">
        <f>B36*C36</f>
        <v>-10044</v>
      </c>
      <c r="E36" s="15"/>
      <c r="F36" s="15"/>
      <c r="G36" s="15"/>
      <c r="J36" t="s">
        <v>730</v>
      </c>
    </row>
    <row r="37" spans="1:13" x14ac:dyDescent="0.25">
      <c r="A37" s="42" t="s">
        <v>666</v>
      </c>
      <c r="B37" s="46">
        <f>SUBTOTAL(109,Table8[jaarlijks bedrag])</f>
        <v>1302</v>
      </c>
      <c r="C37" s="45"/>
      <c r="D37" s="46">
        <f>SUBTOTAL(109,Table8[totaal])</f>
        <v>23436</v>
      </c>
      <c r="E37" s="15"/>
      <c r="F37" s="15"/>
      <c r="G37" s="15"/>
      <c r="J37" t="s">
        <v>731</v>
      </c>
    </row>
    <row r="38" spans="1:13" x14ac:dyDescent="0.25">
      <c r="A38" s="14"/>
      <c r="B38" s="15"/>
      <c r="C38" s="15"/>
      <c r="D38" s="22"/>
      <c r="E38" s="15"/>
      <c r="F38" s="15"/>
      <c r="G38" s="15"/>
      <c r="J38" t="s">
        <v>732</v>
      </c>
    </row>
    <row r="39" spans="1:13" x14ac:dyDescent="0.25">
      <c r="A39" s="15" t="s">
        <v>696</v>
      </c>
      <c r="B39" s="15" t="s">
        <v>688</v>
      </c>
      <c r="C39" s="15" t="s">
        <v>663</v>
      </c>
      <c r="D39" s="15" t="s">
        <v>664</v>
      </c>
      <c r="E39" s="15"/>
      <c r="F39" s="15"/>
      <c r="G39" s="15"/>
    </row>
    <row r="40" spans="1:13" ht="27" customHeight="1" x14ac:dyDescent="0.25">
      <c r="A40" s="14" t="s">
        <v>689</v>
      </c>
      <c r="B40" s="23">
        <f>10000*1.24</f>
        <v>12400</v>
      </c>
      <c r="C40" s="24">
        <v>1</v>
      </c>
      <c r="D40" s="23">
        <f t="shared" ref="D40" si="1">B40*C40</f>
        <v>12400</v>
      </c>
      <c r="E40" s="15"/>
      <c r="F40" s="15"/>
      <c r="G40" s="15"/>
    </row>
    <row r="41" spans="1:13" ht="39.75" customHeight="1" x14ac:dyDescent="0.25">
      <c r="A41" s="47" t="s">
        <v>693</v>
      </c>
      <c r="B41" s="23">
        <f>B40*-0.3</f>
        <v>-3720</v>
      </c>
      <c r="C41" s="24">
        <v>1</v>
      </c>
      <c r="D41" s="23">
        <f>B41*C41</f>
        <v>-3720</v>
      </c>
      <c r="E41" s="22">
        <f>SUM(D40:D41)</f>
        <v>8680</v>
      </c>
      <c r="F41" s="15"/>
      <c r="G41" s="15"/>
    </row>
    <row r="42" spans="1:13" ht="60.75" x14ac:dyDescent="0.25">
      <c r="A42" s="14" t="s">
        <v>694</v>
      </c>
      <c r="B42" s="23">
        <f>B41*-1</f>
        <v>3720</v>
      </c>
      <c r="C42" s="24">
        <v>1</v>
      </c>
      <c r="D42" s="23">
        <f t="shared" ref="D42:D43" si="2">B42*C42</f>
        <v>3720</v>
      </c>
      <c r="E42" s="15"/>
      <c r="F42" s="15"/>
      <c r="G42" s="15"/>
    </row>
    <row r="43" spans="1:13" ht="72.75" x14ac:dyDescent="0.25">
      <c r="A43" s="14" t="s">
        <v>690</v>
      </c>
      <c r="B43" s="23">
        <f>4*48*75</f>
        <v>14400</v>
      </c>
      <c r="C43" s="24">
        <v>1</v>
      </c>
      <c r="D43" s="23">
        <f t="shared" si="2"/>
        <v>14400</v>
      </c>
      <c r="E43" s="15"/>
      <c r="F43" s="15"/>
      <c r="G43" s="15"/>
    </row>
    <row r="44" spans="1:13" x14ac:dyDescent="0.25">
      <c r="A44" s="15" t="s">
        <v>666</v>
      </c>
      <c r="B44" s="15"/>
      <c r="C44" s="15"/>
      <c r="D44" s="22">
        <f>SUM(D40:D43)</f>
        <v>26800</v>
      </c>
      <c r="E44" s="15"/>
      <c r="F44" s="15"/>
      <c r="G44" s="15"/>
    </row>
    <row r="45" spans="1:13" x14ac:dyDescent="0.25">
      <c r="A45" s="15"/>
      <c r="B45" s="21"/>
      <c r="C45" s="15"/>
      <c r="D45" s="25"/>
      <c r="E45" s="26"/>
      <c r="F45" s="15"/>
      <c r="G45" s="15"/>
    </row>
    <row r="46" spans="1:13" x14ac:dyDescent="0.25">
      <c r="A46" s="27" t="s">
        <v>665</v>
      </c>
      <c r="B46" s="27"/>
      <c r="C46" s="28" t="s">
        <v>667</v>
      </c>
      <c r="D46" s="29">
        <v>0.5</v>
      </c>
      <c r="E46" s="30"/>
      <c r="F46" s="31"/>
      <c r="G46" s="15"/>
    </row>
    <row r="47" spans="1:13" x14ac:dyDescent="0.25">
      <c r="A47" s="15"/>
      <c r="B47" s="15"/>
      <c r="C47" s="32"/>
      <c r="D47" s="31"/>
      <c r="E47" s="15"/>
      <c r="F47" s="15"/>
      <c r="G47" s="15"/>
      <c r="H47" s="7"/>
      <c r="I47" s="7"/>
      <c r="J47" s="7"/>
      <c r="K47" s="7"/>
      <c r="L47" s="7"/>
    </row>
    <row r="48" spans="1:13" x14ac:dyDescent="0.25">
      <c r="A48" s="33" t="s">
        <v>687</v>
      </c>
      <c r="B48" s="34" t="s">
        <v>691</v>
      </c>
      <c r="C48" s="34" t="s">
        <v>699</v>
      </c>
      <c r="D48" s="34" t="s">
        <v>628</v>
      </c>
      <c r="E48" s="34" t="s">
        <v>705</v>
      </c>
      <c r="F48" s="34" t="s">
        <v>624</v>
      </c>
      <c r="G48" s="34" t="s">
        <v>709</v>
      </c>
      <c r="H48" s="34" t="s">
        <v>706</v>
      </c>
      <c r="I48" s="34" t="s">
        <v>711</v>
      </c>
      <c r="J48" s="34" t="s">
        <v>707</v>
      </c>
      <c r="K48" s="34" t="s">
        <v>710</v>
      </c>
      <c r="L48" s="34" t="s">
        <v>712</v>
      </c>
      <c r="M48" s="8"/>
    </row>
    <row r="49" spans="1:13" x14ac:dyDescent="0.25">
      <c r="A49" s="35">
        <v>1</v>
      </c>
      <c r="B49" s="35" t="s">
        <v>618</v>
      </c>
      <c r="C49" s="35" t="s">
        <v>700</v>
      </c>
      <c r="D49" s="15">
        <f>COUNTIF(Table26[Categorie],Table48[[#This Row],[Categorie]])</f>
        <v>9</v>
      </c>
      <c r="E49" s="15">
        <f>(1+($D$46))^3*D49</f>
        <v>30.375</v>
      </c>
      <c r="F49" s="22">
        <f>$D$44/$E$54*E49/D49</f>
        <v>1611.5812917594656</v>
      </c>
      <c r="G49" s="22">
        <f>D49*F49</f>
        <v>14504.231625835189</v>
      </c>
      <c r="H49" s="15" t="s">
        <v>634</v>
      </c>
      <c r="I49" s="15">
        <f>COUNTIFS(Table26[Categorie],Table48[[#This Row],[Categorie]],Table26[OpenAIRE lidmaatschap],"ja")</f>
        <v>9</v>
      </c>
      <c r="J49" s="39">
        <f>Table8[[#Totals],[jaarlijks bedrag]]</f>
        <v>1302</v>
      </c>
      <c r="K49" s="39">
        <f>Table48[[#This Row],[aantal leden in categorie]]*Table48[[#This Row],[kosten per lidmaatschap]]</f>
        <v>11718</v>
      </c>
      <c r="L49" s="39">
        <f>Table48[[#This Row],[totaal voor lidmaatschap]]+Table48[[#This Row],[Totaal voor beheer]]</f>
        <v>26222.231625835189</v>
      </c>
      <c r="M49" s="8"/>
    </row>
    <row r="50" spans="1:13" x14ac:dyDescent="0.25">
      <c r="A50" s="35">
        <v>2</v>
      </c>
      <c r="B50" s="35" t="s">
        <v>619</v>
      </c>
      <c r="C50" s="35" t="s">
        <v>701</v>
      </c>
      <c r="D50" s="15">
        <f>COUNTIF(Table26[Categorie],Table48[[#This Row],[Categorie]])</f>
        <v>7</v>
      </c>
      <c r="E50" s="15">
        <f>(1+($D$46))^2*D50</f>
        <v>15.75</v>
      </c>
      <c r="F50" s="22">
        <f>$D$44/$E$54*E50/D50</f>
        <v>1074.3875278396438</v>
      </c>
      <c r="G50" s="22">
        <f>D50*F50</f>
        <v>7520.7126948775067</v>
      </c>
      <c r="H50" s="15" t="s">
        <v>634</v>
      </c>
      <c r="I50" s="15">
        <f>COUNTIFS(Table26[Categorie],Table48[[#This Row],[Categorie]],Table26[OpenAIRE lidmaatschap],"ja")</f>
        <v>7</v>
      </c>
      <c r="J50" s="39">
        <f>Table8[[#Totals],[jaarlijks bedrag]]</f>
        <v>1302</v>
      </c>
      <c r="K50" s="39">
        <f>Table48[[#This Row],[aantal leden in categorie]]*Table48[[#This Row],[kosten per lidmaatschap]]</f>
        <v>9114</v>
      </c>
      <c r="L50" s="39">
        <f>Table48[[#This Row],[totaal voor lidmaatschap]]+Table48[[#This Row],[Totaal voor beheer]]</f>
        <v>16634.712694877508</v>
      </c>
      <c r="M50" s="8"/>
    </row>
    <row r="51" spans="1:13" x14ac:dyDescent="0.25">
      <c r="A51" s="35">
        <v>3</v>
      </c>
      <c r="B51" s="35" t="s">
        <v>620</v>
      </c>
      <c r="C51" s="35" t="s">
        <v>702</v>
      </c>
      <c r="D51" s="15">
        <f>COUNTIF(Table26[Categorie],Table48[[#This Row],[Categorie]])</f>
        <v>4</v>
      </c>
      <c r="E51" s="15">
        <f>(1+($D$46))^1*D51</f>
        <v>6</v>
      </c>
      <c r="F51" s="22">
        <f>$D$44/$E$54*E51/D51</f>
        <v>716.25835189309578</v>
      </c>
      <c r="G51" s="22">
        <f>D51*F51</f>
        <v>2865.0334075723831</v>
      </c>
      <c r="H51" s="15" t="s">
        <v>635</v>
      </c>
      <c r="I51" s="15">
        <f>COUNTIFS(Table26[Categorie],Table48[[#This Row],[Categorie]],Table26[OpenAIRE lidmaatschap],"ja")</f>
        <v>0</v>
      </c>
      <c r="J51" s="39">
        <f>Table8[[#Totals],[jaarlijks bedrag]]</f>
        <v>1302</v>
      </c>
      <c r="K51" s="39">
        <f>Table48[[#This Row],[aantal leden in categorie]]*Table48[[#This Row],[kosten per lidmaatschap]]</f>
        <v>0</v>
      </c>
      <c r="L51" s="39">
        <f>Table48[[#This Row],[totaal voor lidmaatschap]]+Table48[[#This Row],[Totaal voor beheer]]</f>
        <v>2865.0334075723831</v>
      </c>
      <c r="M51" s="8"/>
    </row>
    <row r="52" spans="1:13" x14ac:dyDescent="0.25">
      <c r="A52" s="35">
        <v>4</v>
      </c>
      <c r="B52" s="35" t="s">
        <v>621</v>
      </c>
      <c r="C52" s="35" t="s">
        <v>703</v>
      </c>
      <c r="D52" s="15">
        <f>COUNTIF(Table26[Categorie],Table48[[#This Row],[Categorie]])</f>
        <v>4</v>
      </c>
      <c r="E52" s="15">
        <f>(1+($D$46))^0*D52</f>
        <v>4</v>
      </c>
      <c r="F52" s="22">
        <f>$D$44/$E$54*E52/D52</f>
        <v>477.5055679287305</v>
      </c>
      <c r="G52" s="22">
        <f>D52*F52</f>
        <v>1910.022271714922</v>
      </c>
      <c r="H52" s="15" t="s">
        <v>635</v>
      </c>
      <c r="I52" s="15">
        <f>COUNTIFS(Table26[Categorie],Table48[[#This Row],[Categorie]],Table26[OpenAIRE lidmaatschap],"ja")</f>
        <v>1</v>
      </c>
      <c r="J52" s="39">
        <f>Table8[[#Totals],[jaarlijks bedrag]]</f>
        <v>1302</v>
      </c>
      <c r="K52" s="39">
        <f>Table48[[#This Row],[aantal leden in categorie]]*Table48[[#This Row],[kosten per lidmaatschap]]</f>
        <v>1302</v>
      </c>
      <c r="L52" s="39">
        <f>Table48[[#This Row],[totaal voor lidmaatschap]]+Table48[[#This Row],[Totaal voor beheer]]</f>
        <v>3212.0222717149218</v>
      </c>
    </row>
    <row r="53" spans="1:13" x14ac:dyDescent="0.25">
      <c r="A53" s="35">
        <v>5</v>
      </c>
      <c r="B53" s="35" t="s">
        <v>622</v>
      </c>
      <c r="C53" s="35" t="s">
        <v>704</v>
      </c>
      <c r="D53" s="15">
        <v>65</v>
      </c>
      <c r="E53" s="15">
        <v>0</v>
      </c>
      <c r="F53" s="23">
        <v>0</v>
      </c>
      <c r="G53" s="22">
        <f>D53*F53</f>
        <v>0</v>
      </c>
      <c r="H53" s="15" t="s">
        <v>635</v>
      </c>
      <c r="I53" s="15">
        <f>COUNTIFS(Table26[Categorie],Table48[[#This Row],[Categorie]],Table26[OpenAIRE lidmaatschap],"ja")</f>
        <v>1</v>
      </c>
      <c r="J53" s="39">
        <f>Table8[[#Totals],[jaarlijks bedrag]]</f>
        <v>1302</v>
      </c>
      <c r="K53" s="39">
        <f>Table48[[#This Row],[aantal leden in categorie]]*Table48[[#This Row],[kosten per lidmaatschap]]</f>
        <v>1302</v>
      </c>
      <c r="L53" s="39">
        <f>Table48[[#This Row],[totaal voor lidmaatschap]]+Table48[[#This Row],[Totaal voor beheer]]</f>
        <v>1302</v>
      </c>
    </row>
    <row r="54" spans="1:13" x14ac:dyDescent="0.25">
      <c r="A54" s="35" t="s">
        <v>666</v>
      </c>
      <c r="B54" s="15"/>
      <c r="C54" s="15"/>
      <c r="D54" s="15">
        <f>SUM(D49:D52)</f>
        <v>24</v>
      </c>
      <c r="E54" s="15">
        <f>SUBTOTAL(109,Table48[Reken Factor])</f>
        <v>56.125</v>
      </c>
      <c r="F54" s="15"/>
      <c r="G54" s="22">
        <f>SUBTOTAL(109,Table48[Totaal voor beheer])</f>
        <v>26800.000000000004</v>
      </c>
      <c r="H54" s="15"/>
      <c r="I54" s="15"/>
      <c r="J54" s="39"/>
      <c r="K54" s="39">
        <f>SUBTOTAL(109,Table48[totaal voor lidmaatschap])</f>
        <v>23436</v>
      </c>
      <c r="L54" s="39">
        <f>SUBTOTAL(109,Table48[Totaal per categorie])</f>
        <v>50236</v>
      </c>
    </row>
    <row r="56" spans="1:13" x14ac:dyDescent="0.25">
      <c r="F56" s="6"/>
    </row>
    <row r="57" spans="1:13" x14ac:dyDescent="0.25">
      <c r="F57" s="6"/>
    </row>
    <row r="58" spans="1:13" x14ac:dyDescent="0.25">
      <c r="F58" s="6"/>
    </row>
    <row r="59" spans="1:13" x14ac:dyDescent="0.25">
      <c r="F59" s="6"/>
    </row>
    <row r="60" spans="1:13" x14ac:dyDescent="0.25">
      <c r="F60" s="6"/>
    </row>
    <row r="61" spans="1:13" x14ac:dyDescent="0.25">
      <c r="F61" s="6"/>
    </row>
  </sheetData>
  <conditionalFormatting sqref="D35:D44">
    <cfRule type="cellIs" dxfId="39" priority="10" operator="lessThan">
      <formula>0</formula>
    </cfRule>
  </conditionalFormatting>
  <conditionalFormatting sqref="M7">
    <cfRule type="duplicateValues" dxfId="38" priority="2"/>
  </conditionalFormatting>
  <conditionalFormatting sqref="O5:O31">
    <cfRule type="containsText" dxfId="37" priority="9" operator="containsText" text="ja">
      <formula>NOT(ISERROR(SEARCH("ja",O5)))</formula>
    </cfRule>
  </conditionalFormatting>
  <conditionalFormatting sqref="N7">
    <cfRule type="duplicateValues" dxfId="36" priority="57"/>
  </conditionalFormatting>
  <conditionalFormatting sqref="N9">
    <cfRule type="duplicateValues" dxfId="35" priority="58"/>
  </conditionalFormatting>
  <conditionalFormatting sqref="N12">
    <cfRule type="duplicateValues" dxfId="34" priority="59"/>
  </conditionalFormatting>
  <conditionalFormatting sqref="N13">
    <cfRule type="duplicateValues" dxfId="33" priority="60"/>
  </conditionalFormatting>
  <conditionalFormatting sqref="N14">
    <cfRule type="duplicateValues" dxfId="32" priority="61"/>
  </conditionalFormatting>
  <conditionalFormatting sqref="J11:L11">
    <cfRule type="duplicateValues" dxfId="31" priority="62"/>
  </conditionalFormatting>
  <pageMargins left="0.7" right="0.7" top="0.75" bottom="0.75" header="0.3" footer="0.3"/>
  <pageSetup paperSize="9" orientation="portrait" r:id="rId1"/>
  <ignoredErrors>
    <ignoredError sqref="E28:E29 E5:E27" calculatedColumn="1"/>
  </ignoredErrors>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AF6AB-1F63-417F-ADBC-0F5FDA82FE38}">
  <dimension ref="A1:O27"/>
  <sheetViews>
    <sheetView tabSelected="1" workbookViewId="0">
      <selection activeCell="D33" sqref="D33"/>
    </sheetView>
  </sheetViews>
  <sheetFormatPr defaultRowHeight="15" x14ac:dyDescent="0.25"/>
  <cols>
    <col min="1" max="1" width="39.5703125" customWidth="1"/>
    <col min="2" max="2" width="3.140625" customWidth="1"/>
    <col min="3" max="3" width="11.42578125" customWidth="1"/>
    <col min="4" max="4" width="12" bestFit="1" customWidth="1"/>
    <col min="5" max="6" width="8.42578125" customWidth="1"/>
    <col min="7" max="7" width="10.140625" customWidth="1"/>
    <col min="8" max="8" width="8.7109375" customWidth="1"/>
    <col min="9" max="9" width="22.5703125" customWidth="1"/>
    <col min="10" max="10" width="22.140625" customWidth="1"/>
    <col min="11" max="11" width="23" customWidth="1"/>
    <col min="12" max="12" width="25.42578125" customWidth="1"/>
    <col min="13" max="13" width="25.28515625" customWidth="1"/>
    <col min="14" max="14" width="14.28515625" customWidth="1"/>
    <col min="15" max="15" width="13.42578125" customWidth="1"/>
  </cols>
  <sheetData>
    <row r="1" spans="1:15" x14ac:dyDescent="0.25">
      <c r="A1" t="s">
        <v>844</v>
      </c>
      <c r="B1" t="s">
        <v>851</v>
      </c>
      <c r="C1" t="s">
        <v>663</v>
      </c>
      <c r="D1" t="s">
        <v>845</v>
      </c>
      <c r="E1" t="s">
        <v>848</v>
      </c>
      <c r="F1" t="s">
        <v>698</v>
      </c>
      <c r="G1" t="s">
        <v>854</v>
      </c>
      <c r="H1" t="s">
        <v>662</v>
      </c>
      <c r="I1" t="s">
        <v>734</v>
      </c>
      <c r="J1" t="s">
        <v>735</v>
      </c>
      <c r="K1" t="s">
        <v>784</v>
      </c>
      <c r="L1" t="s">
        <v>817</v>
      </c>
      <c r="M1" t="s">
        <v>782</v>
      </c>
      <c r="N1" t="s">
        <v>783</v>
      </c>
      <c r="O1" t="s">
        <v>855</v>
      </c>
    </row>
    <row r="2" spans="1:15" x14ac:dyDescent="0.25">
      <c r="A2" t="str">
        <f>IF(ISBLANK(Kostenverdeelmodel!A5),"",Kostenverdeelmodel!A5)</f>
        <v>Utrecht University</v>
      </c>
      <c r="B2" t="str">
        <f>IF(ISBLANK(Kostenverdeelmodel!B5),"",Kostenverdeelmodel!B5)</f>
        <v/>
      </c>
      <c r="C2" s="9">
        <f>Kostenverdeelmodel!C5</f>
        <v>68465</v>
      </c>
      <c r="D2">
        <f>Kostenverdeelmodel!D5</f>
        <v>1</v>
      </c>
      <c r="E2" s="55">
        <f>Kostenverdeelmodel!E5</f>
        <v>1612</v>
      </c>
      <c r="F2" t="str">
        <f>Kostenverdeelmodel!F5</f>
        <v>ja</v>
      </c>
      <c r="G2" s="55">
        <f>Kostenverdeelmodel!G5</f>
        <v>1302</v>
      </c>
      <c r="H2" s="55">
        <f>Kostenverdeelmodel!H5</f>
        <v>2914</v>
      </c>
      <c r="I2" t="str">
        <f>IF(ISBLANK(Kostenverdeelmodel!I5),"",Kostenverdeelmodel!I5)</f>
        <v>Wenneke Meerstadt</v>
      </c>
      <c r="J2" t="str">
        <f>IF(ISBLANK(Kostenverdeelmodel!J5),"",Kostenverdeelmodel!J5)</f>
        <v>w.p.meerstadt@uu.nl</v>
      </c>
      <c r="K2" t="str">
        <f>IF(ISBLANK(Kostenverdeelmodel!K5),"",Kostenverdeelmodel!K5)</f>
        <v>Matthijs van Otegem</v>
      </c>
      <c r="L2" t="str">
        <f>IF(ISBLANK(Kostenverdeelmodel!L5),"",Kostenverdeelmodel!L5)</f>
        <v>m.vanotegem@uu.nl</v>
      </c>
      <c r="M2" t="str">
        <f>IF(ISBLANK(Kostenverdeelmodel!M5),"",Kostenverdeelmodel!M5)</f>
        <v>Paul Boselie</v>
      </c>
      <c r="N2" t="str">
        <f>IF(ISBLANK(Kostenverdeelmodel!N5),"",Kostenverdeelmodel!N5)</f>
        <v>p.boselie@uu.nl</v>
      </c>
      <c r="O2" t="str">
        <f>IF(ISBLANK(Kostenverdeelmodel!O5),"",Kostenverdeelmodel!O5)</f>
        <v/>
      </c>
    </row>
    <row r="3" spans="1:15" x14ac:dyDescent="0.25">
      <c r="A3" t="str">
        <f>IF(ISBLANK(Kostenverdeelmodel!A6),"",Kostenverdeelmodel!A6)</f>
        <v>University of Amsterdam</v>
      </c>
      <c r="B3" t="str">
        <f>IF(ISBLANK(Kostenverdeelmodel!B6),"",Kostenverdeelmodel!B6)</f>
        <v/>
      </c>
      <c r="C3" s="9">
        <f>Kostenverdeelmodel!C6</f>
        <v>60257</v>
      </c>
      <c r="D3">
        <f>Kostenverdeelmodel!D6</f>
        <v>1</v>
      </c>
      <c r="E3" s="55">
        <f>Kostenverdeelmodel!E6</f>
        <v>1612</v>
      </c>
      <c r="F3" t="str">
        <f>Kostenverdeelmodel!F6</f>
        <v>ja</v>
      </c>
      <c r="G3" s="55">
        <f>Kostenverdeelmodel!G6</f>
        <v>1302</v>
      </c>
      <c r="H3" s="55">
        <f>Kostenverdeelmodel!H6</f>
        <v>2914</v>
      </c>
      <c r="I3" t="str">
        <f>IF(ISBLANK(Kostenverdeelmodel!I6),"",Kostenverdeelmodel!I6)</f>
        <v>Charmian Fokkens</v>
      </c>
      <c r="J3" t="str">
        <f>IF(ISBLANK(Kostenverdeelmodel!J6),"",Kostenverdeelmodel!J6)</f>
        <v>c.v.fokkens@uva.nl</v>
      </c>
      <c r="K3" t="str">
        <f>IF(ISBLANK(Kostenverdeelmodel!K6),"",Kostenverdeelmodel!K6)</f>
        <v>Carlos Reijnen</v>
      </c>
      <c r="L3" t="str">
        <f>IF(ISBLANK(Kostenverdeelmodel!L6),"",Kostenverdeelmodel!L6)</f>
        <v>c.w.c.reijnen@uva.nl</v>
      </c>
      <c r="M3" t="str">
        <f>IF(ISBLANK(Kostenverdeelmodel!M6),"",Kostenverdeelmodel!M6)</f>
        <v>Frans Oort</v>
      </c>
      <c r="N3" t="str">
        <f>IF(ISBLANK(Kostenverdeelmodel!N6),"",Kostenverdeelmodel!N6)</f>
        <v>f.j.oort@uva.nl</v>
      </c>
      <c r="O3" t="str">
        <f>IF(ISBLANK(Kostenverdeelmodel!O6),"",Kostenverdeelmodel!O6)</f>
        <v/>
      </c>
    </row>
    <row r="4" spans="1:15" x14ac:dyDescent="0.25">
      <c r="A4" t="str">
        <f>IF(ISBLANK(Kostenverdeelmodel!A7),"",Kostenverdeelmodel!A7)</f>
        <v>University of Groningen</v>
      </c>
      <c r="B4" t="str">
        <f>IF(ISBLANK(Kostenverdeelmodel!B7),"",Kostenverdeelmodel!B7)</f>
        <v/>
      </c>
      <c r="C4" s="9">
        <f>Kostenverdeelmodel!C7</f>
        <v>56275</v>
      </c>
      <c r="D4">
        <f>Kostenverdeelmodel!D7</f>
        <v>1</v>
      </c>
      <c r="E4" s="55">
        <f>Kostenverdeelmodel!E7</f>
        <v>1612</v>
      </c>
      <c r="F4" t="str">
        <f>Kostenverdeelmodel!F7</f>
        <v>ja</v>
      </c>
      <c r="G4" s="55">
        <f>Kostenverdeelmodel!G7</f>
        <v>1302</v>
      </c>
      <c r="H4" s="55">
        <f>Kostenverdeelmodel!H7</f>
        <v>2914</v>
      </c>
      <c r="I4" t="str">
        <f>IF(ISBLANK(Kostenverdeelmodel!I7),"",Kostenverdeelmodel!I7)</f>
        <v>Ane van der Leij</v>
      </c>
      <c r="J4" t="str">
        <f>IF(ISBLANK(Kostenverdeelmodel!J7),"",Kostenverdeelmodel!J7)</f>
        <v>a.w.van.der.leij@rug.nl</v>
      </c>
      <c r="K4" t="str">
        <f>IF(ISBLANK(Kostenverdeelmodel!K7),"",Kostenverdeelmodel!K7)</f>
        <v>Marjolein Nieboer</v>
      </c>
      <c r="L4" t="str">
        <f>IF(ISBLANK(Kostenverdeelmodel!L7),"",Kostenverdeelmodel!L7)</f>
        <v>secretariaat-bibliotheek@rug.nl</v>
      </c>
      <c r="M4" t="str">
        <f>IF(ISBLANK(Kostenverdeelmodel!M7),"",Kostenverdeelmodel!M7)</f>
        <v>Ana Ranitovic</v>
      </c>
      <c r="N4" t="str">
        <f>IF(ISBLANK(Kostenverdeelmodel!N7),"",Kostenverdeelmodel!N7)</f>
        <v>A.Ranitovic@rug.nl</v>
      </c>
      <c r="O4" t="str">
        <f>IF(ISBLANK(Kostenverdeelmodel!O7),"",Kostenverdeelmodel!O7)</f>
        <v/>
      </c>
    </row>
    <row r="5" spans="1:15" x14ac:dyDescent="0.25">
      <c r="A5" t="str">
        <f>IF(ISBLANK(Kostenverdeelmodel!A8),"",Kostenverdeelmodel!A8)</f>
        <v>Leiden University</v>
      </c>
      <c r="B5" t="str">
        <f>IF(ISBLANK(Kostenverdeelmodel!B8),"",Kostenverdeelmodel!B8)</f>
        <v/>
      </c>
      <c r="C5" s="9">
        <f>Kostenverdeelmodel!C8</f>
        <v>47078</v>
      </c>
      <c r="D5">
        <f>Kostenverdeelmodel!D8</f>
        <v>1</v>
      </c>
      <c r="E5" s="55">
        <f>Kostenverdeelmodel!E8</f>
        <v>1612</v>
      </c>
      <c r="F5" t="str">
        <f>Kostenverdeelmodel!F8</f>
        <v>ja</v>
      </c>
      <c r="G5" s="55">
        <f>Kostenverdeelmodel!G8</f>
        <v>1302</v>
      </c>
      <c r="H5" s="55">
        <f>Kostenverdeelmodel!H8</f>
        <v>2914</v>
      </c>
      <c r="I5" t="str">
        <f>IF(ISBLANK(Kostenverdeelmodel!I8),"",Kostenverdeelmodel!I8)</f>
        <v>Alenka Princic</v>
      </c>
      <c r="J5" t="str">
        <f>IF(ISBLANK(Kostenverdeelmodel!J8),"",Kostenverdeelmodel!J8)</f>
        <v>A.Princic@library.leidenuniv.nl</v>
      </c>
      <c r="K5" t="str">
        <f>IF(ISBLANK(Kostenverdeelmodel!K8),"",Kostenverdeelmodel!K8)</f>
        <v>Kurt de Belder</v>
      </c>
      <c r="L5" t="str">
        <f>IF(ISBLANK(Kostenverdeelmodel!L8),"",Kostenverdeelmodel!L8)</f>
        <v>k.f.k.de.belder@library.leidenuniv.nl</v>
      </c>
      <c r="M5" t="str">
        <f>IF(ISBLANK(Kostenverdeelmodel!M8),"",Kostenverdeelmodel!M8)</f>
        <v>Karlijn Hermans</v>
      </c>
      <c r="N5" t="str">
        <f>IF(ISBLANK(Kostenverdeelmodel!N8),"",Kostenverdeelmodel!N8)</f>
        <v>k.s.f.m.hermans@bb.leidenuniv.nl</v>
      </c>
      <c r="O5" t="str">
        <f>IF(ISBLANK(Kostenverdeelmodel!O8),"",Kostenverdeelmodel!O8)</f>
        <v/>
      </c>
    </row>
    <row r="6" spans="1:15" x14ac:dyDescent="0.25">
      <c r="A6" t="str">
        <f>IF(ISBLANK(Kostenverdeelmodel!A9),"",Kostenverdeelmodel!A9)</f>
        <v>Radboud University Nijmegen</v>
      </c>
      <c r="B6" t="str">
        <f>IF(ISBLANK(Kostenverdeelmodel!B9),"",Kostenverdeelmodel!B9)</f>
        <v/>
      </c>
      <c r="C6" s="9">
        <f>Kostenverdeelmodel!C9</f>
        <v>45349</v>
      </c>
      <c r="D6">
        <f>Kostenverdeelmodel!D9</f>
        <v>1</v>
      </c>
      <c r="E6" s="55">
        <f>Kostenverdeelmodel!E9</f>
        <v>1612</v>
      </c>
      <c r="F6" t="str">
        <f>Kostenverdeelmodel!F9</f>
        <v>ja</v>
      </c>
      <c r="G6" s="55">
        <f>Kostenverdeelmodel!G9</f>
        <v>1302</v>
      </c>
      <c r="H6" s="55">
        <f>Kostenverdeelmodel!H9</f>
        <v>2914</v>
      </c>
      <c r="I6" t="str">
        <f>IF(ISBLANK(Kostenverdeelmodel!I9),"",Kostenverdeelmodel!I9)</f>
        <v>Roger van der Hoeven</v>
      </c>
      <c r="J6" t="str">
        <f>IF(ISBLANK(Kostenverdeelmodel!J9),"",Kostenverdeelmodel!J9)</f>
        <v>roger.vanderhoeven@ru.nl</v>
      </c>
      <c r="K6" t="str">
        <f>IF(ISBLANK(Kostenverdeelmodel!K9),"",Kostenverdeelmodel!K9)</f>
        <v>Barbara Eggels</v>
      </c>
      <c r="L6" t="str">
        <f>IF(ISBLANK(Kostenverdeelmodel!L9),"",Kostenverdeelmodel!L9)</f>
        <v>barbara.eggels@ru.nl</v>
      </c>
      <c r="M6" t="str">
        <f>IF(ISBLANK(Kostenverdeelmodel!M9),"",Kostenverdeelmodel!M9)</f>
        <v>Dirk van Gorp</v>
      </c>
      <c r="N6" t="str">
        <f>IF(ISBLANK(Kostenverdeelmodel!N9),"",Kostenverdeelmodel!N9)</f>
        <v>d.vangorp@ubn.ru.nl</v>
      </c>
      <c r="O6" t="str">
        <f>IF(ISBLANK(Kostenverdeelmodel!O9),"",Kostenverdeelmodel!O9)</f>
        <v/>
      </c>
    </row>
    <row r="7" spans="1:15" x14ac:dyDescent="0.25">
      <c r="A7" t="str">
        <f>IF(ISBLANK(Kostenverdeelmodel!A10),"",Kostenverdeelmodel!A10)</f>
        <v>Vrije Universiteit Amsterdam</v>
      </c>
      <c r="B7" t="str">
        <f>IF(ISBLANK(Kostenverdeelmodel!B10),"",Kostenverdeelmodel!B10)</f>
        <v>*</v>
      </c>
      <c r="C7" s="9">
        <f>Kostenverdeelmodel!C10</f>
        <v>44206</v>
      </c>
      <c r="D7">
        <f>Kostenverdeelmodel!D10</f>
        <v>1</v>
      </c>
      <c r="E7" s="55">
        <f>Kostenverdeelmodel!E10</f>
        <v>1612</v>
      </c>
      <c r="F7" t="str">
        <f>Kostenverdeelmodel!F10</f>
        <v>ja</v>
      </c>
      <c r="G7" s="55">
        <f>Kostenverdeelmodel!G10</f>
        <v>1302</v>
      </c>
      <c r="H7" s="55">
        <f>Kostenverdeelmodel!H10</f>
        <v>2914</v>
      </c>
      <c r="I7" t="str">
        <f>IF(ISBLANK(Kostenverdeelmodel!I10),"",Kostenverdeelmodel!I10)</f>
        <v>Joeri Both</v>
      </c>
      <c r="J7" t="str">
        <f>IF(ISBLANK(Kostenverdeelmodel!J10),"",Kostenverdeelmodel!J10)</f>
        <v>j.both@vu.nl</v>
      </c>
      <c r="K7" t="str">
        <f>IF(ISBLANK(Kostenverdeelmodel!K10),"",Kostenverdeelmodel!K10)</f>
        <v>Hilde van Wijngaarden</v>
      </c>
      <c r="L7" t="str">
        <f>IF(ISBLANK(Kostenverdeelmodel!L10),"",Kostenverdeelmodel!L10)</f>
        <v>h.n.van.wijngaarden@vu.nl</v>
      </c>
      <c r="M7" t="str">
        <f>IF(ISBLANK(Kostenverdeelmodel!M10),"",Kostenverdeelmodel!M10)</f>
        <v>Sander Bosch</v>
      </c>
      <c r="N7" t="str">
        <f>IF(ISBLANK(Kostenverdeelmodel!N10),"",Kostenverdeelmodel!N10)</f>
        <v>s.e.bosch@vu.nl</v>
      </c>
      <c r="O7" t="str">
        <f>IF(ISBLANK(Kostenverdeelmodel!O10),"",Kostenverdeelmodel!O10)</f>
        <v/>
      </c>
    </row>
    <row r="8" spans="1:15" x14ac:dyDescent="0.25">
      <c r="A8" t="str">
        <f>IF(ISBLANK(Kostenverdeelmodel!A11),"",Kostenverdeelmodel!A11)</f>
        <v>Delft University of Technology</v>
      </c>
      <c r="B8" t="str">
        <f>IF(ISBLANK(Kostenverdeelmodel!B11),"",Kostenverdeelmodel!B11)</f>
        <v/>
      </c>
      <c r="C8" s="9">
        <f>Kostenverdeelmodel!C11</f>
        <v>42961</v>
      </c>
      <c r="D8">
        <f>Kostenverdeelmodel!D11</f>
        <v>1</v>
      </c>
      <c r="E8" s="55">
        <f>Kostenverdeelmodel!E11</f>
        <v>1612</v>
      </c>
      <c r="F8" t="str">
        <f>Kostenverdeelmodel!F11</f>
        <v>ja</v>
      </c>
      <c r="G8" s="55">
        <f>Kostenverdeelmodel!G11</f>
        <v>1302</v>
      </c>
      <c r="H8" s="55">
        <f>Kostenverdeelmodel!H11</f>
        <v>2914</v>
      </c>
      <c r="I8" t="str">
        <f>IF(ISBLANK(Kostenverdeelmodel!I11),"",Kostenverdeelmodel!I11)</f>
        <v>Alastair Dunning</v>
      </c>
      <c r="J8" t="str">
        <f>IF(ISBLANK(Kostenverdeelmodel!J11),"",Kostenverdeelmodel!J11)</f>
        <v>a.c.dunning@tudelft.nl</v>
      </c>
      <c r="K8" t="str">
        <f>IF(ISBLANK(Kostenverdeelmodel!K11),"",Kostenverdeelmodel!K11)</f>
        <v>Irene Haslinger</v>
      </c>
      <c r="L8" t="str">
        <f>IF(ISBLANK(Kostenverdeelmodel!L11),"",Kostenverdeelmodel!L11)</f>
        <v>I.M.Haslinger@tudelft.nl</v>
      </c>
      <c r="M8" t="str">
        <f>IF(ISBLANK(Kostenverdeelmodel!M11),"",Kostenverdeelmodel!M11)</f>
        <v>Frank van der Hoeven</v>
      </c>
      <c r="N8" t="str">
        <f>IF(ISBLANK(Kostenverdeelmodel!N11),"",Kostenverdeelmodel!N11)</f>
        <v/>
      </c>
      <c r="O8" t="str">
        <f>IF(ISBLANK(Kostenverdeelmodel!O11),"",Kostenverdeelmodel!O11)</f>
        <v/>
      </c>
    </row>
    <row r="9" spans="1:15" x14ac:dyDescent="0.25">
      <c r="A9" t="str">
        <f>IF(ISBLANK(Kostenverdeelmodel!A12),"",Kostenverdeelmodel!A12)</f>
        <v>Maastricht University</v>
      </c>
      <c r="B9" t="str">
        <f>IF(ISBLANK(Kostenverdeelmodel!B12),"",Kostenverdeelmodel!B12)</f>
        <v/>
      </c>
      <c r="C9" s="9">
        <f>Kostenverdeelmodel!C12</f>
        <v>41494</v>
      </c>
      <c r="D9">
        <f>Kostenverdeelmodel!D12</f>
        <v>1</v>
      </c>
      <c r="E9" s="55">
        <f>Kostenverdeelmodel!E12</f>
        <v>1612</v>
      </c>
      <c r="F9" t="str">
        <f>Kostenverdeelmodel!F12</f>
        <v>ja</v>
      </c>
      <c r="G9" s="55">
        <f>Kostenverdeelmodel!G12</f>
        <v>1302</v>
      </c>
      <c r="H9" s="55">
        <f>Kostenverdeelmodel!H12</f>
        <v>2914</v>
      </c>
      <c r="I9" t="str">
        <f>IF(ISBLANK(Kostenverdeelmodel!I12),"",Kostenverdeelmodel!I12)</f>
        <v>Marielle Prevoo</v>
      </c>
      <c r="J9" t="str">
        <f>IF(ISBLANK(Kostenverdeelmodel!J12),"",Kostenverdeelmodel!J12)</f>
        <v>marielle.prevoo@maastrichtuniversity.nl</v>
      </c>
      <c r="K9" t="str">
        <f>IF(ISBLANK(Kostenverdeelmodel!K12),"",Kostenverdeelmodel!K12)</f>
        <v>Claudia van Oppen</v>
      </c>
      <c r="L9" t="str">
        <f>IF(ISBLANK(Kostenverdeelmodel!L12),"",Kostenverdeelmodel!L12)</f>
        <v>c.vanoppen@maastrichtuniversity.nl</v>
      </c>
      <c r="M9" t="str">
        <f>IF(ISBLANK(Kostenverdeelmodel!M12),"",Kostenverdeelmodel!M12)</f>
        <v>Mariëlle Prevoo</v>
      </c>
      <c r="N9" t="str">
        <f>IF(ISBLANK(Kostenverdeelmodel!N12),"",Kostenverdeelmodel!N12)</f>
        <v>marielle.prevoo@maastrichtuniversity.nl</v>
      </c>
      <c r="O9" t="str">
        <f>IF(ISBLANK(Kostenverdeelmodel!O12),"",Kostenverdeelmodel!O12)</f>
        <v/>
      </c>
    </row>
    <row r="10" spans="1:15" x14ac:dyDescent="0.25">
      <c r="A10" t="str">
        <f>IF(ISBLANK(Kostenverdeelmodel!A13),"",Kostenverdeelmodel!A13)</f>
        <v>Erasmus University Rotterdam</v>
      </c>
      <c r="B10" t="str">
        <f>IF(ISBLANK(Kostenverdeelmodel!B13),"",Kostenverdeelmodel!B13)</f>
        <v/>
      </c>
      <c r="C10" s="9">
        <f>Kostenverdeelmodel!C13</f>
        <v>39430</v>
      </c>
      <c r="D10">
        <f>Kostenverdeelmodel!D13</f>
        <v>2</v>
      </c>
      <c r="E10" s="55">
        <f>Kostenverdeelmodel!E13</f>
        <v>1074</v>
      </c>
      <c r="F10" t="str">
        <f>Kostenverdeelmodel!F13</f>
        <v>ja</v>
      </c>
      <c r="G10" s="55">
        <f>Kostenverdeelmodel!G13</f>
        <v>1302</v>
      </c>
      <c r="H10" s="55">
        <f>Kostenverdeelmodel!H13</f>
        <v>2376</v>
      </c>
      <c r="I10" t="str">
        <f>IF(ISBLANK(Kostenverdeelmodel!I13),"",Kostenverdeelmodel!I13)</f>
        <v>Diddel Francissen</v>
      </c>
      <c r="J10" t="str">
        <f>IF(ISBLANK(Kostenverdeelmodel!J13),"",Kostenverdeelmodel!J13)</f>
        <v>diddel.francissen@eur.nl</v>
      </c>
      <c r="K10" t="str">
        <f>IF(ISBLANK(Kostenverdeelmodel!K13),"",Kostenverdeelmodel!K13)</f>
        <v>Lucinda Jones</v>
      </c>
      <c r="L10" t="str">
        <f>IF(ISBLANK(Kostenverdeelmodel!L13),"",Kostenverdeelmodel!L13)</f>
        <v>lucinda.jones@eur.nl</v>
      </c>
      <c r="M10" t="str">
        <f>IF(ISBLANK(Kostenverdeelmodel!M13),"",Kostenverdeelmodel!M13)</f>
        <v>Lucinda Jones</v>
      </c>
      <c r="N10" t="str">
        <f>IF(ISBLANK(Kostenverdeelmodel!N13),"",Kostenverdeelmodel!N13)</f>
        <v>lucinda.jones@eur.nl</v>
      </c>
      <c r="O10" t="str">
        <f>IF(ISBLANK(Kostenverdeelmodel!O13),"",Kostenverdeelmodel!O13)</f>
        <v/>
      </c>
    </row>
    <row r="11" spans="1:15" x14ac:dyDescent="0.25">
      <c r="A11" t="str">
        <f>IF(ISBLANK(Kostenverdeelmodel!A14),"",Kostenverdeelmodel!A14)</f>
        <v>Wageningen University &amp; Research</v>
      </c>
      <c r="B11" t="str">
        <f>IF(ISBLANK(Kostenverdeelmodel!B14),"",Kostenverdeelmodel!B14)</f>
        <v/>
      </c>
      <c r="C11" s="9">
        <f>Kostenverdeelmodel!C14</f>
        <v>35678</v>
      </c>
      <c r="D11">
        <f>Kostenverdeelmodel!D14</f>
        <v>2</v>
      </c>
      <c r="E11" s="55">
        <f>Kostenverdeelmodel!E14</f>
        <v>1074</v>
      </c>
      <c r="F11" t="str">
        <f>Kostenverdeelmodel!F14</f>
        <v>ja</v>
      </c>
      <c r="G11" s="55">
        <f>Kostenverdeelmodel!G14</f>
        <v>1302</v>
      </c>
      <c r="H11" s="55">
        <f>Kostenverdeelmodel!H14</f>
        <v>2376</v>
      </c>
      <c r="I11" t="str">
        <f>IF(ISBLANK(Kostenverdeelmodel!I14),"",Kostenverdeelmodel!I14)</f>
        <v>Ellen Fest</v>
      </c>
      <c r="J11" t="str">
        <f>IF(ISBLANK(Kostenverdeelmodel!J14),"",Kostenverdeelmodel!J14)</f>
        <v>ellen.fest@wur.nl</v>
      </c>
      <c r="K11" t="str">
        <f>IF(ISBLANK(Kostenverdeelmodel!K14),"",Kostenverdeelmodel!K14)</f>
        <v>Martijn van den Heuvel</v>
      </c>
      <c r="L11" t="str">
        <f>IF(ISBLANK(Kostenverdeelmodel!L14),"",Kostenverdeelmodel!L14)</f>
        <v>office.library@wur.nl</v>
      </c>
      <c r="M11" t="str">
        <f>IF(ISBLANK(Kostenverdeelmodel!M14),"",Kostenverdeelmodel!M14)</f>
        <v>Hubert Krekels</v>
      </c>
      <c r="N11" t="str">
        <f>IF(ISBLANK(Kostenverdeelmodel!N14),"",Kostenverdeelmodel!N14)</f>
        <v>hubert.krekels@wur.nl</v>
      </c>
      <c r="O11" t="str">
        <f>IF(ISBLANK(Kostenverdeelmodel!O14),"",Kostenverdeelmodel!O14)</f>
        <v/>
      </c>
    </row>
    <row r="12" spans="1:15" x14ac:dyDescent="0.25">
      <c r="A12" t="str">
        <f>IF(ISBLANK(Kostenverdeelmodel!A15),"",Kostenverdeelmodel!A15)</f>
        <v>University of Twente</v>
      </c>
      <c r="B12" t="str">
        <f>IF(ISBLANK(Kostenverdeelmodel!B15),"",Kostenverdeelmodel!B15)</f>
        <v/>
      </c>
      <c r="C12" s="9">
        <f>Kostenverdeelmodel!C15</f>
        <v>23209</v>
      </c>
      <c r="D12">
        <f>Kostenverdeelmodel!D15</f>
        <v>2</v>
      </c>
      <c r="E12" s="55">
        <f>Kostenverdeelmodel!E15</f>
        <v>1074</v>
      </c>
      <c r="F12" t="str">
        <f>Kostenverdeelmodel!F15</f>
        <v>ja</v>
      </c>
      <c r="G12" s="55">
        <f>Kostenverdeelmodel!G15</f>
        <v>1302</v>
      </c>
      <c r="H12" s="55">
        <f>Kostenverdeelmodel!H15</f>
        <v>2376</v>
      </c>
      <c r="I12" t="str">
        <f>IF(ISBLANK(Kostenverdeelmodel!I15),"",Kostenverdeelmodel!I15)</f>
        <v>Marit van Eckl</v>
      </c>
      <c r="J12" t="str">
        <f>IF(ISBLANK(Kostenverdeelmodel!J15),"",Kostenverdeelmodel!J15)</f>
        <v>j.m.vaneck@utwente.nl</v>
      </c>
      <c r="K12" t="str">
        <f>IF(ISBLANK(Kostenverdeelmodel!K15),"",Kostenverdeelmodel!K15)</f>
        <v>Wendy van Ginkel</v>
      </c>
      <c r="L12" t="str">
        <f>IF(ISBLANK(Kostenverdeelmodel!L15),"",Kostenverdeelmodel!L15)</f>
        <v>w.vanginkel@utwente.nl</v>
      </c>
      <c r="M12" t="str">
        <f>IF(ISBLANK(Kostenverdeelmodel!M15),"",Kostenverdeelmodel!M15)</f>
        <v>Wendy van Ginkel</v>
      </c>
      <c r="N12" t="str">
        <f>IF(ISBLANK(Kostenverdeelmodel!N15),"",Kostenverdeelmodel!N15)</f>
        <v>w.vanginkel@utwente.nl</v>
      </c>
      <c r="O12" t="str">
        <f>IF(ISBLANK(Kostenverdeelmodel!O15),"",Kostenverdeelmodel!O15)</f>
        <v/>
      </c>
    </row>
    <row r="13" spans="1:15" x14ac:dyDescent="0.25">
      <c r="A13" t="str">
        <f>IF(ISBLANK(Kostenverdeelmodel!A16),"",Kostenverdeelmodel!A16)</f>
        <v>Eindhoven University of Technology</v>
      </c>
      <c r="B13" t="str">
        <f>IF(ISBLANK(Kostenverdeelmodel!B16),"",Kostenverdeelmodel!B16)</f>
        <v/>
      </c>
      <c r="C13" s="9">
        <f>Kostenverdeelmodel!C16</f>
        <v>17134</v>
      </c>
      <c r="D13">
        <f>Kostenverdeelmodel!D16</f>
        <v>2</v>
      </c>
      <c r="E13" s="55">
        <f>Kostenverdeelmodel!E16</f>
        <v>1074</v>
      </c>
      <c r="F13" t="str">
        <f>Kostenverdeelmodel!F16</f>
        <v>ja</v>
      </c>
      <c r="G13" s="55">
        <f>Kostenverdeelmodel!G16</f>
        <v>1302</v>
      </c>
      <c r="H13" s="55">
        <f>Kostenverdeelmodel!H16</f>
        <v>2376</v>
      </c>
      <c r="I13" t="str">
        <f>IF(ISBLANK(Kostenverdeelmodel!I16),"",Kostenverdeelmodel!I16)</f>
        <v>Petra Dickhaut</v>
      </c>
      <c r="J13" t="str">
        <f>IF(ISBLANK(Kostenverdeelmodel!J16),"",Kostenverdeelmodel!J16)</f>
        <v>p.c.l.dickhaut@tue.nl</v>
      </c>
      <c r="K13" t="str">
        <f>IF(ISBLANK(Kostenverdeelmodel!K16),"",Kostenverdeelmodel!K16)</f>
        <v>Paul Hofman</v>
      </c>
      <c r="L13" t="str">
        <f>IF(ISBLANK(Kostenverdeelmodel!L16),"",Kostenverdeelmodel!L16)</f>
        <v>p.p.m.hofman@tue.nl</v>
      </c>
      <c r="M13" t="str">
        <f>IF(ISBLANK(Kostenverdeelmodel!M16),"",Kostenverdeelmodel!M16)</f>
        <v>Paul Hofman</v>
      </c>
      <c r="N13" t="str">
        <f>IF(ISBLANK(Kostenverdeelmodel!N16),"",Kostenverdeelmodel!N16)</f>
        <v>p.p.m.hofman@tue.nl</v>
      </c>
      <c r="O13" t="str">
        <f>IF(ISBLANK(Kostenverdeelmodel!O16),"",Kostenverdeelmodel!O16)</f>
        <v/>
      </c>
    </row>
    <row r="14" spans="1:15" x14ac:dyDescent="0.25">
      <c r="A14" t="str">
        <f>IF(ISBLANK(Kostenverdeelmodel!A17),"",Kostenverdeelmodel!A17)</f>
        <v>Vereniging Hogescholen (HBO Kennisbank + Publinova)</v>
      </c>
      <c r="B14" t="str">
        <f>IF(ISBLANK(Kostenverdeelmodel!B17),"",Kostenverdeelmodel!B17)</f>
        <v/>
      </c>
      <c r="C14" s="9">
        <f>Kostenverdeelmodel!C17</f>
        <v>16072</v>
      </c>
      <c r="D14">
        <f>Kostenverdeelmodel!D17</f>
        <v>2</v>
      </c>
      <c r="E14" s="55">
        <f>Kostenverdeelmodel!E17</f>
        <v>1074</v>
      </c>
      <c r="F14" t="str">
        <f>Kostenverdeelmodel!F17</f>
        <v>ja</v>
      </c>
      <c r="G14" s="55">
        <f>Kostenverdeelmodel!G17</f>
        <v>1302</v>
      </c>
      <c r="H14" s="55">
        <f>Kostenverdeelmodel!H17</f>
        <v>2376</v>
      </c>
      <c r="I14" t="str">
        <f>IF(ISBLANK(Kostenverdeelmodel!I17),"",Kostenverdeelmodel!I17)</f>
        <v>Maurice Limmen</v>
      </c>
      <c r="J14" t="str">
        <f>IF(ISBLANK(Kostenverdeelmodel!J17),"",Kostenverdeelmodel!J17)</f>
        <v>scheefhals@vh.nl</v>
      </c>
      <c r="K14" t="str">
        <f>IF(ISBLANK(Kostenverdeelmodel!K17),"",Kostenverdeelmodel!K17)</f>
        <v/>
      </c>
      <c r="L14" t="str">
        <f>IF(ISBLANK(Kostenverdeelmodel!L17),"",Kostenverdeelmodel!L17)</f>
        <v/>
      </c>
      <c r="M14" t="str">
        <f>IF(ISBLANK(Kostenverdeelmodel!M17),"",Kostenverdeelmodel!M17)</f>
        <v>Sarah Coombs</v>
      </c>
      <c r="N14" t="str">
        <f>IF(ISBLANK(Kostenverdeelmodel!N17),"",Kostenverdeelmodel!N17)</f>
        <v>s.k.coombs@saxion.nl</v>
      </c>
      <c r="O14" t="str">
        <f>IF(ISBLANK(Kostenverdeelmodel!O17),"",Kostenverdeelmodel!O17)</f>
        <v/>
      </c>
    </row>
    <row r="15" spans="1:15" x14ac:dyDescent="0.25">
      <c r="A15" t="str">
        <f>IF(ISBLANK(Kostenverdeelmodel!A18),"",Kostenverdeelmodel!A18)</f>
        <v>Tilburg University</v>
      </c>
      <c r="B15" t="str">
        <f>IF(ISBLANK(Kostenverdeelmodel!B18),"",Kostenverdeelmodel!B18)</f>
        <v/>
      </c>
      <c r="C15" s="9">
        <f>Kostenverdeelmodel!C18</f>
        <v>14474</v>
      </c>
      <c r="D15">
        <f>Kostenverdeelmodel!D18</f>
        <v>2</v>
      </c>
      <c r="E15" s="55">
        <f>Kostenverdeelmodel!E18</f>
        <v>1074</v>
      </c>
      <c r="F15" t="str">
        <f>Kostenverdeelmodel!F18</f>
        <v>ja</v>
      </c>
      <c r="G15" s="55">
        <f>Kostenverdeelmodel!G18</f>
        <v>1302</v>
      </c>
      <c r="H15" s="55">
        <f>Kostenverdeelmodel!H18</f>
        <v>2376</v>
      </c>
      <c r="I15" t="str">
        <f>IF(ISBLANK(Kostenverdeelmodel!I18),"",Kostenverdeelmodel!I18)</f>
        <v>Daan Rutten</v>
      </c>
      <c r="J15" t="str">
        <f>IF(ISBLANK(Kostenverdeelmodel!J18),"",Kostenverdeelmodel!J18)</f>
        <v>D.Rutten@tilburguniversity.edu</v>
      </c>
      <c r="K15" t="str">
        <f>IF(ISBLANK(Kostenverdeelmodel!K18),"",Kostenverdeelmodel!K18)</f>
        <v>Marjolein Beumer</v>
      </c>
      <c r="L15" t="str">
        <f>IF(ISBLANK(Kostenverdeelmodel!L18),"",Kostenverdeelmodel!L18)</f>
        <v>m.l.t.beumer@tilburguniversity.edu</v>
      </c>
      <c r="M15" t="str">
        <f>IF(ISBLANK(Kostenverdeelmodel!M18),"",Kostenverdeelmodel!M18)</f>
        <v>Marjolein Beumer</v>
      </c>
      <c r="N15" t="str">
        <f>IF(ISBLANK(Kostenverdeelmodel!N18),"",Kostenverdeelmodel!N18)</f>
        <v>m.l.t.beumer@tilburguniversity.edu</v>
      </c>
      <c r="O15" t="str">
        <f>IF(ISBLANK(Kostenverdeelmodel!O18),"",Kostenverdeelmodel!O18)</f>
        <v/>
      </c>
    </row>
    <row r="16" spans="1:15" x14ac:dyDescent="0.25">
      <c r="A16" t="str">
        <f>IF(ISBLANK(Kostenverdeelmodel!A19),"",Kostenverdeelmodel!A19)</f>
        <v>NWO</v>
      </c>
      <c r="B16" t="str">
        <f>IF(ISBLANK(Kostenverdeelmodel!B19),"",Kostenverdeelmodel!B19)</f>
        <v/>
      </c>
      <c r="C16" s="9">
        <f>Kostenverdeelmodel!C19</f>
        <v>11167</v>
      </c>
      <c r="D16">
        <f>Kostenverdeelmodel!D19</f>
        <v>2</v>
      </c>
      <c r="E16" s="55">
        <f>Kostenverdeelmodel!E19</f>
        <v>1074</v>
      </c>
      <c r="F16" t="str">
        <f>Kostenverdeelmodel!F19</f>
        <v>ja</v>
      </c>
      <c r="G16" s="55">
        <f>Kostenverdeelmodel!G19</f>
        <v>1302</v>
      </c>
      <c r="H16" s="55">
        <f>Kostenverdeelmodel!H19</f>
        <v>2376</v>
      </c>
      <c r="I16" t="str">
        <f>IF(ISBLANK(Kostenverdeelmodel!I19),"",Kostenverdeelmodel!I19)</f>
        <v>Hans de Jonge</v>
      </c>
      <c r="J16" t="str">
        <f>IF(ISBLANK(Kostenverdeelmodel!J19),"",Kostenverdeelmodel!J19)</f>
        <v>h.dejonge@nwo.nl</v>
      </c>
      <c r="K16" t="str">
        <f>IF(ISBLANK(Kostenverdeelmodel!K19),"",Kostenverdeelmodel!K19)</f>
        <v/>
      </c>
      <c r="L16" t="str">
        <f>IF(ISBLANK(Kostenverdeelmodel!L19),"",Kostenverdeelmodel!L19)</f>
        <v/>
      </c>
      <c r="M16" t="str">
        <f>IF(ISBLANK(Kostenverdeelmodel!M19),"",Kostenverdeelmodel!M19)</f>
        <v/>
      </c>
      <c r="N16" t="str">
        <f>IF(ISBLANK(Kostenverdeelmodel!N19),"",Kostenverdeelmodel!N19)</f>
        <v/>
      </c>
      <c r="O16" t="str">
        <f>IF(ISBLANK(Kostenverdeelmodel!O19),"",Kostenverdeelmodel!O19)</f>
        <v/>
      </c>
    </row>
    <row r="17" spans="1:15" x14ac:dyDescent="0.25">
      <c r="A17" t="str">
        <f>IF(ISBLANK(Kostenverdeelmodel!A20),"",Kostenverdeelmodel!A20)</f>
        <v>KNAW</v>
      </c>
      <c r="B17" t="str">
        <f>IF(ISBLANK(Kostenverdeelmodel!B20),"",Kostenverdeelmodel!B20)</f>
        <v/>
      </c>
      <c r="C17" s="9">
        <f>Kostenverdeelmodel!C20</f>
        <v>7476</v>
      </c>
      <c r="D17">
        <f>Kostenverdeelmodel!D20</f>
        <v>3</v>
      </c>
      <c r="E17" s="55">
        <f>Kostenverdeelmodel!E20</f>
        <v>716</v>
      </c>
      <c r="F17" t="str">
        <f>Kostenverdeelmodel!F20</f>
        <v>nee</v>
      </c>
      <c r="G17" s="55">
        <f>Kostenverdeelmodel!G20</f>
        <v>0</v>
      </c>
      <c r="H17" s="55">
        <f>Kostenverdeelmodel!H20</f>
        <v>716</v>
      </c>
      <c r="I17" t="str">
        <f>IF(ISBLANK(Kostenverdeelmodel!I20),"",Kostenverdeelmodel!I20)</f>
        <v>Zohreh Zahedi</v>
      </c>
      <c r="J17" t="str">
        <f>IF(ISBLANK(Kostenverdeelmodel!J20),"",Kostenverdeelmodel!J20)</f>
        <v>zohreh.zahedi@knaw.nl</v>
      </c>
      <c r="K17" t="str">
        <f>IF(ISBLANK(Kostenverdeelmodel!K20),"",Kostenverdeelmodel!K20)</f>
        <v>Aline Korterink</v>
      </c>
      <c r="L17" t="str">
        <f>IF(ISBLANK(Kostenverdeelmodel!L20),"",Kostenverdeelmodel!L20)</f>
        <v>aline.korterink@knaw.nl</v>
      </c>
      <c r="M17" t="str">
        <f>IF(ISBLANK(Kostenverdeelmodel!M20),"",Kostenverdeelmodel!M20)</f>
        <v/>
      </c>
      <c r="N17" t="str">
        <f>IF(ISBLANK(Kostenverdeelmodel!N20),"",Kostenverdeelmodel!N20)</f>
        <v/>
      </c>
      <c r="O17" t="str">
        <f>IF(ISBLANK(Kostenverdeelmodel!O20),"",Kostenverdeelmodel!O20)</f>
        <v/>
      </c>
    </row>
    <row r="18" spans="1:15" x14ac:dyDescent="0.25">
      <c r="A18" t="str">
        <f>IF(ISBLANK(Kostenverdeelmodel!A21),"",Kostenverdeelmodel!A21)</f>
        <v>Naturalis</v>
      </c>
      <c r="B18" t="str">
        <f>IF(ISBLANK(Kostenverdeelmodel!B21),"",Kostenverdeelmodel!B21)</f>
        <v/>
      </c>
      <c r="C18" s="9">
        <f>Kostenverdeelmodel!C21</f>
        <v>6941</v>
      </c>
      <c r="D18">
        <f>Kostenverdeelmodel!D21</f>
        <v>3</v>
      </c>
      <c r="E18" s="55">
        <f>Kostenverdeelmodel!E21</f>
        <v>716</v>
      </c>
      <c r="F18" t="str">
        <f>Kostenverdeelmodel!F21</f>
        <v>nee</v>
      </c>
      <c r="G18" s="55">
        <f>Kostenverdeelmodel!G21</f>
        <v>0</v>
      </c>
      <c r="H18" s="55">
        <f>Kostenverdeelmodel!H21</f>
        <v>716</v>
      </c>
      <c r="I18" t="str">
        <f>IF(ISBLANK(Kostenverdeelmodel!I21),"",Kostenverdeelmodel!I21)</f>
        <v>Tonny de Wit</v>
      </c>
      <c r="J18" t="str">
        <f>IF(ISBLANK(Kostenverdeelmodel!J21),"",Kostenverdeelmodel!J21)</f>
        <v>tonny.dewit@naturalis.nl</v>
      </c>
      <c r="K18" t="str">
        <f>IF(ISBLANK(Kostenverdeelmodel!K21),"",Kostenverdeelmodel!K21)</f>
        <v/>
      </c>
      <c r="L18" t="str">
        <f>IF(ISBLANK(Kostenverdeelmodel!L21),"",Kostenverdeelmodel!L21)</f>
        <v/>
      </c>
      <c r="M18" t="str">
        <f>IF(ISBLANK(Kostenverdeelmodel!M21),"",Kostenverdeelmodel!M21)</f>
        <v/>
      </c>
      <c r="N18" t="str">
        <f>IF(ISBLANK(Kostenverdeelmodel!N21),"",Kostenverdeelmodel!N21)</f>
        <v/>
      </c>
      <c r="O18" t="str">
        <f>IF(ISBLANK(Kostenverdeelmodel!O21),"",Kostenverdeelmodel!O21)</f>
        <v/>
      </c>
    </row>
    <row r="19" spans="1:15" x14ac:dyDescent="0.25">
      <c r="A19" t="str">
        <f>IF(ISBLANK(Kostenverdeelmodel!A22),"",Kostenverdeelmodel!A22)</f>
        <v>RIVM</v>
      </c>
      <c r="B19" t="str">
        <f>IF(ISBLANK(Kostenverdeelmodel!B22),"",Kostenverdeelmodel!B22)</f>
        <v/>
      </c>
      <c r="C19" s="9">
        <f>Kostenverdeelmodel!C22</f>
        <v>6115</v>
      </c>
      <c r="D19">
        <f>Kostenverdeelmodel!D22</f>
        <v>3</v>
      </c>
      <c r="E19" s="55">
        <f>Kostenverdeelmodel!E22</f>
        <v>716</v>
      </c>
      <c r="F19" t="str">
        <f>Kostenverdeelmodel!F22</f>
        <v>nee</v>
      </c>
      <c r="G19" s="55">
        <f>Kostenverdeelmodel!G22</f>
        <v>0</v>
      </c>
      <c r="H19" s="55">
        <f>Kostenverdeelmodel!H22</f>
        <v>716</v>
      </c>
      <c r="I19" t="str">
        <f>IF(ISBLANK(Kostenverdeelmodel!I22),"",Kostenverdeelmodel!I22)</f>
        <v>Pierre Kraakman</v>
      </c>
      <c r="J19" t="str">
        <f>IF(ISBLANK(Kostenverdeelmodel!J22),"",Kostenverdeelmodel!J22)</f>
        <v>pierre.kraakman@rivm.nl</v>
      </c>
      <c r="K19" t="str">
        <f>IF(ISBLANK(Kostenverdeelmodel!K22),"",Kostenverdeelmodel!K22)</f>
        <v/>
      </c>
      <c r="L19" t="str">
        <f>IF(ISBLANK(Kostenverdeelmodel!L22),"",Kostenverdeelmodel!L22)</f>
        <v/>
      </c>
      <c r="M19" t="str">
        <f>IF(ISBLANK(Kostenverdeelmodel!M22),"",Kostenverdeelmodel!M22)</f>
        <v/>
      </c>
      <c r="N19" t="str">
        <f>IF(ISBLANK(Kostenverdeelmodel!N22),"",Kostenverdeelmodel!N22)</f>
        <v/>
      </c>
      <c r="O19" t="str">
        <f>IF(ISBLANK(Kostenverdeelmodel!O22),"",Kostenverdeelmodel!O22)</f>
        <v/>
      </c>
    </row>
    <row r="20" spans="1:15" x14ac:dyDescent="0.25">
      <c r="A20" t="str">
        <f>IF(ISBLANK(Kostenverdeelmodel!A23),"",Kostenverdeelmodel!A23)</f>
        <v>Open University</v>
      </c>
      <c r="B20" t="str">
        <f>IF(ISBLANK(Kostenverdeelmodel!B23),"",Kostenverdeelmodel!B23)</f>
        <v/>
      </c>
      <c r="C20" s="9">
        <f>Kostenverdeelmodel!C23</f>
        <v>5445</v>
      </c>
      <c r="D20">
        <f>Kostenverdeelmodel!D23</f>
        <v>3</v>
      </c>
      <c r="E20" s="55">
        <f>Kostenverdeelmodel!E23</f>
        <v>716</v>
      </c>
      <c r="F20" t="str">
        <f>Kostenverdeelmodel!F23</f>
        <v>nee</v>
      </c>
      <c r="G20" s="55">
        <f>Kostenverdeelmodel!G23</f>
        <v>0</v>
      </c>
      <c r="H20" s="55">
        <f>Kostenverdeelmodel!H23</f>
        <v>716</v>
      </c>
      <c r="I20" t="str">
        <f>IF(ISBLANK(Kostenverdeelmodel!I23),"",Kostenverdeelmodel!I23)</f>
        <v>Katrine Bengtsson</v>
      </c>
      <c r="J20" t="str">
        <f>IF(ISBLANK(Kostenverdeelmodel!J23),"",Kostenverdeelmodel!J23)</f>
        <v>katrine.bengtsson@ou.nl</v>
      </c>
      <c r="K20" t="str">
        <f>IF(ISBLANK(Kostenverdeelmodel!K23),"",Kostenverdeelmodel!K23)</f>
        <v>Merle Achten</v>
      </c>
      <c r="L20" t="str">
        <f>IF(ISBLANK(Kostenverdeelmodel!L23),"",Kostenverdeelmodel!L23)</f>
        <v>merle.achten@ou.nl</v>
      </c>
      <c r="M20" t="str">
        <f>IF(ISBLANK(Kostenverdeelmodel!M23),"",Kostenverdeelmodel!M23)</f>
        <v>Mellanie Geijen</v>
      </c>
      <c r="N20" t="str">
        <f>IF(ISBLANK(Kostenverdeelmodel!N23),"",Kostenverdeelmodel!N23)</f>
        <v>mellanie.geijen@ou.nl</v>
      </c>
      <c r="O20" t="str">
        <f>IF(ISBLANK(Kostenverdeelmodel!O23),"",Kostenverdeelmodel!O23)</f>
        <v/>
      </c>
    </row>
    <row r="21" spans="1:15" x14ac:dyDescent="0.25">
      <c r="A21" t="str">
        <f>IF(ISBLANK(Kostenverdeelmodel!A24),"",Kostenverdeelmodel!A24)</f>
        <v>Data Archiving Networked Services (DANS)</v>
      </c>
      <c r="B21" t="str">
        <f>IF(ISBLANK(Kostenverdeelmodel!B24),"",Kostenverdeelmodel!B24)</f>
        <v>*</v>
      </c>
      <c r="C21" s="9">
        <f>Kostenverdeelmodel!C24</f>
        <v>2523</v>
      </c>
      <c r="D21">
        <f>Kostenverdeelmodel!D24</f>
        <v>4</v>
      </c>
      <c r="E21" s="55">
        <f>Kostenverdeelmodel!E24</f>
        <v>478</v>
      </c>
      <c r="F21" t="str">
        <f>Kostenverdeelmodel!F24</f>
        <v>ja</v>
      </c>
      <c r="G21" s="55">
        <f>Kostenverdeelmodel!G24</f>
        <v>1302</v>
      </c>
      <c r="H21" s="55">
        <f>Kostenverdeelmodel!H24</f>
        <v>1780</v>
      </c>
      <c r="I21" t="str">
        <f>IF(ISBLANK(Kostenverdeelmodel!I24),"",Kostenverdeelmodel!I24)</f>
        <v>Chris Baars</v>
      </c>
      <c r="J21" t="str">
        <f>IF(ISBLANK(Kostenverdeelmodel!J24),"",Kostenverdeelmodel!J24)</f>
        <v>chris.baars@dans.knaw.nl</v>
      </c>
      <c r="K21" t="str">
        <f>IF(ISBLANK(Kostenverdeelmodel!K24),"",Kostenverdeelmodel!K24)</f>
        <v/>
      </c>
      <c r="L21" t="str">
        <f>IF(ISBLANK(Kostenverdeelmodel!L24),"",Kostenverdeelmodel!L24)</f>
        <v/>
      </c>
      <c r="M21" t="str">
        <f>IF(ISBLANK(Kostenverdeelmodel!M24),"",Kostenverdeelmodel!M24)</f>
        <v/>
      </c>
      <c r="N21" t="str">
        <f>IF(ISBLANK(Kostenverdeelmodel!N24),"",Kostenverdeelmodel!N24)</f>
        <v/>
      </c>
      <c r="O21" t="str">
        <f>IF(ISBLANK(Kostenverdeelmodel!O24),"",Kostenverdeelmodel!O24)</f>
        <v/>
      </c>
    </row>
    <row r="22" spans="1:15" x14ac:dyDescent="0.25">
      <c r="A22" t="str">
        <f>IF(ISBLANK(Kostenverdeelmodel!A25),"",Kostenverdeelmodel!A25)</f>
        <v>NIVEL</v>
      </c>
      <c r="B22" t="str">
        <f>IF(ISBLANK(Kostenverdeelmodel!B25),"",Kostenverdeelmodel!B25)</f>
        <v/>
      </c>
      <c r="C22" s="9">
        <f>Kostenverdeelmodel!C25</f>
        <v>2232</v>
      </c>
      <c r="D22">
        <f>Kostenverdeelmodel!D25</f>
        <v>4</v>
      </c>
      <c r="E22" s="55">
        <f>Kostenverdeelmodel!E25</f>
        <v>478</v>
      </c>
      <c r="F22" t="str">
        <f>Kostenverdeelmodel!F25</f>
        <v>nee</v>
      </c>
      <c r="G22" s="55">
        <f>Kostenverdeelmodel!G25</f>
        <v>0</v>
      </c>
      <c r="H22" s="55">
        <f>Kostenverdeelmodel!H25</f>
        <v>478</v>
      </c>
      <c r="I22" t="str">
        <f>IF(ISBLANK(Kostenverdeelmodel!I25),"",Kostenverdeelmodel!I25)</f>
        <v>P. van der Heijden</v>
      </c>
      <c r="J22" t="str">
        <f>IF(ISBLANK(Kostenverdeelmodel!J25),"",Kostenverdeelmodel!J25)</f>
        <v>p.vanderheijden@nivel.nl</v>
      </c>
      <c r="K22" t="str">
        <f>IF(ISBLANK(Kostenverdeelmodel!K25),"",Kostenverdeelmodel!K25)</f>
        <v/>
      </c>
      <c r="L22" t="str">
        <f>IF(ISBLANK(Kostenverdeelmodel!L25),"",Kostenverdeelmodel!L25)</f>
        <v/>
      </c>
      <c r="M22" t="str">
        <f>IF(ISBLANK(Kostenverdeelmodel!M25),"",Kostenverdeelmodel!M25)</f>
        <v/>
      </c>
      <c r="N22" t="str">
        <f>IF(ISBLANK(Kostenverdeelmodel!N25),"",Kostenverdeelmodel!N25)</f>
        <v/>
      </c>
      <c r="O22" t="str">
        <f>IF(ISBLANK(Kostenverdeelmodel!O25),"",Kostenverdeelmodel!O25)</f>
        <v/>
      </c>
    </row>
    <row r="23" spans="1:15" x14ac:dyDescent="0.25">
      <c r="A23" t="str">
        <f>IF(ISBLANK(Kostenverdeelmodel!A26),"",Kostenverdeelmodel!A26)</f>
        <v>IHE</v>
      </c>
      <c r="B23" t="str">
        <f>IF(ISBLANK(Kostenverdeelmodel!B26),"",Kostenverdeelmodel!B26)</f>
        <v/>
      </c>
      <c r="C23" s="9">
        <f>Kostenverdeelmodel!C26</f>
        <v>1686</v>
      </c>
      <c r="D23">
        <f>Kostenverdeelmodel!D26</f>
        <v>4</v>
      </c>
      <c r="E23" s="55">
        <f>Kostenverdeelmodel!E26</f>
        <v>478</v>
      </c>
      <c r="F23" t="str">
        <f>Kostenverdeelmodel!F26</f>
        <v>nee</v>
      </c>
      <c r="G23" s="55">
        <f>Kostenverdeelmodel!G26</f>
        <v>0</v>
      </c>
      <c r="H23" s="55">
        <f>Kostenverdeelmodel!H26</f>
        <v>478</v>
      </c>
      <c r="I23" t="str">
        <f>IF(ISBLANK(Kostenverdeelmodel!I26),"",Kostenverdeelmodel!I26)</f>
        <v>Wilmar Ceton</v>
      </c>
      <c r="J23" t="str">
        <f>IF(ISBLANK(Kostenverdeelmodel!J26),"",Kostenverdeelmodel!J26)</f>
        <v>w.ceton@un-ihe.org</v>
      </c>
      <c r="K23" t="str">
        <f>IF(ISBLANK(Kostenverdeelmodel!K26),"",Kostenverdeelmodel!K26)</f>
        <v/>
      </c>
      <c r="L23" t="str">
        <f>IF(ISBLANK(Kostenverdeelmodel!L26),"",Kostenverdeelmodel!L26)</f>
        <v/>
      </c>
      <c r="M23" t="str">
        <f>IF(ISBLANK(Kostenverdeelmodel!M26),"",Kostenverdeelmodel!M26)</f>
        <v/>
      </c>
      <c r="N23" t="str">
        <f>IF(ISBLANK(Kostenverdeelmodel!N26),"",Kostenverdeelmodel!N26)</f>
        <v/>
      </c>
      <c r="O23" t="str">
        <f>IF(ISBLANK(Kostenverdeelmodel!O26),"",Kostenverdeelmodel!O26)</f>
        <v/>
      </c>
    </row>
    <row r="24" spans="1:15" x14ac:dyDescent="0.25">
      <c r="A24" t="str">
        <f>IF(ISBLANK(Kostenverdeelmodel!A27),"",Kostenverdeelmodel!A27)</f>
        <v>TNO</v>
      </c>
      <c r="B24" t="str">
        <f>IF(ISBLANK(Kostenverdeelmodel!B27),"",Kostenverdeelmodel!B27)</f>
        <v/>
      </c>
      <c r="C24" s="9">
        <f>Kostenverdeelmodel!C27</f>
        <v>1582</v>
      </c>
      <c r="D24">
        <f>Kostenverdeelmodel!D27</f>
        <v>4</v>
      </c>
      <c r="E24" s="55">
        <f>Kostenverdeelmodel!E27</f>
        <v>478</v>
      </c>
      <c r="F24" t="str">
        <f>Kostenverdeelmodel!F27</f>
        <v>nee</v>
      </c>
      <c r="G24" s="55">
        <f>Kostenverdeelmodel!G27</f>
        <v>0</v>
      </c>
      <c r="H24" s="55">
        <f>Kostenverdeelmodel!H27</f>
        <v>478</v>
      </c>
      <c r="I24" t="str">
        <f>IF(ISBLANK(Kostenverdeelmodel!I27),"",Kostenverdeelmodel!I27)</f>
        <v>Jesse Prevoo</v>
      </c>
      <c r="J24" t="str">
        <f>IF(ISBLANK(Kostenverdeelmodel!J27),"",Kostenverdeelmodel!J27)</f>
        <v>jesse.prevoo@tno.nl</v>
      </c>
      <c r="K24" t="str">
        <f>IF(ISBLANK(Kostenverdeelmodel!K27),"",Kostenverdeelmodel!K27)</f>
        <v/>
      </c>
      <c r="L24" t="str">
        <f>IF(ISBLANK(Kostenverdeelmodel!L27),"",Kostenverdeelmodel!L27)</f>
        <v/>
      </c>
      <c r="M24" t="str">
        <f>IF(ISBLANK(Kostenverdeelmodel!M27),"",Kostenverdeelmodel!M27)</f>
        <v/>
      </c>
      <c r="N24" t="str">
        <f>IF(ISBLANK(Kostenverdeelmodel!N27),"",Kostenverdeelmodel!N27)</f>
        <v/>
      </c>
      <c r="O24" t="str">
        <f>IF(ISBLANK(Kostenverdeelmodel!O27),"",Kostenverdeelmodel!O27)</f>
        <v/>
      </c>
    </row>
    <row r="25" spans="1:15" x14ac:dyDescent="0.25">
      <c r="A25" t="str">
        <f>IF(ISBLANK(Kostenverdeelmodel!A28),"",Kostenverdeelmodel!A28)</f>
        <v>Jan Ingenhouszinstituut</v>
      </c>
      <c r="B25" t="str">
        <f>IF(ISBLANK(Kostenverdeelmodel!B28),"",Kostenverdeelmodel!B28)</f>
        <v>*</v>
      </c>
      <c r="C25" s="9">
        <f>Kostenverdeelmodel!C28</f>
        <v>0</v>
      </c>
      <c r="D25">
        <f>Kostenverdeelmodel!D28</f>
        <v>5</v>
      </c>
      <c r="E25" s="55">
        <f>Kostenverdeelmodel!E28</f>
        <v>0</v>
      </c>
      <c r="F25" t="str">
        <f>Kostenverdeelmodel!F28</f>
        <v>ja</v>
      </c>
      <c r="G25" s="55">
        <f>Kostenverdeelmodel!G28</f>
        <v>1302</v>
      </c>
      <c r="H25" s="55">
        <f>Kostenverdeelmodel!H28</f>
        <v>1302</v>
      </c>
      <c r="I25" t="str">
        <f>IF(ISBLANK(Kostenverdeelmodel!I28),"",Kostenverdeelmodel!I28)</f>
        <v>Alexander Laarman</v>
      </c>
      <c r="J25" t="str">
        <f>IF(ISBLANK(Kostenverdeelmodel!J28),"",Kostenverdeelmodel!J28)</f>
        <v>alexander.laarman@jii.org</v>
      </c>
      <c r="K25" t="str">
        <f>IF(ISBLANK(Kostenverdeelmodel!K28),"",Kostenverdeelmodel!K28)</f>
        <v/>
      </c>
      <c r="L25" t="str">
        <f>IF(ISBLANK(Kostenverdeelmodel!L28),"",Kostenverdeelmodel!L28)</f>
        <v/>
      </c>
      <c r="M25" t="str">
        <f>IF(ISBLANK(Kostenverdeelmodel!M28),"",Kostenverdeelmodel!M28)</f>
        <v/>
      </c>
      <c r="N25" t="str">
        <f>IF(ISBLANK(Kostenverdeelmodel!N28),"",Kostenverdeelmodel!N28)</f>
        <v/>
      </c>
      <c r="O25" t="str">
        <f>IF(ISBLANK(Kostenverdeelmodel!O28),"",Kostenverdeelmodel!O28)</f>
        <v/>
      </c>
    </row>
    <row r="26" spans="1:15" x14ac:dyDescent="0.25">
      <c r="A26" t="str">
        <f>IF(ISBLANK(Kostenverdeelmodel!A29),"",Kostenverdeelmodel!A29)</f>
        <v>KB</v>
      </c>
      <c r="B26" t="str">
        <f>IF(ISBLANK(Kostenverdeelmodel!B29),"",Kostenverdeelmodel!B29)</f>
        <v/>
      </c>
      <c r="C26" s="9">
        <f>Kostenverdeelmodel!C29</f>
        <v>288</v>
      </c>
      <c r="D26">
        <f>Kostenverdeelmodel!D29</f>
        <v>1</v>
      </c>
      <c r="E26" s="55">
        <f>Kostenverdeelmodel!E29</f>
        <v>1612</v>
      </c>
      <c r="F26" t="str">
        <f>Kostenverdeelmodel!F29</f>
        <v>ja</v>
      </c>
      <c r="G26" s="55">
        <f>Kostenverdeelmodel!G29</f>
        <v>1302</v>
      </c>
      <c r="H26" s="55">
        <f>Kostenverdeelmodel!H29</f>
        <v>2914</v>
      </c>
      <c r="I26" t="str">
        <f>IF(ISBLANK(Kostenverdeelmodel!I29),"",Kostenverdeelmodel!I29)</f>
        <v>Simone Kortekaas</v>
      </c>
      <c r="J26" t="str">
        <f>IF(ISBLANK(Kostenverdeelmodel!J29),"",Kostenverdeelmodel!J29)</f>
        <v>simone.kortekaas@kb.nl</v>
      </c>
      <c r="K26" t="str">
        <f>IF(ISBLANK(Kostenverdeelmodel!K29),"",Kostenverdeelmodel!K29)</f>
        <v>Martijn Kleppe</v>
      </c>
      <c r="L26" t="str">
        <f>IF(ISBLANK(Kostenverdeelmodel!L29),"",Kostenverdeelmodel!L29)</f>
        <v>martijn.kleppe@kb.nl</v>
      </c>
      <c r="M26" t="str">
        <f>IF(ISBLANK(Kostenverdeelmodel!M29),"",Kostenverdeelmodel!M29)</f>
        <v>Astrid van Weesenbeeck</v>
      </c>
      <c r="N26" t="str">
        <f>IF(ISBLANK(Kostenverdeelmodel!N29),"",Kostenverdeelmodel!N29)</f>
        <v>Astrid.vanWesenbeeck@KB.nl</v>
      </c>
      <c r="O26" t="str">
        <f>IF(ISBLANK(Kostenverdeelmodel!O29),"",Kostenverdeelmodel!O29)</f>
        <v>ja</v>
      </c>
    </row>
    <row r="27" spans="1:15" x14ac:dyDescent="0.25">
      <c r="A27" t="s">
        <v>856</v>
      </c>
      <c r="B27" t="s">
        <v>850</v>
      </c>
      <c r="C27" s="9">
        <f>C26</f>
        <v>288</v>
      </c>
      <c r="D27" s="9">
        <f t="shared" ref="D27:H27" si="0">D26</f>
        <v>1</v>
      </c>
      <c r="E27" s="9">
        <f t="shared" si="0"/>
        <v>1612</v>
      </c>
      <c r="F27" s="9" t="str">
        <f t="shared" si="0"/>
        <v>ja</v>
      </c>
      <c r="G27" s="9">
        <f t="shared" si="0"/>
        <v>1302</v>
      </c>
      <c r="H27" s="9">
        <f t="shared" si="0"/>
        <v>2914</v>
      </c>
      <c r="I27" t="str">
        <f>I1</f>
        <v>Contactpersoon naam</v>
      </c>
      <c r="J27" s="56" t="s">
        <v>857</v>
      </c>
      <c r="K27" t="str">
        <f>K1</f>
        <v>Library Director naam</v>
      </c>
      <c r="L27" s="56" t="s">
        <v>857</v>
      </c>
      <c r="M27" t="str">
        <f>M1</f>
        <v>Chief Open Science naam</v>
      </c>
      <c r="N27" s="56" t="s">
        <v>857</v>
      </c>
      <c r="O27" t="str">
        <f>IF(ISBLANK(Kostenverdeelmodel!O30),"",Kostenverdeelmodel!O30)</f>
        <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B0FE8-00DD-420A-8553-4EEC8767A1F8}">
  <dimension ref="A1:L52"/>
  <sheetViews>
    <sheetView workbookViewId="0">
      <selection sqref="A1:H45"/>
    </sheetView>
  </sheetViews>
  <sheetFormatPr defaultRowHeight="15" x14ac:dyDescent="0.25"/>
  <cols>
    <col min="1" max="1" width="32" customWidth="1"/>
    <col min="2" max="2" width="14.7109375" customWidth="1"/>
    <col min="3" max="3" width="11.140625" customWidth="1"/>
    <col min="4" max="4" width="12.85546875" customWidth="1"/>
    <col min="5" max="5" width="12.140625" customWidth="1"/>
    <col min="6" max="7" width="14.42578125" customWidth="1"/>
    <col min="12" max="12" width="9.42578125" bestFit="1" customWidth="1"/>
  </cols>
  <sheetData>
    <row r="1" spans="1:7" ht="21" x14ac:dyDescent="0.35">
      <c r="A1" s="40" t="s">
        <v>682</v>
      </c>
    </row>
    <row r="3" spans="1:7" ht="47.25" customHeight="1" x14ac:dyDescent="0.25">
      <c r="A3" s="14" t="s">
        <v>630</v>
      </c>
      <c r="B3" s="14" t="s">
        <v>629</v>
      </c>
      <c r="C3" s="14" t="s">
        <v>684</v>
      </c>
      <c r="D3" s="14" t="s">
        <v>679</v>
      </c>
      <c r="E3" s="14" t="s">
        <v>678</v>
      </c>
      <c r="F3" s="37" t="s">
        <v>681</v>
      </c>
      <c r="G3" s="15"/>
    </row>
    <row r="4" spans="1:7" x14ac:dyDescent="0.25">
      <c r="A4" s="15" t="s">
        <v>14</v>
      </c>
      <c r="B4" s="16">
        <v>68465</v>
      </c>
      <c r="C4" s="17">
        <v>1</v>
      </c>
      <c r="D4" s="18">
        <f>VLOOKUP(Table2[[#This Row],[Groep]],$A$39:$G$44,5,FALSE)</f>
        <v>3346.2085308056871</v>
      </c>
      <c r="E4" s="19" t="str">
        <f>VLOOKUP(Table2[[#This Row],[Groep]],$A$39:$G$44,7,FALSE)</f>
        <v>ja</v>
      </c>
      <c r="F4" s="15"/>
      <c r="G4" s="15"/>
    </row>
    <row r="5" spans="1:7" x14ac:dyDescent="0.25">
      <c r="A5" s="15" t="s">
        <v>24</v>
      </c>
      <c r="B5" s="16">
        <v>60257</v>
      </c>
      <c r="C5" s="17">
        <v>1</v>
      </c>
      <c r="D5" s="18">
        <f>VLOOKUP(Table2[[#This Row],[Groep]],$A$39:$G$44,5,FALSE)</f>
        <v>3346.2085308056871</v>
      </c>
      <c r="E5" s="19" t="str">
        <f>VLOOKUP(Table2[[#This Row],[Groep]],$A$39:$G$44,7,FALSE)</f>
        <v>ja</v>
      </c>
      <c r="F5" s="15"/>
      <c r="G5" s="15"/>
    </row>
    <row r="6" spans="1:7" x14ac:dyDescent="0.25">
      <c r="A6" s="15" t="s">
        <v>33</v>
      </c>
      <c r="B6" s="16">
        <v>56275</v>
      </c>
      <c r="C6" s="17">
        <v>1</v>
      </c>
      <c r="D6" s="18">
        <f>VLOOKUP(Table2[[#This Row],[Groep]],$A$39:$G$44,5,FALSE)</f>
        <v>3346.2085308056871</v>
      </c>
      <c r="E6" s="19" t="str">
        <f>VLOOKUP(Table2[[#This Row],[Groep]],$A$39:$G$44,7,FALSE)</f>
        <v>ja</v>
      </c>
      <c r="F6" s="15"/>
      <c r="G6" s="15"/>
    </row>
    <row r="7" spans="1:7" x14ac:dyDescent="0.25">
      <c r="A7" s="15" t="s">
        <v>42</v>
      </c>
      <c r="B7" s="16">
        <v>47078</v>
      </c>
      <c r="C7" s="17">
        <v>1</v>
      </c>
      <c r="D7" s="18">
        <f>VLOOKUP(Table2[[#This Row],[Groep]],$A$39:$G$44,5,FALSE)</f>
        <v>3346.2085308056871</v>
      </c>
      <c r="E7" s="19" t="str">
        <f>VLOOKUP(Table2[[#This Row],[Groep]],$A$39:$G$44,7,FALSE)</f>
        <v>ja</v>
      </c>
      <c r="F7" s="15"/>
      <c r="G7" s="15"/>
    </row>
    <row r="8" spans="1:7" x14ac:dyDescent="0.25">
      <c r="A8" s="15" t="s">
        <v>51</v>
      </c>
      <c r="B8" s="16">
        <v>45349</v>
      </c>
      <c r="C8" s="17">
        <v>1</v>
      </c>
      <c r="D8" s="18">
        <f>VLOOKUP(Table2[[#This Row],[Groep]],$A$39:$G$44,5,FALSE)</f>
        <v>3346.2085308056871</v>
      </c>
      <c r="E8" s="19" t="str">
        <f>VLOOKUP(Table2[[#This Row],[Groep]],$A$39:$G$44,7,FALSE)</f>
        <v>ja</v>
      </c>
      <c r="F8" s="15"/>
      <c r="G8" s="15"/>
    </row>
    <row r="9" spans="1:7" x14ac:dyDescent="0.25">
      <c r="A9" s="15" t="s">
        <v>60</v>
      </c>
      <c r="B9" s="16">
        <v>44206</v>
      </c>
      <c r="C9" s="17">
        <v>1</v>
      </c>
      <c r="D9" s="18">
        <f>VLOOKUP(Table2[[#This Row],[Groep]],$A$39:$G$44,5,FALSE)</f>
        <v>3346.2085308056871</v>
      </c>
      <c r="E9" s="19" t="str">
        <f>VLOOKUP(Table2[[#This Row],[Groep]],$A$39:$G$44,7,FALSE)</f>
        <v>ja</v>
      </c>
      <c r="F9" s="15"/>
      <c r="G9" s="15"/>
    </row>
    <row r="10" spans="1:7" x14ac:dyDescent="0.25">
      <c r="A10" s="15" t="s">
        <v>69</v>
      </c>
      <c r="B10" s="16">
        <v>42961</v>
      </c>
      <c r="C10" s="17">
        <v>1</v>
      </c>
      <c r="D10" s="18">
        <f>VLOOKUP(Table2[[#This Row],[Groep]],$A$39:$G$44,5,FALSE)</f>
        <v>3346.2085308056871</v>
      </c>
      <c r="E10" s="19" t="str">
        <f>VLOOKUP(Table2[[#This Row],[Groep]],$A$39:$G$44,7,FALSE)</f>
        <v>ja</v>
      </c>
      <c r="F10" s="15"/>
      <c r="G10" s="15"/>
    </row>
    <row r="11" spans="1:7" x14ac:dyDescent="0.25">
      <c r="A11" s="15" t="s">
        <v>77</v>
      </c>
      <c r="B11" s="16">
        <v>41494</v>
      </c>
      <c r="C11" s="17">
        <v>1</v>
      </c>
      <c r="D11" s="18">
        <f>VLOOKUP(Table2[[#This Row],[Groep]],$A$39:$G$44,5,FALSE)</f>
        <v>3346.2085308056871</v>
      </c>
      <c r="E11" s="19" t="str">
        <f>VLOOKUP(Table2[[#This Row],[Groep]],$A$39:$G$44,7,FALSE)</f>
        <v>ja</v>
      </c>
      <c r="F11" s="15"/>
      <c r="G11" s="15"/>
    </row>
    <row r="12" spans="1:7" x14ac:dyDescent="0.25">
      <c r="A12" s="15" t="s">
        <v>86</v>
      </c>
      <c r="B12" s="16">
        <v>39430</v>
      </c>
      <c r="C12" s="17">
        <v>2</v>
      </c>
      <c r="D12" s="18">
        <f>VLOOKUP(Table2[[#This Row],[Groep]],$A$39:$G$44,5,FALSE)</f>
        <v>2230.8056872037914</v>
      </c>
      <c r="E12" s="19" t="str">
        <f>VLOOKUP(Table2[[#This Row],[Groep]],$A$39:$G$44,7,FALSE)</f>
        <v>ja</v>
      </c>
      <c r="F12" s="15"/>
      <c r="G12" s="15"/>
    </row>
    <row r="13" spans="1:7" x14ac:dyDescent="0.25">
      <c r="A13" s="15" t="s">
        <v>95</v>
      </c>
      <c r="B13" s="16">
        <v>35678</v>
      </c>
      <c r="C13" s="17">
        <v>2</v>
      </c>
      <c r="D13" s="18">
        <f>VLOOKUP(Table2[[#This Row],[Groep]],$A$39:$G$44,5,FALSE)</f>
        <v>2230.8056872037914</v>
      </c>
      <c r="E13" s="19" t="str">
        <f>VLOOKUP(Table2[[#This Row],[Groep]],$A$39:$G$44,7,FALSE)</f>
        <v>ja</v>
      </c>
      <c r="F13" s="15"/>
      <c r="G13" s="15"/>
    </row>
    <row r="14" spans="1:7" x14ac:dyDescent="0.25">
      <c r="A14" s="15" t="s">
        <v>127</v>
      </c>
      <c r="B14" s="16">
        <v>23209</v>
      </c>
      <c r="C14" s="17">
        <v>2</v>
      </c>
      <c r="D14" s="18">
        <f>VLOOKUP(Table2[[#This Row],[Groep]],$A$39:$G$44,5,FALSE)</f>
        <v>2230.8056872037914</v>
      </c>
      <c r="E14" s="19" t="str">
        <f>VLOOKUP(Table2[[#This Row],[Groep]],$A$39:$G$44,7,FALSE)</f>
        <v>ja</v>
      </c>
      <c r="F14" s="15"/>
      <c r="G14" s="15"/>
    </row>
    <row r="15" spans="1:7" x14ac:dyDescent="0.25">
      <c r="A15" s="15" t="s">
        <v>150</v>
      </c>
      <c r="B15" s="16">
        <v>17134</v>
      </c>
      <c r="C15" s="17">
        <v>2</v>
      </c>
      <c r="D15" s="18">
        <f>VLOOKUP(Table2[[#This Row],[Groep]],$A$39:$G$44,5,FALSE)</f>
        <v>2230.8056872037914</v>
      </c>
      <c r="E15" s="19" t="str">
        <f>VLOOKUP(Table2[[#This Row],[Groep]],$A$39:$G$44,7,FALSE)</f>
        <v>ja</v>
      </c>
      <c r="F15" s="15"/>
      <c r="G15" s="15"/>
    </row>
    <row r="16" spans="1:7" x14ac:dyDescent="0.25">
      <c r="A16" s="15" t="s">
        <v>627</v>
      </c>
      <c r="B16" s="16">
        <v>16072</v>
      </c>
      <c r="C16" s="17">
        <v>2</v>
      </c>
      <c r="D16" s="18">
        <f>VLOOKUP(Table2[[#This Row],[Groep]],$A$39:$G$44,5,FALSE)</f>
        <v>2230.8056872037914</v>
      </c>
      <c r="E16" s="19" t="str">
        <f>VLOOKUP(Table2[[#This Row],[Groep]],$A$39:$G$44,7,FALSE)</f>
        <v>ja</v>
      </c>
      <c r="F16" s="15"/>
      <c r="G16" s="15"/>
    </row>
    <row r="17" spans="1:7" x14ac:dyDescent="0.25">
      <c r="A17" s="15" t="s">
        <v>158</v>
      </c>
      <c r="B17" s="16">
        <v>14474</v>
      </c>
      <c r="C17" s="17">
        <v>2</v>
      </c>
      <c r="D17" s="18">
        <f>VLOOKUP(Table2[[#This Row],[Groep]],$A$39:$G$44,5,FALSE)</f>
        <v>2230.8056872037914</v>
      </c>
      <c r="E17" s="19" t="str">
        <f>VLOOKUP(Table2[[#This Row],[Groep]],$A$39:$G$44,7,FALSE)</f>
        <v>ja</v>
      </c>
      <c r="F17" s="15"/>
      <c r="G17" s="15"/>
    </row>
    <row r="18" spans="1:7" x14ac:dyDescent="0.25">
      <c r="A18" s="15" t="s">
        <v>580</v>
      </c>
      <c r="B18" s="16">
        <v>11167</v>
      </c>
      <c r="C18" s="17">
        <v>2</v>
      </c>
      <c r="D18" s="18">
        <f>VLOOKUP(Table2[[#This Row],[Groep]],$A$39:$G$44,5,FALSE)</f>
        <v>2230.8056872037914</v>
      </c>
      <c r="E18" s="19" t="str">
        <f>VLOOKUP(Table2[[#This Row],[Groep]],$A$39:$G$44,7,FALSE)</f>
        <v>ja</v>
      </c>
      <c r="F18" s="15"/>
      <c r="G18" s="15"/>
    </row>
    <row r="19" spans="1:7" x14ac:dyDescent="0.25">
      <c r="A19" s="15" t="s">
        <v>572</v>
      </c>
      <c r="B19" s="16">
        <v>7476</v>
      </c>
      <c r="C19" s="17">
        <v>3</v>
      </c>
      <c r="D19" s="18">
        <f>VLOOKUP(Table2[[#This Row],[Groep]],$A$39:$G$44,5,FALSE)</f>
        <v>1487.2037914691941</v>
      </c>
      <c r="E19" s="19" t="str">
        <f>VLOOKUP(Table2[[#This Row],[Groep]],$A$39:$G$44,7,FALSE)</f>
        <v>nee</v>
      </c>
      <c r="F19" s="15"/>
      <c r="G19" s="15"/>
    </row>
    <row r="20" spans="1:7" x14ac:dyDescent="0.25">
      <c r="A20" s="15" t="s">
        <v>583</v>
      </c>
      <c r="B20" s="16">
        <v>6941</v>
      </c>
      <c r="C20" s="17">
        <v>3</v>
      </c>
      <c r="D20" s="18">
        <f>VLOOKUP(Table2[[#This Row],[Groep]],$A$39:$G$44,5,FALSE)</f>
        <v>1487.2037914691941</v>
      </c>
      <c r="E20" s="19" t="str">
        <f>VLOOKUP(Table2[[#This Row],[Groep]],$A$39:$G$44,7,FALSE)</f>
        <v>nee</v>
      </c>
      <c r="F20" s="15"/>
      <c r="G20" s="15"/>
    </row>
    <row r="21" spans="1:7" x14ac:dyDescent="0.25">
      <c r="A21" s="15" t="s">
        <v>591</v>
      </c>
      <c r="B21" s="16">
        <v>6115</v>
      </c>
      <c r="C21" s="17">
        <v>3</v>
      </c>
      <c r="D21" s="18">
        <f>VLOOKUP(Table2[[#This Row],[Groep]],$A$39:$G$44,5,FALSE)</f>
        <v>1487.2037914691941</v>
      </c>
      <c r="E21" s="19" t="str">
        <f>VLOOKUP(Table2[[#This Row],[Groep]],$A$39:$G$44,7,FALSE)</f>
        <v>nee</v>
      </c>
      <c r="F21" s="15"/>
      <c r="G21" s="15"/>
    </row>
    <row r="22" spans="1:7" x14ac:dyDescent="0.25">
      <c r="A22" s="15" t="s">
        <v>191</v>
      </c>
      <c r="B22" s="16">
        <v>5445</v>
      </c>
      <c r="C22" s="17">
        <v>3</v>
      </c>
      <c r="D22" s="18">
        <f>VLOOKUP(Table2[[#This Row],[Groep]],$A$39:$G$44,5,FALSE)</f>
        <v>1487.2037914691941</v>
      </c>
      <c r="E22" s="19" t="str">
        <f>VLOOKUP(Table2[[#This Row],[Groep]],$A$39:$G$44,7,FALSE)</f>
        <v>nee</v>
      </c>
      <c r="F22" s="15"/>
      <c r="G22" s="15"/>
    </row>
    <row r="23" spans="1:7" x14ac:dyDescent="0.25">
      <c r="A23" s="15" t="s">
        <v>636</v>
      </c>
      <c r="B23" s="17">
        <v>2523</v>
      </c>
      <c r="C23" s="17">
        <v>4</v>
      </c>
      <c r="D23" s="20">
        <f>VLOOKUP(Table2[[#This Row],[Groep]],$A$39:$G$44,5,FALSE)</f>
        <v>991.46919431279616</v>
      </c>
      <c r="E23" s="19" t="s">
        <v>634</v>
      </c>
      <c r="F23" s="22">
        <f>B32-D23</f>
        <v>508.53080568720384</v>
      </c>
      <c r="G23" s="15"/>
    </row>
    <row r="24" spans="1:7" x14ac:dyDescent="0.25">
      <c r="A24" s="15" t="s">
        <v>585</v>
      </c>
      <c r="B24" s="16">
        <v>2232</v>
      </c>
      <c r="C24" s="17">
        <v>4</v>
      </c>
      <c r="D24" s="18">
        <f>VLOOKUP(Table2[[#This Row],[Groep]],$A$39:$G$44,5,FALSE)</f>
        <v>991.46919431279616</v>
      </c>
      <c r="E24" s="19" t="str">
        <f>VLOOKUP(Table2[[#This Row],[Groep]],$A$39:$G$44,7,FALSE)</f>
        <v>nee</v>
      </c>
      <c r="F24" s="15"/>
      <c r="G24" s="15"/>
    </row>
    <row r="25" spans="1:7" x14ac:dyDescent="0.25">
      <c r="A25" s="15" t="s">
        <v>601</v>
      </c>
      <c r="B25" s="16">
        <v>1686</v>
      </c>
      <c r="C25" s="17">
        <v>4</v>
      </c>
      <c r="D25" s="18">
        <f>VLOOKUP(Table2[[#This Row],[Groep]],$A$39:$G$44,5,FALSE)</f>
        <v>991.46919431279616</v>
      </c>
      <c r="E25" s="19" t="str">
        <f>VLOOKUP(Table2[[#This Row],[Groep]],$A$39:$G$44,7,FALSE)</f>
        <v>nee</v>
      </c>
      <c r="F25" s="15"/>
      <c r="G25" s="15"/>
    </row>
    <row r="26" spans="1:7" x14ac:dyDescent="0.25">
      <c r="A26" s="15" t="s">
        <v>597</v>
      </c>
      <c r="B26" s="16">
        <v>1582</v>
      </c>
      <c r="C26" s="17">
        <v>4</v>
      </c>
      <c r="D26" s="18">
        <f>VLOOKUP(Table2[[#This Row],[Groep]],$A$39:$G$44,5,FALSE)</f>
        <v>991.46919431279616</v>
      </c>
      <c r="E26" s="19" t="str">
        <f>VLOOKUP(Table2[[#This Row],[Groep]],$A$39:$G$44,7,FALSE)</f>
        <v>nee</v>
      </c>
      <c r="F26" s="15"/>
      <c r="G26" s="15"/>
    </row>
    <row r="27" spans="1:7" x14ac:dyDescent="0.25">
      <c r="A27" s="15" t="s">
        <v>680</v>
      </c>
      <c r="B27" s="17">
        <v>0</v>
      </c>
      <c r="C27" s="17">
        <v>5</v>
      </c>
      <c r="D27" s="20">
        <f>VLOOKUP(Table2[[#This Row],[Groep]],$A$39:$G$44,5,FALSE)</f>
        <v>0</v>
      </c>
      <c r="E27" s="36" t="s">
        <v>634</v>
      </c>
      <c r="F27" s="22">
        <f>B32-D27</f>
        <v>1500</v>
      </c>
      <c r="G27" s="15"/>
    </row>
    <row r="28" spans="1:7" x14ac:dyDescent="0.25">
      <c r="A28" s="15">
        <f>SUBTOTAL(103,Table2[NL-NaMeCo deelnemers die betalen])</f>
        <v>24</v>
      </c>
      <c r="B28" s="21">
        <f>SUBTOTAL(109,Table2[Research Output 2020-2023])</f>
        <v>597249</v>
      </c>
      <c r="C28" s="15"/>
      <c r="D28" s="22">
        <f>SUBTOTAL(109,Table2[Bijdrage aan NL-Research Portal beheer])</f>
        <v>52300.000000000029</v>
      </c>
      <c r="E28" s="15">
        <f>COUNTIF(Table2[incl OpenAIRE lidmaatschap],"ja")</f>
        <v>17</v>
      </c>
      <c r="F28" s="15"/>
      <c r="G28" s="15"/>
    </row>
    <row r="29" spans="1:7" x14ac:dyDescent="0.25">
      <c r="A29" s="15"/>
      <c r="B29" s="21"/>
      <c r="C29" s="15"/>
      <c r="D29" s="22"/>
      <c r="E29" s="15"/>
      <c r="F29" s="15"/>
      <c r="G29" s="15"/>
    </row>
    <row r="30" spans="1:7" x14ac:dyDescent="0.25">
      <c r="A30" s="15"/>
      <c r="B30" s="15"/>
      <c r="C30" s="15"/>
      <c r="D30" s="15"/>
      <c r="E30" s="15"/>
      <c r="F30" s="15"/>
      <c r="G30" s="15"/>
    </row>
    <row r="31" spans="1:7" x14ac:dyDescent="0.25">
      <c r="A31" s="15" t="s">
        <v>661</v>
      </c>
      <c r="B31" s="15" t="s">
        <v>662</v>
      </c>
      <c r="C31" s="15" t="s">
        <v>663</v>
      </c>
      <c r="D31" s="15" t="s">
        <v>664</v>
      </c>
      <c r="E31" s="15"/>
      <c r="F31" s="15"/>
      <c r="G31" s="15"/>
    </row>
    <row r="32" spans="1:7" x14ac:dyDescent="0.25">
      <c r="A32" s="15" t="s">
        <v>685</v>
      </c>
      <c r="B32" s="23">
        <v>1500</v>
      </c>
      <c r="C32" s="24">
        <f>Table2[[#Totals],[incl OpenAIRE lidmaatschap]]</f>
        <v>17</v>
      </c>
      <c r="D32" s="23">
        <f>B32*C32</f>
        <v>25500</v>
      </c>
      <c r="E32" s="15"/>
      <c r="F32" s="15"/>
      <c r="G32" s="15"/>
    </row>
    <row r="33" spans="1:12" x14ac:dyDescent="0.25">
      <c r="A33" s="15" t="s">
        <v>631</v>
      </c>
      <c r="B33" s="23">
        <v>12400</v>
      </c>
      <c r="C33" s="24">
        <v>1</v>
      </c>
      <c r="D33" s="23">
        <f t="shared" ref="D33:D34" si="0">B33*C33</f>
        <v>12400</v>
      </c>
      <c r="E33" s="15"/>
      <c r="F33" s="15"/>
      <c r="G33" s="15"/>
    </row>
    <row r="34" spans="1:12" x14ac:dyDescent="0.25">
      <c r="A34" s="15" t="s">
        <v>632</v>
      </c>
      <c r="B34" s="23">
        <v>14400</v>
      </c>
      <c r="C34" s="24">
        <v>1</v>
      </c>
      <c r="D34" s="23">
        <f t="shared" si="0"/>
        <v>14400</v>
      </c>
      <c r="E34" s="15"/>
      <c r="F34" s="15"/>
      <c r="G34" s="15"/>
    </row>
    <row r="35" spans="1:12" x14ac:dyDescent="0.25">
      <c r="A35" s="15" t="s">
        <v>666</v>
      </c>
      <c r="B35" s="15"/>
      <c r="C35" s="15"/>
      <c r="D35" s="22">
        <f>SUBTOTAL(109,Table3[totaal])</f>
        <v>52300</v>
      </c>
      <c r="E35" s="15"/>
      <c r="F35" s="15"/>
      <c r="G35" s="15"/>
    </row>
    <row r="36" spans="1:12" x14ac:dyDescent="0.25">
      <c r="A36" s="15"/>
      <c r="B36" s="21"/>
      <c r="C36" s="15"/>
      <c r="D36" s="25"/>
      <c r="E36" s="26"/>
      <c r="F36" s="15"/>
      <c r="G36" s="15"/>
    </row>
    <row r="37" spans="1:12" x14ac:dyDescent="0.25">
      <c r="A37" s="27" t="s">
        <v>665</v>
      </c>
      <c r="B37" s="27"/>
      <c r="C37" s="28" t="s">
        <v>667</v>
      </c>
      <c r="D37" s="29">
        <v>0.5</v>
      </c>
      <c r="E37" s="30"/>
      <c r="F37" s="31"/>
      <c r="G37" s="15"/>
    </row>
    <row r="38" spans="1:12" x14ac:dyDescent="0.25">
      <c r="A38" s="15"/>
      <c r="B38" s="15"/>
      <c r="C38" s="32"/>
      <c r="D38" s="31"/>
      <c r="E38" s="15"/>
      <c r="F38" s="15"/>
      <c r="G38" s="15"/>
      <c r="H38" s="7"/>
      <c r="I38" s="7"/>
      <c r="J38" s="7"/>
      <c r="K38" s="7"/>
      <c r="L38" s="7"/>
    </row>
    <row r="39" spans="1:12" x14ac:dyDescent="0.25">
      <c r="A39" s="33" t="s">
        <v>625</v>
      </c>
      <c r="B39" s="34" t="s">
        <v>626</v>
      </c>
      <c r="C39" s="34" t="s">
        <v>628</v>
      </c>
      <c r="D39" s="34" t="s">
        <v>660</v>
      </c>
      <c r="E39" s="34" t="s">
        <v>624</v>
      </c>
      <c r="F39" s="34" t="s">
        <v>623</v>
      </c>
      <c r="G39" s="34" t="s">
        <v>633</v>
      </c>
      <c r="J39" s="5"/>
      <c r="L39" s="8"/>
    </row>
    <row r="40" spans="1:12" x14ac:dyDescent="0.25">
      <c r="A40" s="35">
        <v>1</v>
      </c>
      <c r="B40" s="15" t="s">
        <v>618</v>
      </c>
      <c r="C40" s="15">
        <v>8</v>
      </c>
      <c r="D40" s="15">
        <f>(1+($D$37))^3*C40</f>
        <v>27</v>
      </c>
      <c r="E40" s="22">
        <f>$D$35/$D$45*D40/C40</f>
        <v>3346.2085308056871</v>
      </c>
      <c r="F40" s="22">
        <f>C40*E40</f>
        <v>26769.668246445497</v>
      </c>
      <c r="G40" s="15" t="s">
        <v>634</v>
      </c>
      <c r="J40" s="5"/>
      <c r="L40" s="8"/>
    </row>
    <row r="41" spans="1:12" x14ac:dyDescent="0.25">
      <c r="A41" s="35">
        <v>2</v>
      </c>
      <c r="B41" s="15" t="s">
        <v>619</v>
      </c>
      <c r="C41" s="15">
        <v>7</v>
      </c>
      <c r="D41" s="15">
        <f>(1+($D$37))^2*C41</f>
        <v>15.75</v>
      </c>
      <c r="E41" s="22">
        <f>$D$35/$D$45*D41/C41</f>
        <v>2230.8056872037914</v>
      </c>
      <c r="F41" s="22">
        <f>C41*E41</f>
        <v>15615.639810426539</v>
      </c>
      <c r="G41" s="15" t="s">
        <v>634</v>
      </c>
      <c r="J41" s="5"/>
      <c r="L41" s="8"/>
    </row>
    <row r="42" spans="1:12" x14ac:dyDescent="0.25">
      <c r="A42" s="35">
        <v>3</v>
      </c>
      <c r="B42" s="15" t="s">
        <v>620</v>
      </c>
      <c r="C42" s="15">
        <v>4</v>
      </c>
      <c r="D42" s="15">
        <f>(1+($D$37))^1*C42</f>
        <v>6</v>
      </c>
      <c r="E42" s="22">
        <f>$D$35/$D$45*D42/C42</f>
        <v>1487.2037914691941</v>
      </c>
      <c r="F42" s="22">
        <f>C42*E42</f>
        <v>5948.8151658767765</v>
      </c>
      <c r="G42" s="15" t="s">
        <v>635</v>
      </c>
      <c r="J42" s="5"/>
      <c r="L42" s="8"/>
    </row>
    <row r="43" spans="1:12" x14ac:dyDescent="0.25">
      <c r="A43" s="35">
        <v>4</v>
      </c>
      <c r="B43" s="15" t="s">
        <v>621</v>
      </c>
      <c r="C43" s="15">
        <v>4</v>
      </c>
      <c r="D43" s="15">
        <f>(1+($D$37))^0*C43</f>
        <v>4</v>
      </c>
      <c r="E43" s="22">
        <f>$D$35/$D$45*D43/C43</f>
        <v>991.46919431279616</v>
      </c>
      <c r="F43" s="22">
        <f>C43*E43</f>
        <v>3965.8767772511846</v>
      </c>
      <c r="G43" s="15" t="s">
        <v>635</v>
      </c>
    </row>
    <row r="44" spans="1:12" x14ac:dyDescent="0.25">
      <c r="A44" s="35">
        <v>5</v>
      </c>
      <c r="B44" s="15" t="s">
        <v>622</v>
      </c>
      <c r="C44" s="15">
        <v>65</v>
      </c>
      <c r="D44" s="15">
        <v>0</v>
      </c>
      <c r="E44" s="23">
        <v>0</v>
      </c>
      <c r="F44" s="22">
        <f>C44*E44</f>
        <v>0</v>
      </c>
      <c r="G44" s="15" t="s">
        <v>635</v>
      </c>
    </row>
    <row r="45" spans="1:12" x14ac:dyDescent="0.25">
      <c r="A45" s="35" t="s">
        <v>666</v>
      </c>
      <c r="B45" s="15"/>
      <c r="C45" s="15"/>
      <c r="D45" s="15">
        <f>SUBTOTAL(109,Table4[Factor])</f>
        <v>52.75</v>
      </c>
      <c r="E45" s="15"/>
      <c r="F45" s="22">
        <f>SUBTOTAL(109,Table4[Totaal])</f>
        <v>52299.999999999993</v>
      </c>
      <c r="G45" s="15"/>
    </row>
    <row r="47" spans="1:12" x14ac:dyDescent="0.25">
      <c r="F47" s="6"/>
    </row>
    <row r="48" spans="1:12" x14ac:dyDescent="0.25">
      <c r="F48" s="6"/>
    </row>
    <row r="49" spans="6:6" x14ac:dyDescent="0.25">
      <c r="F49" s="6"/>
    </row>
    <row r="50" spans="6:6" x14ac:dyDescent="0.25">
      <c r="F50" s="6"/>
    </row>
    <row r="51" spans="6:6" x14ac:dyDescent="0.25">
      <c r="F51" s="6"/>
    </row>
    <row r="52" spans="6:6" x14ac:dyDescent="0.25">
      <c r="F52" s="6"/>
    </row>
  </sheetData>
  <pageMargins left="0.7" right="0.7" top="0.75" bottom="0.75" header="0.3" footer="0.3"/>
  <pageSetup paperSize="9"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org_stats_2020_2023</vt:lpstr>
      <vt:lpstr>Kostenverdeelmodel</vt:lpstr>
      <vt:lpstr>mailmerge tabel</vt:lpstr>
      <vt:lpstr>oud-var1-Meer dan 1000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Jong, R.M. de (Rutger)</dc:creator>
  <cp:lastModifiedBy>Maurice Vanderfeesten</cp:lastModifiedBy>
  <dcterms:created xsi:type="dcterms:W3CDTF">2025-06-18T16:40:40Z</dcterms:created>
  <dcterms:modified xsi:type="dcterms:W3CDTF">2025-07-22T20:10:03Z</dcterms:modified>
</cp:coreProperties>
</file>