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 defaultThemeVersion="124226"/>
  <xr:revisionPtr revIDLastSave="25" documentId="11_BE35B5CBC3C09D8333354EAC08E4F7122C9AE91A" xr6:coauthVersionLast="40" xr6:coauthVersionMax="40" xr10:uidLastSave="{3DEAFFE6-3593-4DAD-9C50-00626CE16B95}"/>
  <bookViews>
    <workbookView xWindow="-120" yWindow="-120" windowWidth="29040" windowHeight="15840" xr2:uid="{00000000-000D-0000-FFFF-FFFF00000000}"/>
  </bookViews>
  <sheets>
    <sheet name="Flaeche Stammsatz" sheetId="1" r:id="rId1"/>
  </sheets>
  <definedNames>
    <definedName name="_xlnm.Print_Area" localSheetId="0">'Flaeche Stammsatz'!$A$1:$K$180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7" i="1" l="1"/>
  <c r="H34" i="1" l="1"/>
  <c r="H148" i="1"/>
  <c r="H150" i="1"/>
  <c r="H149" i="1"/>
  <c r="H104" i="1"/>
  <c r="H101" i="1"/>
  <c r="H100" i="1"/>
  <c r="H103" i="1"/>
  <c r="H102" i="1"/>
  <c r="H138" i="1"/>
  <c r="H137" i="1"/>
  <c r="H98" i="1"/>
  <c r="H97" i="1"/>
  <c r="H96" i="1"/>
  <c r="H95" i="1"/>
  <c r="H94" i="1"/>
  <c r="H93" i="1"/>
  <c r="H92" i="1"/>
  <c r="H91" i="1"/>
  <c r="H90" i="1"/>
  <c r="H85" i="1"/>
  <c r="H84" i="1"/>
  <c r="H83" i="1"/>
  <c r="H146" i="1"/>
  <c r="H145" i="1"/>
  <c r="H144" i="1"/>
  <c r="H143" i="1"/>
  <c r="H147" i="1"/>
  <c r="H81" i="1"/>
  <c r="H80" i="1"/>
  <c r="H78" i="1"/>
  <c r="H79" i="1"/>
  <c r="H77" i="1"/>
  <c r="H76" i="1"/>
  <c r="H82" i="1"/>
  <c r="H68" i="1"/>
  <c r="H70" i="1"/>
  <c r="H71" i="1"/>
  <c r="H69" i="1"/>
  <c r="H67" i="1"/>
  <c r="H133" i="1"/>
  <c r="H132" i="1"/>
  <c r="H66" i="1"/>
  <c r="H64" i="1"/>
  <c r="H63" i="1"/>
  <c r="H57" i="1"/>
  <c r="H56" i="1"/>
  <c r="H59" i="1"/>
  <c r="H55" i="1"/>
  <c r="H65" i="1"/>
  <c r="H58" i="1"/>
  <c r="H54" i="1"/>
  <c r="H60" i="1"/>
  <c r="H62" i="1"/>
  <c r="H61" i="1"/>
  <c r="H53" i="1"/>
  <c r="H89" i="1"/>
  <c r="H87" i="1"/>
  <c r="H88" i="1"/>
  <c r="H49" i="1"/>
  <c r="H86" i="1"/>
  <c r="H48" i="1"/>
  <c r="H47" i="1"/>
  <c r="H46" i="1"/>
  <c r="H50" i="1"/>
  <c r="H52" i="1"/>
  <c r="H51" i="1"/>
  <c r="H45" i="1"/>
  <c r="H44" i="1"/>
  <c r="H43" i="1"/>
  <c r="H131" i="1"/>
  <c r="H130" i="1"/>
  <c r="H42" i="1"/>
  <c r="H41" i="1"/>
  <c r="H40" i="1"/>
  <c r="H39" i="1"/>
  <c r="H38" i="1"/>
  <c r="H37" i="1"/>
  <c r="H35" i="1"/>
  <c r="H36" i="1"/>
  <c r="H29" i="1"/>
  <c r="H28" i="1"/>
  <c r="H27" i="1"/>
  <c r="H26" i="1"/>
  <c r="H25" i="1"/>
  <c r="H24" i="1"/>
  <c r="H31" i="1"/>
  <c r="H30" i="1"/>
  <c r="H32" i="1"/>
  <c r="H33" i="1"/>
  <c r="H23" i="1"/>
  <c r="H22" i="1"/>
  <c r="H14" i="1"/>
  <c r="H16" i="1"/>
  <c r="H15" i="1"/>
  <c r="H13" i="1"/>
  <c r="H12" i="1"/>
  <c r="H160" i="1"/>
  <c r="H154" i="1"/>
  <c r="H159" i="1"/>
  <c r="H158" i="1"/>
  <c r="H164" i="1"/>
  <c r="H163" i="1"/>
  <c r="H162" i="1"/>
  <c r="H134" i="1"/>
  <c r="H19" i="1"/>
  <c r="H18" i="1"/>
  <c r="H17" i="1"/>
  <c r="H11" i="1"/>
  <c r="H9" i="1"/>
  <c r="H10" i="1"/>
  <c r="H125" i="1"/>
  <c r="H124" i="1"/>
  <c r="H8" i="1"/>
  <c r="H7" i="1"/>
  <c r="H5" i="1"/>
  <c r="H6" i="1"/>
  <c r="H161" i="1"/>
  <c r="H157" i="1"/>
  <c r="H156" i="1"/>
  <c r="H155" i="1"/>
  <c r="H135" i="1"/>
  <c r="H123" i="1"/>
  <c r="H122" i="1"/>
  <c r="H121" i="1"/>
  <c r="H120" i="1"/>
  <c r="H119" i="1"/>
  <c r="H116" i="1"/>
  <c r="H141" i="1"/>
  <c r="H140" i="1"/>
  <c r="H115" i="1"/>
  <c r="H114" i="1"/>
  <c r="H127" i="1"/>
  <c r="H113" i="1"/>
  <c r="H112" i="1"/>
  <c r="H153" i="1"/>
  <c r="H152" i="1"/>
  <c r="H20" i="1"/>
  <c r="H21" i="1"/>
  <c r="H136" i="1"/>
  <c r="H126" i="1"/>
  <c r="H111" i="1" l="1"/>
  <c r="H106" i="1"/>
  <c r="H105" i="1"/>
  <c r="H110" i="1"/>
  <c r="H109" i="1"/>
  <c r="H128" i="1"/>
  <c r="H108" i="1"/>
  <c r="H129" i="1"/>
  <c r="H118" i="1"/>
  <c r="H117" i="1"/>
  <c r="H99" i="1"/>
  <c r="H151" i="1"/>
  <c r="H75" i="1"/>
  <c r="H74" i="1"/>
  <c r="H73" i="1"/>
  <c r="H72" i="1"/>
  <c r="H142" i="1"/>
  <c r="H139" i="1"/>
</calcChain>
</file>

<file path=xl/sharedStrings.xml><?xml version="1.0" encoding="utf-8"?>
<sst xmlns="http://schemas.openxmlformats.org/spreadsheetml/2006/main" count="1287" uniqueCount="296">
  <si>
    <t>Flurstück-Nr</t>
  </si>
  <si>
    <t>Rebsorte-Name</t>
  </si>
  <si>
    <t>Tag l. Bepflanzung</t>
  </si>
  <si>
    <t>Besitzform</t>
  </si>
  <si>
    <t/>
  </si>
  <si>
    <t>Gutedel</t>
  </si>
  <si>
    <t>30.06.2013</t>
  </si>
  <si>
    <t>Eigentum</t>
  </si>
  <si>
    <t>30.06.1991</t>
  </si>
  <si>
    <t>Sonnenstück</t>
  </si>
  <si>
    <t>30.06.2009</t>
  </si>
  <si>
    <t>30.06.1998</t>
  </si>
  <si>
    <t>30.06.2002</t>
  </si>
  <si>
    <t>30.06.2014</t>
  </si>
  <si>
    <t>30.06.2006</t>
  </si>
  <si>
    <t>30.06.1988</t>
  </si>
  <si>
    <t>30.06.1987</t>
  </si>
  <si>
    <t>Spätburgunder</t>
  </si>
  <si>
    <t>Pacht</t>
  </si>
  <si>
    <t>30.06.2000</t>
  </si>
  <si>
    <t>30.06.2015</t>
  </si>
  <si>
    <t>30.06.2016</t>
  </si>
  <si>
    <t>30.06.1995</t>
  </si>
  <si>
    <t>30.06.2004</t>
  </si>
  <si>
    <t>30.06.1984</t>
  </si>
  <si>
    <t>Freisamer</t>
  </si>
  <si>
    <t>30.06.1997</t>
  </si>
  <si>
    <t>Syrah</t>
  </si>
  <si>
    <t>30.06.2010</t>
  </si>
  <si>
    <t>Cabernet Sauvignon</t>
  </si>
  <si>
    <t>30.06.2008</t>
  </si>
  <si>
    <t>30.06.1994</t>
  </si>
  <si>
    <t>30.06.1990</t>
  </si>
  <si>
    <t>30.06.2011</t>
  </si>
  <si>
    <t>Findling</t>
  </si>
  <si>
    <t>30.06.1996</t>
  </si>
  <si>
    <t>30.06.2003</t>
  </si>
  <si>
    <t>30.06.2001</t>
  </si>
  <si>
    <t>Nobling</t>
  </si>
  <si>
    <t>Gewürztraminer</t>
  </si>
  <si>
    <t>Riesling</t>
  </si>
  <si>
    <t>30.06.1999</t>
  </si>
  <si>
    <t>30.06.2012</t>
  </si>
  <si>
    <t>30.06.1992</t>
  </si>
  <si>
    <t>30.06.1983</t>
  </si>
  <si>
    <t>30.06.2005</t>
  </si>
  <si>
    <t>Kerner</t>
  </si>
  <si>
    <t>30.06.2007</t>
  </si>
  <si>
    <t>Chardonnay</t>
  </si>
  <si>
    <t>Merlot</t>
  </si>
  <si>
    <t>30.06.1981</t>
  </si>
  <si>
    <t>Sauvignon Blanc</t>
  </si>
  <si>
    <t>30.06.1993</t>
  </si>
  <si>
    <t>30.06.1989</t>
  </si>
  <si>
    <t>Regent</t>
  </si>
  <si>
    <t>Auxerrois</t>
  </si>
  <si>
    <t>20.04.2017</t>
  </si>
  <si>
    <t>30.06.1982</t>
  </si>
  <si>
    <t>Müller-Thurgau</t>
  </si>
  <si>
    <t>Hubschänzel</t>
  </si>
  <si>
    <t xml:space="preserve">Historischer Name </t>
  </si>
  <si>
    <t>In der Einsetze</t>
  </si>
  <si>
    <t>Ober dem Häusle</t>
  </si>
  <si>
    <t>Hinten Oben</t>
  </si>
  <si>
    <t>Hohlengraben</t>
  </si>
  <si>
    <t>Hohwald</t>
  </si>
  <si>
    <t>Oberer Langrain</t>
  </si>
  <si>
    <t>Unterer Langrain</t>
  </si>
  <si>
    <t>Ölacker</t>
  </si>
  <si>
    <t>Oberer Blauen</t>
  </si>
  <si>
    <t>Kirchberg</t>
  </si>
  <si>
    <t>Altweg</t>
  </si>
  <si>
    <t>Hitschling</t>
  </si>
  <si>
    <t>Oberer Nollenberg</t>
  </si>
  <si>
    <t>Langer Himmelberg</t>
  </si>
  <si>
    <t>Oberer Himmelberg</t>
  </si>
  <si>
    <t>Kohlrose</t>
  </si>
  <si>
    <t>Großstück</t>
  </si>
  <si>
    <t>Unterer Nollenberg</t>
  </si>
  <si>
    <t>Bei der Bannwartshütte</t>
  </si>
  <si>
    <t>Steinweingarten</t>
  </si>
  <si>
    <t>Falken</t>
  </si>
  <si>
    <t>Bannstück</t>
  </si>
  <si>
    <t>Lärisbrunnen</t>
  </si>
  <si>
    <t>Fuchslöcher</t>
  </si>
  <si>
    <t>Eberhardt</t>
  </si>
  <si>
    <t>Vorderes Höferlin</t>
  </si>
  <si>
    <t>Mittleres Höferlin</t>
  </si>
  <si>
    <t>Untere Steinbux</t>
  </si>
  <si>
    <t>Ruchmatt</t>
  </si>
  <si>
    <t>Felsen</t>
  </si>
  <si>
    <t>Oberer Halde</t>
  </si>
  <si>
    <t>Maieracker</t>
  </si>
  <si>
    <t>Kostenacker</t>
  </si>
  <si>
    <t>Arberg</t>
  </si>
  <si>
    <t>Wettlingen</t>
  </si>
  <si>
    <t>Ritzenberg</t>
  </si>
  <si>
    <t>Kerleacker</t>
  </si>
  <si>
    <t>Rüttigraben</t>
  </si>
  <si>
    <t>Klone</t>
  </si>
  <si>
    <t>Dr136S</t>
  </si>
  <si>
    <t>Dr26</t>
  </si>
  <si>
    <t>FR49-207</t>
  </si>
  <si>
    <t>FR2101</t>
  </si>
  <si>
    <t>FR1801</t>
  </si>
  <si>
    <t>FR36-28</t>
  </si>
  <si>
    <t>Dr212</t>
  </si>
  <si>
    <t>FR2003</t>
  </si>
  <si>
    <t>FR43</t>
  </si>
  <si>
    <t>WeM242</t>
  </si>
  <si>
    <t>H1</t>
  </si>
  <si>
    <t>F Charisma</t>
  </si>
  <si>
    <t>Fr1801</t>
  </si>
  <si>
    <t>Dr505/517</t>
  </si>
  <si>
    <t>Dr505</t>
  </si>
  <si>
    <t>F105S</t>
  </si>
  <si>
    <t>FR12L</t>
  </si>
  <si>
    <t>Dr209</t>
  </si>
  <si>
    <t>Dr209/Dr212</t>
  </si>
  <si>
    <t>F105</t>
  </si>
  <si>
    <t>FR130</t>
  </si>
  <si>
    <t>Inra525/877/470</t>
  </si>
  <si>
    <t>Gm1-31</t>
  </si>
  <si>
    <t>SMA505</t>
  </si>
  <si>
    <t>FR80</t>
  </si>
  <si>
    <t>FR41</t>
  </si>
  <si>
    <t>Gm27</t>
  </si>
  <si>
    <t>FR5286</t>
  </si>
  <si>
    <t>WeM1</t>
  </si>
  <si>
    <t>FR13L</t>
  </si>
  <si>
    <t>F 105</t>
  </si>
  <si>
    <t>Gutedel Weiß</t>
  </si>
  <si>
    <t>Gutedel Rot</t>
  </si>
  <si>
    <t>20Gm/21Gm</t>
  </si>
  <si>
    <t>D64?</t>
  </si>
  <si>
    <t>Inra 15</t>
  </si>
  <si>
    <t>Gutedel weiß</t>
  </si>
  <si>
    <t>Lockerbeerig</t>
  </si>
  <si>
    <t>Gutedel rot</t>
  </si>
  <si>
    <t>Pinot 111/115</t>
  </si>
  <si>
    <t>FR5286 ???</t>
  </si>
  <si>
    <t>Inra 76</t>
  </si>
  <si>
    <t>Inra 348</t>
  </si>
  <si>
    <t>Inra 347</t>
  </si>
  <si>
    <t>Inra 343</t>
  </si>
  <si>
    <t>Inra 376</t>
  </si>
  <si>
    <t>H1 /FR49-207</t>
  </si>
  <si>
    <t>Lb50 / Inra 316</t>
  </si>
  <si>
    <t>Lb 50 / Inra 242</t>
  </si>
  <si>
    <t>FR12L / FR13L</t>
  </si>
  <si>
    <t>Inra 530</t>
  </si>
  <si>
    <t>Dr136s</t>
  </si>
  <si>
    <t>Pacht &amp; Bewirtschaftung</t>
  </si>
  <si>
    <t xml:space="preserve">Pacht </t>
  </si>
  <si>
    <t>Grauburgunder</t>
  </si>
  <si>
    <t>Weißburgunder</t>
  </si>
  <si>
    <t>Unterlagsrebe</t>
  </si>
  <si>
    <t>H1/ FR49-207</t>
  </si>
  <si>
    <t>Fläche (Ar)</t>
  </si>
  <si>
    <t>nicht vergeben</t>
  </si>
  <si>
    <t>5 BB</t>
  </si>
  <si>
    <t>We 48</t>
  </si>
  <si>
    <t>Klon</t>
  </si>
  <si>
    <t>So4</t>
  </si>
  <si>
    <t>60 Gm</t>
  </si>
  <si>
    <t>13-15 Gm</t>
  </si>
  <si>
    <t>13 Gm / FR 148</t>
  </si>
  <si>
    <t>Binova</t>
  </si>
  <si>
    <t>1 Op</t>
  </si>
  <si>
    <t>FR 148</t>
  </si>
  <si>
    <t>?</t>
  </si>
  <si>
    <t>Inra 102</t>
  </si>
  <si>
    <t>5 BB / 5 BB</t>
  </si>
  <si>
    <t>FR1801 / Gm20-13</t>
  </si>
  <si>
    <t>114 / 13-5 Gm</t>
  </si>
  <si>
    <t>FR 146</t>
  </si>
  <si>
    <t>D50</t>
  </si>
  <si>
    <t>D209</t>
  </si>
  <si>
    <t>D136S</t>
  </si>
  <si>
    <t xml:space="preserve">13 Gm  </t>
  </si>
  <si>
    <t>13 Gm</t>
  </si>
  <si>
    <t xml:space="preserve">We </t>
  </si>
  <si>
    <t>D26</t>
  </si>
  <si>
    <t>D 276 / D 264</t>
  </si>
  <si>
    <t>Inra 73</t>
  </si>
  <si>
    <t>N 201</t>
  </si>
  <si>
    <t>Cabernet S</t>
  </si>
  <si>
    <t>1 Gm</t>
  </si>
  <si>
    <t>FR52 / Gm 239-25</t>
  </si>
  <si>
    <t>5 BB / 125 AA</t>
  </si>
  <si>
    <t>13 Gm / F 261</t>
  </si>
  <si>
    <t>Gm 20-13 / Gm 1-11 / Gm 2-6</t>
  </si>
  <si>
    <t>Gm 20er</t>
  </si>
  <si>
    <t>125 AA / 5 BB</t>
  </si>
  <si>
    <t>bis 120</t>
  </si>
  <si>
    <t>bis 299</t>
  </si>
  <si>
    <t>bis 49</t>
  </si>
  <si>
    <t>bis 59</t>
  </si>
  <si>
    <t>bis 89</t>
  </si>
  <si>
    <t>bis 99</t>
  </si>
  <si>
    <t>Qualitätsstufe</t>
  </si>
  <si>
    <t>Gutswein</t>
  </si>
  <si>
    <t>Verschnitt</t>
  </si>
  <si>
    <t>Liter</t>
  </si>
  <si>
    <t>Schlag35</t>
  </si>
  <si>
    <t>Fiona</t>
  </si>
  <si>
    <t>Maierstück</t>
  </si>
  <si>
    <t>Obere Röten</t>
  </si>
  <si>
    <t>Schlag36</t>
  </si>
  <si>
    <t>Schlag20</t>
  </si>
  <si>
    <t>Schlag10</t>
  </si>
  <si>
    <t>Schlag11</t>
  </si>
  <si>
    <t xml:space="preserve">Schlag10 </t>
  </si>
  <si>
    <t>Schlag12</t>
  </si>
  <si>
    <t>Schlag13</t>
  </si>
  <si>
    <t>Schlag14</t>
  </si>
  <si>
    <t xml:space="preserve">Schlag14 </t>
  </si>
  <si>
    <t>Schlag15</t>
  </si>
  <si>
    <t>Schlag16</t>
  </si>
  <si>
    <t>Schlag17</t>
  </si>
  <si>
    <t>Schlag18</t>
  </si>
  <si>
    <t>Schlag2</t>
  </si>
  <si>
    <t>Schlag21</t>
  </si>
  <si>
    <t>Schlag22</t>
  </si>
  <si>
    <t>Schlag23</t>
  </si>
  <si>
    <t xml:space="preserve">Schlag24 </t>
  </si>
  <si>
    <t>Schlag25</t>
  </si>
  <si>
    <t>Schlag26</t>
  </si>
  <si>
    <t xml:space="preserve">Schlag26 </t>
  </si>
  <si>
    <t>Schlag27</t>
  </si>
  <si>
    <t>Schlag28</t>
  </si>
  <si>
    <t>Schlag29</t>
  </si>
  <si>
    <t>Schlag3</t>
  </si>
  <si>
    <t>Schlag30</t>
  </si>
  <si>
    <t>Schlag32</t>
  </si>
  <si>
    <t xml:space="preserve">Schlag32 </t>
  </si>
  <si>
    <t>Schlag33</t>
  </si>
  <si>
    <t>Schlag34</t>
  </si>
  <si>
    <t xml:space="preserve">Schlag36 </t>
  </si>
  <si>
    <t>Schlag37</t>
  </si>
  <si>
    <t>Schlag38</t>
  </si>
  <si>
    <t>Schlag39</t>
  </si>
  <si>
    <t>Schlag4</t>
  </si>
  <si>
    <t>Schlag40</t>
  </si>
  <si>
    <t>Schlag41</t>
  </si>
  <si>
    <t>Schlag42</t>
  </si>
  <si>
    <t>Schlag43</t>
  </si>
  <si>
    <t>Schlag44</t>
  </si>
  <si>
    <t>Schlag45</t>
  </si>
  <si>
    <t>Schlag46</t>
  </si>
  <si>
    <t>Schlag47</t>
  </si>
  <si>
    <t>Schlag48</t>
  </si>
  <si>
    <t>Schlag49</t>
  </si>
  <si>
    <t>Schlag5</t>
  </si>
  <si>
    <t>Schlag50</t>
  </si>
  <si>
    <t>Schlag51</t>
  </si>
  <si>
    <t>Schlag52</t>
  </si>
  <si>
    <t>Schlag53</t>
  </si>
  <si>
    <t>Schlag54</t>
  </si>
  <si>
    <t>Schlag56</t>
  </si>
  <si>
    <t>Schlag58</t>
  </si>
  <si>
    <t>Schlag59</t>
  </si>
  <si>
    <t>Schlag6</t>
  </si>
  <si>
    <t>Schlag61</t>
  </si>
  <si>
    <t>Schlag65</t>
  </si>
  <si>
    <t>Schlag66</t>
  </si>
  <si>
    <t>Schlag67</t>
  </si>
  <si>
    <t>Schlag68</t>
  </si>
  <si>
    <t>Schlag69</t>
  </si>
  <si>
    <t>Schlag7</t>
  </si>
  <si>
    <t>Schlag70</t>
  </si>
  <si>
    <t>Schlag71</t>
  </si>
  <si>
    <t>Schlag73</t>
  </si>
  <si>
    <t>Schlag74</t>
  </si>
  <si>
    <t>Schlag75</t>
  </si>
  <si>
    <t>Schlag8</t>
  </si>
  <si>
    <t>Schlag83</t>
  </si>
  <si>
    <t>Schlag84</t>
  </si>
  <si>
    <t>Schlag9</t>
  </si>
  <si>
    <t>Dr26/FR41</t>
  </si>
  <si>
    <t>Dr50</t>
  </si>
  <si>
    <t>bis 83</t>
  </si>
  <si>
    <t>Schlag 60</t>
  </si>
  <si>
    <t>Schlag 64</t>
  </si>
  <si>
    <t>Schlag 63</t>
  </si>
  <si>
    <t>148 Fr</t>
  </si>
  <si>
    <t>114 / 144</t>
  </si>
  <si>
    <t>Gm20-13</t>
  </si>
  <si>
    <t>47 Gm</t>
  </si>
  <si>
    <t>Op14</t>
  </si>
  <si>
    <t>Pacht Domagala</t>
  </si>
  <si>
    <t>Terroir</t>
  </si>
  <si>
    <t>RoPrivatreserveenbach</t>
  </si>
  <si>
    <t>Privatreserve</t>
  </si>
  <si>
    <t>Oberer RoPrivatreserveenbach</t>
  </si>
  <si>
    <t xml:space="preserve">Privatreserve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</si>
</sst>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0" xfId="0" applyFill="1"/>
    <xf numFmtId="0" fontId="3" fillId="0" borderId="1" xfId="0" applyFont="1" applyFill="1" applyBorder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5" fillId="2" borderId="1" xfId="0" applyFont="1" applyFill="1" applyBorder="1" applyAlignment="1">
      <alignment horizontal="righ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/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right" vertical="top" wrapText="1"/>
    </xf>
    <xf numFmtId="0" fontId="3" fillId="3" borderId="1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/>
    <xf numFmtId="164" fontId="3" fillId="0" borderId="0" xfId="1" applyNumberFormat="1" applyFont="1" applyFill="1" applyBorder="1"/>
    <xf numFmtId="0" fontId="3" fillId="0" borderId="0" xfId="0" applyFont="1" applyBorder="1"/>
    <xf numFmtId="0" fontId="3" fillId="0" borderId="0" xfId="0" applyFont="1" applyFill="1"/>
    <xf numFmtId="0" fontId="3" fillId="0" borderId="0" xfId="0" applyFont="1"/>
    <xf numFmtId="0" fontId="2" fillId="0" borderId="0" xfId="0" applyFont="1"/>
    <xf numFmtId="0" fontId="5" fillId="0" borderId="0" xfId="0" applyFont="1" applyFill="1" applyBorder="1" applyAlignment="1">
      <alignment horizontal="right" vertical="top" wrapText="1"/>
    </xf>
    <xf numFmtId="0" fontId="5" fillId="0" borderId="2" xfId="0" applyFont="1" applyFill="1" applyBorder="1" applyAlignment="1">
      <alignment horizontal="right" vertical="top" wrapText="1"/>
    </xf>
    <xf numFmtId="0" fontId="3" fillId="5" borderId="1" xfId="0" applyFont="1" applyFill="1" applyBorder="1"/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right" vertical="top" wrapText="1"/>
    </xf>
    <xf numFmtId="164" fontId="3" fillId="0" borderId="1" xfId="1" applyNumberFormat="1" applyFont="1" applyFill="1" applyBorder="1"/>
    <xf numFmtId="0" fontId="3" fillId="6" borderId="1" xfId="0" applyFont="1" applyFill="1" applyBorder="1"/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right" vertical="top" wrapText="1"/>
    </xf>
    <xf numFmtId="0" fontId="0" fillId="6" borderId="0" xfId="0" applyFill="1"/>
    <xf numFmtId="14" fontId="5" fillId="6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/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right" vertical="top" wrapText="1"/>
    </xf>
    <xf numFmtId="0" fontId="6" fillId="0" borderId="3" xfId="0" applyFont="1" applyFill="1" applyBorder="1"/>
    <xf numFmtId="0" fontId="4" fillId="0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0" borderId="4" xfId="0" applyFont="1" applyFill="1" applyBorder="1"/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right" vertical="top" wrapText="1"/>
    </xf>
    <xf numFmtId="0" fontId="3" fillId="0" borderId="4" xfId="0" applyFont="1" applyBorder="1"/>
  </cellXfs>
  <cellStyles count="2">
    <cellStyle name="Komma" xfId="1" builtinId="3"/>
    <cellStyle name="Standard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9C2E3-B424-45CD-BFFD-C7D4C0715D69}" name="Tabelle1" displayName="Tabelle1" ref="A1:K172" totalsRowShown="0" headerRowDxfId="0" dataDxfId="1" headerRowBorderDxfId="13" tableBorderDxfId="14">
  <autoFilter ref="A1:K172" xr:uid="{508C6899-E06E-44DA-A777-B16E347E0174}"/>
  <sortState xmlns:xlrd2="http://schemas.microsoft.com/office/spreadsheetml/2017/richdata2" ref="A2:K172">
    <sortCondition ref="A1:A172"/>
  </sortState>
  <tableColumns count="11">
    <tableColumn id="2" xr3:uid="{6DA0B628-BB31-4354-AE45-0937DD405C4A}" name="Fiona" dataDxfId="12"/>
    <tableColumn id="3" xr3:uid="{1BAFB92B-FDC2-402C-B04C-5D8F27F153C0}" name="Flurstück-Nr" dataDxfId="11"/>
    <tableColumn id="4" xr3:uid="{61C12ADC-888A-46F2-BFF9-76820D5690D6}" name="Historischer Name " dataDxfId="10"/>
    <tableColumn id="5" xr3:uid="{D3BCBB6F-83D5-45C3-880D-C2D009D9492D}" name="Rebsorte-Name" dataDxfId="9"/>
    <tableColumn id="6" xr3:uid="{F0720F35-B75E-4349-9F18-656DF0651518}" name="Klone" dataDxfId="8"/>
    <tableColumn id="7" xr3:uid="{D58665F8-E7D5-4E35-AAA8-77BC30FAB078}" name="Unterlagsrebe" dataDxfId="7"/>
    <tableColumn id="8" xr3:uid="{DF74EEEC-3413-4F5D-808A-8B3C16607CC8}" name="Klon" dataDxfId="6"/>
    <tableColumn id="9" xr3:uid="{9F197BDD-0E3F-4985-A192-24191D27E40F}" name="Fläche (Ar)" dataDxfId="5"/>
    <tableColumn id="12" xr3:uid="{4C19B0CB-F915-489C-8DEC-3217D32760DA}" name="Tag l. Bepflanzung" dataDxfId="4"/>
    <tableColumn id="13" xr3:uid="{95944B9D-3A78-4E81-B419-9930F47E247C}" name="Besitzform" dataDxfId="3"/>
    <tableColumn id="15" xr3:uid="{2984E60A-422F-4662-BAA9-9E0B554165FD}" name="Qualitätsstufe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3"/>
  <sheetViews>
    <sheetView tabSelected="1" topLeftCell="A142" zoomScaleNormal="100" zoomScaleSheetLayoutView="80" workbookViewId="0">
      <selection activeCell="C183" sqref="C183"/>
    </sheetView>
  </sheetViews>
  <sheetFormatPr baseColWidth="10" defaultColWidth="9.140625" defaultRowHeight="18" x14ac:dyDescent="0.25"/>
  <cols>
    <col min="1" max="1" width="13.42578125" style="20" bestFit="1" customWidth="1"/>
    <col min="2" max="2" width="19.5703125" style="3" customWidth="1"/>
    <col min="3" max="3" width="29.42578125" style="3" bestFit="1" customWidth="1"/>
    <col min="4" max="4" width="26" style="3" bestFit="1" customWidth="1"/>
    <col min="5" max="5" width="38.42578125" style="3" bestFit="1" customWidth="1"/>
    <col min="6" max="6" width="21.85546875" style="3" customWidth="1"/>
    <col min="7" max="7" width="21" style="3" bestFit="1" customWidth="1"/>
    <col min="8" max="8" width="17.42578125" style="3" customWidth="1"/>
    <col min="9" max="9" width="27.85546875" style="3" customWidth="1"/>
    <col min="10" max="10" width="31" style="3" bestFit="1" customWidth="1"/>
    <col min="11" max="11" width="21.42578125" style="21" customWidth="1"/>
  </cols>
  <sheetData>
    <row r="1" spans="1:11" s="22" customFormat="1" ht="15.95" customHeight="1" x14ac:dyDescent="0.25">
      <c r="A1" s="37" t="s">
        <v>205</v>
      </c>
      <c r="B1" s="38" t="s">
        <v>0</v>
      </c>
      <c r="C1" s="38" t="s">
        <v>60</v>
      </c>
      <c r="D1" s="38" t="s">
        <v>1</v>
      </c>
      <c r="E1" s="38" t="s">
        <v>99</v>
      </c>
      <c r="F1" s="38" t="s">
        <v>156</v>
      </c>
      <c r="G1" s="38" t="s">
        <v>162</v>
      </c>
      <c r="H1" s="38" t="s">
        <v>158</v>
      </c>
      <c r="I1" s="38" t="s">
        <v>2</v>
      </c>
      <c r="J1" s="38" t="s">
        <v>3</v>
      </c>
      <c r="K1" s="39" t="s">
        <v>200</v>
      </c>
    </row>
    <row r="2" spans="1:11" s="32" customFormat="1" ht="23.1" customHeight="1" x14ac:dyDescent="0.25">
      <c r="A2" s="29" t="s">
        <v>282</v>
      </c>
      <c r="B2" s="30">
        <v>3386</v>
      </c>
      <c r="C2" s="30" t="s">
        <v>86</v>
      </c>
      <c r="D2" s="30" t="s">
        <v>132</v>
      </c>
      <c r="E2" s="30" t="s">
        <v>279</v>
      </c>
      <c r="F2" s="30"/>
      <c r="G2" s="30"/>
      <c r="H2" s="31">
        <v>14.47</v>
      </c>
      <c r="I2" s="33">
        <v>39263</v>
      </c>
      <c r="J2" s="30" t="s">
        <v>18</v>
      </c>
      <c r="K2" s="29"/>
    </row>
    <row r="3" spans="1:11" ht="23.1" customHeight="1" x14ac:dyDescent="0.25">
      <c r="A3" s="29" t="s">
        <v>284</v>
      </c>
      <c r="B3" s="30">
        <v>3395</v>
      </c>
      <c r="C3" s="30" t="s">
        <v>87</v>
      </c>
      <c r="D3" s="30" t="s">
        <v>131</v>
      </c>
      <c r="E3" s="30" t="s">
        <v>280</v>
      </c>
      <c r="F3" s="30"/>
      <c r="G3" s="30"/>
      <c r="H3" s="31">
        <v>13.82</v>
      </c>
      <c r="I3" s="33">
        <v>37802</v>
      </c>
      <c r="J3" s="30" t="s">
        <v>18</v>
      </c>
      <c r="K3" s="29"/>
    </row>
    <row r="4" spans="1:11" ht="23.1" customHeight="1" x14ac:dyDescent="0.25">
      <c r="A4" s="29" t="s">
        <v>283</v>
      </c>
      <c r="B4" s="30">
        <v>3442</v>
      </c>
      <c r="C4" s="30" t="s">
        <v>88</v>
      </c>
      <c r="D4" s="30" t="s">
        <v>131</v>
      </c>
      <c r="E4" s="30" t="s">
        <v>101</v>
      </c>
      <c r="F4" s="30"/>
      <c r="G4" s="30"/>
      <c r="H4" s="31">
        <v>7</v>
      </c>
      <c r="I4" s="33">
        <v>38533</v>
      </c>
      <c r="J4" s="30" t="s">
        <v>18</v>
      </c>
      <c r="K4" s="29"/>
    </row>
    <row r="5" spans="1:11" ht="23.1" customHeight="1" x14ac:dyDescent="0.25">
      <c r="A5" s="3" t="s">
        <v>210</v>
      </c>
      <c r="B5" s="4">
        <v>6566</v>
      </c>
      <c r="C5" s="4" t="s">
        <v>66</v>
      </c>
      <c r="D5" s="4" t="s">
        <v>155</v>
      </c>
      <c r="E5" s="4" t="s">
        <v>103</v>
      </c>
      <c r="F5" s="4"/>
      <c r="G5" s="4"/>
      <c r="H5" s="5">
        <f>448/100</f>
        <v>4.4800000000000004</v>
      </c>
      <c r="I5" s="4" t="s">
        <v>20</v>
      </c>
      <c r="J5" s="4" t="s">
        <v>7</v>
      </c>
      <c r="K5" s="7" t="s">
        <v>201</v>
      </c>
    </row>
    <row r="6" spans="1:11" ht="23.1" customHeight="1" x14ac:dyDescent="0.25">
      <c r="A6" s="3" t="s">
        <v>210</v>
      </c>
      <c r="B6" s="4">
        <v>6565</v>
      </c>
      <c r="C6" s="4" t="s">
        <v>66</v>
      </c>
      <c r="D6" s="4" t="s">
        <v>17</v>
      </c>
      <c r="E6" s="4" t="s">
        <v>116</v>
      </c>
      <c r="F6" s="4"/>
      <c r="G6" s="4"/>
      <c r="H6" s="5">
        <f>910/100</f>
        <v>9.1</v>
      </c>
      <c r="I6" s="4" t="s">
        <v>19</v>
      </c>
      <c r="J6" s="4" t="s">
        <v>7</v>
      </c>
      <c r="K6" s="7" t="s">
        <v>201</v>
      </c>
    </row>
    <row r="7" spans="1:11" ht="23.1" customHeight="1" x14ac:dyDescent="0.25">
      <c r="A7" s="3" t="s">
        <v>212</v>
      </c>
      <c r="B7" s="4">
        <v>6567</v>
      </c>
      <c r="C7" s="4" t="s">
        <v>66</v>
      </c>
      <c r="D7" s="4" t="s">
        <v>155</v>
      </c>
      <c r="E7" s="4" t="s">
        <v>103</v>
      </c>
      <c r="F7" s="4"/>
      <c r="G7" s="4"/>
      <c r="H7" s="5">
        <f>887/100</f>
        <v>8.8699999999999992</v>
      </c>
      <c r="I7" s="4" t="s">
        <v>20</v>
      </c>
      <c r="J7" s="4" t="s">
        <v>7</v>
      </c>
      <c r="K7" s="7" t="s">
        <v>201</v>
      </c>
    </row>
    <row r="8" spans="1:11" s="32" customFormat="1" ht="23.1" customHeight="1" x14ac:dyDescent="0.25">
      <c r="A8" s="3" t="s">
        <v>211</v>
      </c>
      <c r="B8" s="4">
        <v>6569</v>
      </c>
      <c r="C8" s="4" t="s">
        <v>66</v>
      </c>
      <c r="D8" s="4" t="s">
        <v>155</v>
      </c>
      <c r="E8" s="4" t="s">
        <v>117</v>
      </c>
      <c r="F8" s="4"/>
      <c r="G8" s="4"/>
      <c r="H8" s="5">
        <f>1307/100</f>
        <v>13.07</v>
      </c>
      <c r="I8" s="4" t="s">
        <v>15</v>
      </c>
      <c r="J8" s="4" t="s">
        <v>7</v>
      </c>
      <c r="K8" s="7" t="s">
        <v>201</v>
      </c>
    </row>
    <row r="9" spans="1:11" ht="23.1" customHeight="1" x14ac:dyDescent="0.25">
      <c r="A9" s="3" t="s">
        <v>213</v>
      </c>
      <c r="B9" s="4">
        <v>6626</v>
      </c>
      <c r="C9" s="4" t="s">
        <v>66</v>
      </c>
      <c r="D9" s="4" t="s">
        <v>155</v>
      </c>
      <c r="E9" s="4" t="s">
        <v>117</v>
      </c>
      <c r="F9" s="4"/>
      <c r="G9" s="4"/>
      <c r="H9" s="5">
        <f>1072/100</f>
        <v>10.72</v>
      </c>
      <c r="I9" s="4" t="s">
        <v>22</v>
      </c>
      <c r="J9" s="4" t="s">
        <v>7</v>
      </c>
      <c r="K9" s="7" t="s">
        <v>203</v>
      </c>
    </row>
    <row r="10" spans="1:11" ht="23.1" customHeight="1" x14ac:dyDescent="0.25">
      <c r="A10" s="29" t="s">
        <v>213</v>
      </c>
      <c r="B10" s="30">
        <v>6625</v>
      </c>
      <c r="C10" s="30" t="s">
        <v>66</v>
      </c>
      <c r="D10" s="30" t="s">
        <v>155</v>
      </c>
      <c r="E10" s="30" t="s">
        <v>117</v>
      </c>
      <c r="F10" s="30"/>
      <c r="G10" s="30"/>
      <c r="H10" s="31">
        <f>1501/100</f>
        <v>15.01</v>
      </c>
      <c r="I10" s="30" t="s">
        <v>22</v>
      </c>
      <c r="J10" s="30" t="s">
        <v>153</v>
      </c>
      <c r="K10" s="29" t="s">
        <v>203</v>
      </c>
    </row>
    <row r="11" spans="1:11" ht="23.1" customHeight="1" x14ac:dyDescent="0.25">
      <c r="A11" s="3" t="s">
        <v>214</v>
      </c>
      <c r="B11" s="4">
        <v>6631</v>
      </c>
      <c r="C11" s="4" t="s">
        <v>66</v>
      </c>
      <c r="D11" s="4" t="s">
        <v>17</v>
      </c>
      <c r="E11" s="4" t="s">
        <v>111</v>
      </c>
      <c r="F11" s="4"/>
      <c r="G11" s="4"/>
      <c r="H11" s="5">
        <f>778/100</f>
        <v>7.78</v>
      </c>
      <c r="I11" s="4" t="s">
        <v>23</v>
      </c>
      <c r="J11" s="4" t="s">
        <v>7</v>
      </c>
      <c r="K11" s="7" t="s">
        <v>203</v>
      </c>
    </row>
    <row r="12" spans="1:11" ht="23.1" customHeight="1" x14ac:dyDescent="0.25">
      <c r="A12" s="3" t="s">
        <v>214</v>
      </c>
      <c r="B12" s="4">
        <v>6766</v>
      </c>
      <c r="C12" s="4" t="s">
        <v>68</v>
      </c>
      <c r="D12" s="4" t="s">
        <v>17</v>
      </c>
      <c r="E12" s="4" t="s">
        <v>111</v>
      </c>
      <c r="F12" s="4"/>
      <c r="G12" s="4"/>
      <c r="H12" s="5">
        <f>849/100</f>
        <v>8.49</v>
      </c>
      <c r="I12" s="4" t="s">
        <v>23</v>
      </c>
      <c r="J12" s="4" t="s">
        <v>7</v>
      </c>
      <c r="K12" s="7" t="s">
        <v>203</v>
      </c>
    </row>
    <row r="13" spans="1:11" ht="23.1" customHeight="1" x14ac:dyDescent="0.25">
      <c r="A13" s="3" t="s">
        <v>214</v>
      </c>
      <c r="B13" s="4">
        <v>6767</v>
      </c>
      <c r="C13" s="4" t="s">
        <v>68</v>
      </c>
      <c r="D13" s="4" t="s">
        <v>17</v>
      </c>
      <c r="E13" s="4" t="s">
        <v>111</v>
      </c>
      <c r="F13" s="4"/>
      <c r="G13" s="4"/>
      <c r="H13" s="5">
        <f>2289/100</f>
        <v>22.89</v>
      </c>
      <c r="I13" s="4" t="s">
        <v>23</v>
      </c>
      <c r="J13" s="4" t="s">
        <v>7</v>
      </c>
      <c r="K13" s="7" t="s">
        <v>203</v>
      </c>
    </row>
    <row r="14" spans="1:11" ht="23.1" customHeight="1" x14ac:dyDescent="0.25">
      <c r="A14" s="3" t="s">
        <v>214</v>
      </c>
      <c r="B14" s="4">
        <v>6769</v>
      </c>
      <c r="C14" s="4" t="s">
        <v>68</v>
      </c>
      <c r="D14" s="4" t="s">
        <v>17</v>
      </c>
      <c r="E14" s="4" t="s">
        <v>115</v>
      </c>
      <c r="F14" s="4"/>
      <c r="G14" s="4"/>
      <c r="H14" s="5">
        <f>625/100</f>
        <v>6.25</v>
      </c>
      <c r="I14" s="4" t="s">
        <v>26</v>
      </c>
      <c r="J14" s="4" t="s">
        <v>7</v>
      </c>
      <c r="K14" s="7" t="s">
        <v>201</v>
      </c>
    </row>
    <row r="15" spans="1:11" ht="23.1" customHeight="1" x14ac:dyDescent="0.25">
      <c r="A15" s="3" t="s">
        <v>214</v>
      </c>
      <c r="B15" s="4">
        <v>6768</v>
      </c>
      <c r="C15" s="4" t="s">
        <v>68</v>
      </c>
      <c r="D15" s="4" t="s">
        <v>29</v>
      </c>
      <c r="E15" s="4" t="s">
        <v>135</v>
      </c>
      <c r="F15" s="4"/>
      <c r="G15" s="4"/>
      <c r="H15" s="5">
        <f>1697/100</f>
        <v>16.97</v>
      </c>
      <c r="I15" s="4" t="s">
        <v>26</v>
      </c>
      <c r="J15" s="4" t="s">
        <v>7</v>
      </c>
      <c r="K15" s="7" t="s">
        <v>291</v>
      </c>
    </row>
    <row r="16" spans="1:11" ht="23.1" customHeight="1" x14ac:dyDescent="0.25">
      <c r="A16" s="3" t="s">
        <v>214</v>
      </c>
      <c r="B16" s="4">
        <v>6769</v>
      </c>
      <c r="C16" s="4" t="s">
        <v>68</v>
      </c>
      <c r="D16" s="4" t="s">
        <v>29</v>
      </c>
      <c r="E16" s="4" t="s">
        <v>135</v>
      </c>
      <c r="F16" s="4"/>
      <c r="G16" s="4"/>
      <c r="H16" s="5">
        <f>326/100</f>
        <v>3.26</v>
      </c>
      <c r="I16" s="4" t="s">
        <v>26</v>
      </c>
      <c r="J16" s="4" t="s">
        <v>7</v>
      </c>
      <c r="K16" s="7" t="s">
        <v>291</v>
      </c>
    </row>
    <row r="17" spans="1:11" ht="23.1" customHeight="1" x14ac:dyDescent="0.25">
      <c r="A17" s="3" t="s">
        <v>215</v>
      </c>
      <c r="B17" s="4">
        <v>6643</v>
      </c>
      <c r="C17" s="4" t="s">
        <v>67</v>
      </c>
      <c r="D17" s="4" t="s">
        <v>17</v>
      </c>
      <c r="E17" s="4" t="s">
        <v>116</v>
      </c>
      <c r="F17" s="4"/>
      <c r="G17" s="4"/>
      <c r="H17" s="5">
        <f>434/100</f>
        <v>4.34</v>
      </c>
      <c r="I17" s="4" t="s">
        <v>6</v>
      </c>
      <c r="J17" s="4" t="s">
        <v>7</v>
      </c>
      <c r="K17" s="7" t="s">
        <v>201</v>
      </c>
    </row>
    <row r="18" spans="1:11" ht="23.1" customHeight="1" x14ac:dyDescent="0.25">
      <c r="A18" s="3" t="s">
        <v>216</v>
      </c>
      <c r="B18" s="4">
        <v>6644</v>
      </c>
      <c r="C18" s="4" t="s">
        <v>67</v>
      </c>
      <c r="D18" s="4" t="s">
        <v>17</v>
      </c>
      <c r="E18" s="4" t="s">
        <v>116</v>
      </c>
      <c r="F18" s="4"/>
      <c r="G18" s="4"/>
      <c r="H18" s="5">
        <f>453/100</f>
        <v>4.53</v>
      </c>
      <c r="I18" s="4" t="s">
        <v>6</v>
      </c>
      <c r="J18" s="4" t="s">
        <v>7</v>
      </c>
      <c r="K18" s="7" t="s">
        <v>201</v>
      </c>
    </row>
    <row r="19" spans="1:11" ht="23.1" customHeight="1" x14ac:dyDescent="0.25">
      <c r="A19" s="3" t="s">
        <v>216</v>
      </c>
      <c r="B19" s="4">
        <v>6645</v>
      </c>
      <c r="C19" s="4" t="s">
        <v>67</v>
      </c>
      <c r="D19" s="4" t="s">
        <v>17</v>
      </c>
      <c r="E19" s="4" t="s">
        <v>116</v>
      </c>
      <c r="F19" s="4"/>
      <c r="G19" s="4"/>
      <c r="H19" s="5">
        <f>1185/100</f>
        <v>11.85</v>
      </c>
      <c r="I19" s="4" t="s">
        <v>19</v>
      </c>
      <c r="J19" s="4" t="s">
        <v>7</v>
      </c>
      <c r="K19" s="7" t="s">
        <v>201</v>
      </c>
    </row>
    <row r="20" spans="1:11" ht="23.1" customHeight="1" x14ac:dyDescent="0.25">
      <c r="A20" s="3" t="s">
        <v>217</v>
      </c>
      <c r="B20" s="4">
        <v>4096</v>
      </c>
      <c r="C20" s="4" t="s">
        <v>292</v>
      </c>
      <c r="D20" s="4" t="s">
        <v>17</v>
      </c>
      <c r="E20" s="4" t="s">
        <v>104</v>
      </c>
      <c r="F20" s="4" t="s">
        <v>170</v>
      </c>
      <c r="G20" s="4" t="s">
        <v>170</v>
      </c>
      <c r="H20" s="5">
        <f>2985/100</f>
        <v>29.85</v>
      </c>
      <c r="I20" s="4" t="s">
        <v>42</v>
      </c>
      <c r="J20" s="4" t="s">
        <v>7</v>
      </c>
      <c r="K20" s="7" t="s">
        <v>203</v>
      </c>
    </row>
    <row r="21" spans="1:11" ht="23.1" customHeight="1" x14ac:dyDescent="0.25">
      <c r="A21" s="29" t="s">
        <v>217</v>
      </c>
      <c r="B21" s="30">
        <v>4095</v>
      </c>
      <c r="C21" s="30" t="s">
        <v>292</v>
      </c>
      <c r="D21" s="30" t="s">
        <v>17</v>
      </c>
      <c r="E21" s="30" t="s">
        <v>104</v>
      </c>
      <c r="F21" s="30" t="s">
        <v>170</v>
      </c>
      <c r="G21" s="30" t="s">
        <v>170</v>
      </c>
      <c r="H21" s="31">
        <f>1211/100</f>
        <v>12.11</v>
      </c>
      <c r="I21" s="30" t="s">
        <v>42</v>
      </c>
      <c r="J21" s="30" t="s">
        <v>18</v>
      </c>
      <c r="K21" s="29" t="s">
        <v>203</v>
      </c>
    </row>
    <row r="22" spans="1:11" ht="23.1" customHeight="1" x14ac:dyDescent="0.25">
      <c r="A22" s="3" t="s">
        <v>218</v>
      </c>
      <c r="B22" s="4">
        <v>6786</v>
      </c>
      <c r="C22" s="4" t="s">
        <v>68</v>
      </c>
      <c r="D22" s="4" t="s">
        <v>154</v>
      </c>
      <c r="E22" s="4" t="s">
        <v>110</v>
      </c>
      <c r="F22" s="4"/>
      <c r="G22" s="4"/>
      <c r="H22" s="5">
        <f>1808/100</f>
        <v>18.079999999999998</v>
      </c>
      <c r="I22" s="4" t="s">
        <v>31</v>
      </c>
      <c r="J22" s="4" t="s">
        <v>7</v>
      </c>
      <c r="K22" s="7" t="s">
        <v>201</v>
      </c>
    </row>
    <row r="23" spans="1:11" s="32" customFormat="1" ht="23.1" customHeight="1" x14ac:dyDescent="0.25">
      <c r="A23" s="3" t="s">
        <v>219</v>
      </c>
      <c r="B23" s="4">
        <v>6787</v>
      </c>
      <c r="C23" s="4" t="s">
        <v>68</v>
      </c>
      <c r="D23" s="4" t="s">
        <v>154</v>
      </c>
      <c r="E23" s="4" t="s">
        <v>110</v>
      </c>
      <c r="F23" s="4" t="s">
        <v>160</v>
      </c>
      <c r="G23" s="4" t="s">
        <v>285</v>
      </c>
      <c r="H23" s="5">
        <f>1564/100</f>
        <v>15.64</v>
      </c>
      <c r="I23" s="4" t="s">
        <v>32</v>
      </c>
      <c r="J23" s="4" t="s">
        <v>7</v>
      </c>
      <c r="K23" s="7" t="s">
        <v>201</v>
      </c>
    </row>
    <row r="24" spans="1:11" ht="23.1" customHeight="1" x14ac:dyDescent="0.25">
      <c r="A24" s="3" t="s">
        <v>220</v>
      </c>
      <c r="B24" s="4">
        <v>6799</v>
      </c>
      <c r="C24" s="4" t="s">
        <v>68</v>
      </c>
      <c r="D24" s="4" t="s">
        <v>154</v>
      </c>
      <c r="E24" s="4" t="s">
        <v>107</v>
      </c>
      <c r="F24" s="4"/>
      <c r="G24" s="4"/>
      <c r="H24" s="5">
        <f>543/100</f>
        <v>5.43</v>
      </c>
      <c r="I24" s="4" t="s">
        <v>20</v>
      </c>
      <c r="J24" s="4" t="s">
        <v>7</v>
      </c>
      <c r="K24" s="7" t="s">
        <v>201</v>
      </c>
    </row>
    <row r="25" spans="1:11" ht="23.1" customHeight="1" x14ac:dyDescent="0.25">
      <c r="A25" s="3" t="s">
        <v>220</v>
      </c>
      <c r="B25" s="4">
        <v>6800</v>
      </c>
      <c r="C25" s="4" t="s">
        <v>68</v>
      </c>
      <c r="D25" s="4" t="s">
        <v>154</v>
      </c>
      <c r="E25" s="4" t="s">
        <v>107</v>
      </c>
      <c r="F25" s="4"/>
      <c r="G25" s="4"/>
      <c r="H25" s="5">
        <f>301/100</f>
        <v>3.01</v>
      </c>
      <c r="I25" s="4" t="s">
        <v>20</v>
      </c>
      <c r="J25" s="4" t="s">
        <v>7</v>
      </c>
      <c r="K25" s="7" t="s">
        <v>201</v>
      </c>
    </row>
    <row r="26" spans="1:11" ht="23.1" customHeight="1" x14ac:dyDescent="0.25">
      <c r="A26" s="3" t="s">
        <v>220</v>
      </c>
      <c r="B26" s="4">
        <v>6801</v>
      </c>
      <c r="C26" s="4" t="s">
        <v>68</v>
      </c>
      <c r="D26" s="4" t="s">
        <v>154</v>
      </c>
      <c r="E26" s="4" t="s">
        <v>107</v>
      </c>
      <c r="F26" s="4"/>
      <c r="G26" s="4"/>
      <c r="H26" s="5">
        <f>579/100</f>
        <v>5.79</v>
      </c>
      <c r="I26" s="4" t="s">
        <v>20</v>
      </c>
      <c r="J26" s="4" t="s">
        <v>7</v>
      </c>
      <c r="K26" s="7" t="s">
        <v>201</v>
      </c>
    </row>
    <row r="27" spans="1:11" ht="23.1" customHeight="1" x14ac:dyDescent="0.25">
      <c r="A27" s="3" t="s">
        <v>220</v>
      </c>
      <c r="B27" s="4">
        <v>6802</v>
      </c>
      <c r="C27" s="4" t="s">
        <v>68</v>
      </c>
      <c r="D27" s="4" t="s">
        <v>154</v>
      </c>
      <c r="E27" s="4" t="s">
        <v>102</v>
      </c>
      <c r="F27" s="4"/>
      <c r="G27" s="4"/>
      <c r="H27" s="5">
        <f>718/100</f>
        <v>7.18</v>
      </c>
      <c r="I27" s="4" t="s">
        <v>31</v>
      </c>
      <c r="J27" s="4" t="s">
        <v>7</v>
      </c>
      <c r="K27" s="7" t="s">
        <v>201</v>
      </c>
    </row>
    <row r="28" spans="1:11" ht="23.1" customHeight="1" x14ac:dyDescent="0.25">
      <c r="A28" s="3" t="s">
        <v>220</v>
      </c>
      <c r="B28" s="4">
        <v>6803</v>
      </c>
      <c r="C28" s="4" t="s">
        <v>68</v>
      </c>
      <c r="D28" s="4" t="s">
        <v>154</v>
      </c>
      <c r="E28" s="4" t="s">
        <v>102</v>
      </c>
      <c r="F28" s="4"/>
      <c r="G28" s="4"/>
      <c r="H28" s="23">
        <f>476/100</f>
        <v>4.76</v>
      </c>
      <c r="I28" s="4" t="s">
        <v>31</v>
      </c>
      <c r="J28" s="4" t="s">
        <v>7</v>
      </c>
      <c r="K28" s="7" t="s">
        <v>201</v>
      </c>
    </row>
    <row r="29" spans="1:11" ht="23.1" customHeight="1" x14ac:dyDescent="0.25">
      <c r="A29" s="3" t="s">
        <v>220</v>
      </c>
      <c r="B29" s="4">
        <v>6804</v>
      </c>
      <c r="C29" s="4" t="s">
        <v>68</v>
      </c>
      <c r="D29" s="4" t="s">
        <v>154</v>
      </c>
      <c r="E29" s="4" t="s">
        <v>102</v>
      </c>
      <c r="F29" s="4"/>
      <c r="G29" s="4"/>
      <c r="H29" s="24">
        <f>716/100</f>
        <v>7.16</v>
      </c>
      <c r="I29" s="4" t="s">
        <v>31</v>
      </c>
      <c r="J29" s="4" t="s">
        <v>7</v>
      </c>
      <c r="K29" s="7" t="s">
        <v>201</v>
      </c>
    </row>
    <row r="30" spans="1:11" ht="23.1" customHeight="1" x14ac:dyDescent="0.25">
      <c r="A30" s="3" t="s">
        <v>220</v>
      </c>
      <c r="B30" s="4">
        <v>6795</v>
      </c>
      <c r="C30" s="4" t="s">
        <v>68</v>
      </c>
      <c r="D30" s="4" t="s">
        <v>154</v>
      </c>
      <c r="E30" s="4" t="s">
        <v>123</v>
      </c>
      <c r="F30" s="4"/>
      <c r="G30" s="4"/>
      <c r="H30" s="24">
        <f>866/100</f>
        <v>8.66</v>
      </c>
      <c r="I30" s="4" t="s">
        <v>33</v>
      </c>
      <c r="J30" s="4" t="s">
        <v>7</v>
      </c>
      <c r="K30" s="7" t="s">
        <v>201</v>
      </c>
    </row>
    <row r="31" spans="1:11" ht="23.1" customHeight="1" x14ac:dyDescent="0.25">
      <c r="A31" s="3" t="s">
        <v>220</v>
      </c>
      <c r="B31" s="4">
        <v>6798</v>
      </c>
      <c r="C31" s="4" t="s">
        <v>68</v>
      </c>
      <c r="D31" s="4" t="s">
        <v>154</v>
      </c>
      <c r="E31" s="4" t="s">
        <v>123</v>
      </c>
      <c r="F31" s="4"/>
      <c r="G31" s="4"/>
      <c r="H31" s="24">
        <f>605/100</f>
        <v>6.05</v>
      </c>
      <c r="I31" s="4" t="s">
        <v>33</v>
      </c>
      <c r="J31" s="4" t="s">
        <v>7</v>
      </c>
      <c r="K31" s="7" t="s">
        <v>201</v>
      </c>
    </row>
    <row r="32" spans="1:11" ht="23.1" customHeight="1" x14ac:dyDescent="0.25">
      <c r="A32" s="29" t="s">
        <v>220</v>
      </c>
      <c r="B32" s="30">
        <v>6794</v>
      </c>
      <c r="C32" s="30" t="s">
        <v>68</v>
      </c>
      <c r="D32" s="30" t="s">
        <v>154</v>
      </c>
      <c r="E32" s="30" t="s">
        <v>123</v>
      </c>
      <c r="F32" s="30"/>
      <c r="G32" s="30"/>
      <c r="H32" s="31">
        <f>532/100</f>
        <v>5.32</v>
      </c>
      <c r="I32" s="30" t="s">
        <v>33</v>
      </c>
      <c r="J32" s="30" t="s">
        <v>18</v>
      </c>
      <c r="K32" s="29" t="s">
        <v>201</v>
      </c>
    </row>
    <row r="33" spans="1:11" ht="23.1" customHeight="1" x14ac:dyDescent="0.25">
      <c r="A33" s="3" t="s">
        <v>220</v>
      </c>
      <c r="B33" s="4">
        <v>6793</v>
      </c>
      <c r="C33" s="4" t="s">
        <v>68</v>
      </c>
      <c r="D33" s="4" t="s">
        <v>154</v>
      </c>
      <c r="E33" s="4" t="s">
        <v>122</v>
      </c>
      <c r="F33" s="4"/>
      <c r="G33" s="4"/>
      <c r="H33" s="5">
        <f>1234/100</f>
        <v>12.34</v>
      </c>
      <c r="I33" s="4" t="s">
        <v>6</v>
      </c>
      <c r="J33" s="4" t="s">
        <v>7</v>
      </c>
      <c r="K33" s="7" t="s">
        <v>201</v>
      </c>
    </row>
    <row r="34" spans="1:11" ht="23.1" customHeight="1" x14ac:dyDescent="0.25">
      <c r="A34" s="3" t="s">
        <v>221</v>
      </c>
      <c r="B34" s="4">
        <v>8851</v>
      </c>
      <c r="C34" s="4" t="s">
        <v>59</v>
      </c>
      <c r="D34" s="4" t="s">
        <v>136</v>
      </c>
      <c r="E34" s="4" t="s">
        <v>151</v>
      </c>
      <c r="F34" s="4"/>
      <c r="G34" s="4"/>
      <c r="H34" s="5">
        <f>1789/100</f>
        <v>17.89</v>
      </c>
      <c r="I34" s="9">
        <v>33419</v>
      </c>
      <c r="J34" s="4" t="s">
        <v>7</v>
      </c>
      <c r="K34" s="7" t="s">
        <v>203</v>
      </c>
    </row>
    <row r="35" spans="1:11" ht="23.1" customHeight="1" x14ac:dyDescent="0.25">
      <c r="A35" s="3" t="s">
        <v>209</v>
      </c>
      <c r="B35" s="4">
        <v>6867</v>
      </c>
      <c r="C35" s="4" t="s">
        <v>69</v>
      </c>
      <c r="D35" s="4" t="s">
        <v>155</v>
      </c>
      <c r="E35" s="4" t="s">
        <v>117</v>
      </c>
      <c r="F35" s="4"/>
      <c r="G35" s="4"/>
      <c r="H35" s="5">
        <f>657/100</f>
        <v>6.57</v>
      </c>
      <c r="I35" s="4" t="s">
        <v>11</v>
      </c>
      <c r="J35" s="4" t="s">
        <v>7</v>
      </c>
      <c r="K35" s="7" t="s">
        <v>201</v>
      </c>
    </row>
    <row r="36" spans="1:11" ht="23.1" customHeight="1" x14ac:dyDescent="0.25">
      <c r="A36" s="3" t="s">
        <v>209</v>
      </c>
      <c r="B36" s="4">
        <v>6867</v>
      </c>
      <c r="C36" s="4" t="s">
        <v>69</v>
      </c>
      <c r="D36" s="4" t="s">
        <v>34</v>
      </c>
      <c r="E36" s="4"/>
      <c r="F36" s="4"/>
      <c r="G36" s="4"/>
      <c r="H36" s="5">
        <f>1500/100</f>
        <v>15</v>
      </c>
      <c r="I36" s="4" t="s">
        <v>11</v>
      </c>
      <c r="J36" s="4" t="s">
        <v>7</v>
      </c>
      <c r="K36" s="7" t="s">
        <v>202</v>
      </c>
    </row>
    <row r="37" spans="1:11" s="2" customFormat="1" ht="23.1" customHeight="1" x14ac:dyDescent="0.25">
      <c r="A37" s="3" t="s">
        <v>222</v>
      </c>
      <c r="B37" s="4">
        <v>7193</v>
      </c>
      <c r="C37" s="4" t="s">
        <v>70</v>
      </c>
      <c r="D37" s="4" t="s">
        <v>136</v>
      </c>
      <c r="E37" s="4" t="s">
        <v>178</v>
      </c>
      <c r="F37" s="4" t="s">
        <v>160</v>
      </c>
      <c r="G37" s="4" t="s">
        <v>170</v>
      </c>
      <c r="H37" s="5">
        <f>2689/100</f>
        <v>26.89</v>
      </c>
      <c r="I37" s="4" t="s">
        <v>35</v>
      </c>
      <c r="J37" s="4" t="s">
        <v>7</v>
      </c>
      <c r="K37" s="7" t="s">
        <v>203</v>
      </c>
    </row>
    <row r="38" spans="1:11" ht="23.1" customHeight="1" x14ac:dyDescent="0.25">
      <c r="A38" s="3" t="s">
        <v>222</v>
      </c>
      <c r="B38" s="4">
        <v>7194</v>
      </c>
      <c r="C38" s="4" t="s">
        <v>70</v>
      </c>
      <c r="D38" s="4" t="s">
        <v>136</v>
      </c>
      <c r="E38" s="4" t="s">
        <v>178</v>
      </c>
      <c r="F38" s="4" t="s">
        <v>160</v>
      </c>
      <c r="G38" s="4" t="s">
        <v>170</v>
      </c>
      <c r="H38" s="5">
        <f>1723/100</f>
        <v>17.23</v>
      </c>
      <c r="I38" s="4" t="s">
        <v>35</v>
      </c>
      <c r="J38" s="4" t="s">
        <v>7</v>
      </c>
      <c r="K38" s="7" t="s">
        <v>203</v>
      </c>
    </row>
    <row r="39" spans="1:11" ht="23.1" customHeight="1" x14ac:dyDescent="0.25">
      <c r="A39" s="3" t="s">
        <v>223</v>
      </c>
      <c r="B39" s="4">
        <v>7201</v>
      </c>
      <c r="C39" s="4" t="s">
        <v>71</v>
      </c>
      <c r="D39" s="4" t="s">
        <v>136</v>
      </c>
      <c r="E39" s="4" t="s">
        <v>178</v>
      </c>
      <c r="F39" s="4" t="s">
        <v>160</v>
      </c>
      <c r="G39" s="4" t="s">
        <v>179</v>
      </c>
      <c r="H39" s="5">
        <f>1017/100</f>
        <v>10.17</v>
      </c>
      <c r="I39" s="4" t="s">
        <v>23</v>
      </c>
      <c r="J39" s="4" t="s">
        <v>7</v>
      </c>
      <c r="K39" s="7" t="s">
        <v>203</v>
      </c>
    </row>
    <row r="40" spans="1:11" ht="23.1" customHeight="1" x14ac:dyDescent="0.25">
      <c r="A40" s="3" t="s">
        <v>223</v>
      </c>
      <c r="B40" s="4">
        <v>7202</v>
      </c>
      <c r="C40" s="4" t="s">
        <v>71</v>
      </c>
      <c r="D40" s="4" t="s">
        <v>136</v>
      </c>
      <c r="E40" s="4" t="s">
        <v>178</v>
      </c>
      <c r="F40" s="4" t="s">
        <v>160</v>
      </c>
      <c r="G40" s="4" t="s">
        <v>179</v>
      </c>
      <c r="H40" s="5">
        <f>557/100</f>
        <v>5.57</v>
      </c>
      <c r="I40" s="4" t="s">
        <v>23</v>
      </c>
      <c r="J40" s="4" t="s">
        <v>7</v>
      </c>
      <c r="K40" s="7" t="s">
        <v>203</v>
      </c>
    </row>
    <row r="41" spans="1:11" ht="23.1" customHeight="1" x14ac:dyDescent="0.25">
      <c r="A41" s="3" t="s">
        <v>223</v>
      </c>
      <c r="B41" s="4">
        <v>7203</v>
      </c>
      <c r="C41" s="4" t="s">
        <v>71</v>
      </c>
      <c r="D41" s="4" t="s">
        <v>136</v>
      </c>
      <c r="E41" s="4" t="s">
        <v>178</v>
      </c>
      <c r="F41" s="4" t="s">
        <v>160</v>
      </c>
      <c r="G41" s="4" t="s">
        <v>179</v>
      </c>
      <c r="H41" s="5">
        <f>90/100</f>
        <v>0.9</v>
      </c>
      <c r="I41" s="4" t="s">
        <v>23</v>
      </c>
      <c r="J41" s="4" t="s">
        <v>7</v>
      </c>
      <c r="K41" s="7" t="s">
        <v>203</v>
      </c>
    </row>
    <row r="42" spans="1:11" ht="23.1" customHeight="1" x14ac:dyDescent="0.25">
      <c r="A42" s="3" t="s">
        <v>223</v>
      </c>
      <c r="B42" s="4">
        <v>7204</v>
      </c>
      <c r="C42" s="4" t="s">
        <v>71</v>
      </c>
      <c r="D42" s="4" t="s">
        <v>136</v>
      </c>
      <c r="E42" s="4" t="s">
        <v>178</v>
      </c>
      <c r="F42" s="4" t="s">
        <v>160</v>
      </c>
      <c r="G42" s="4" t="s">
        <v>179</v>
      </c>
      <c r="H42" s="5">
        <f>264/100</f>
        <v>2.64</v>
      </c>
      <c r="I42" s="4" t="s">
        <v>23</v>
      </c>
      <c r="J42" s="4" t="s">
        <v>7</v>
      </c>
      <c r="K42" s="7" t="s">
        <v>203</v>
      </c>
    </row>
    <row r="43" spans="1:11" ht="23.1" customHeight="1" x14ac:dyDescent="0.25">
      <c r="A43" s="3" t="s">
        <v>224</v>
      </c>
      <c r="B43" s="4">
        <v>7225</v>
      </c>
      <c r="C43" s="4" t="s">
        <v>73</v>
      </c>
      <c r="D43" s="4" t="s">
        <v>38</v>
      </c>
      <c r="E43" s="4" t="s">
        <v>124</v>
      </c>
      <c r="F43" s="4" t="s">
        <v>160</v>
      </c>
      <c r="G43" s="4" t="s">
        <v>180</v>
      </c>
      <c r="H43" s="5">
        <f>3108/100</f>
        <v>31.08</v>
      </c>
      <c r="I43" s="4" t="s">
        <v>12</v>
      </c>
      <c r="J43" s="4" t="s">
        <v>7</v>
      </c>
      <c r="K43" s="7" t="s">
        <v>201</v>
      </c>
    </row>
    <row r="44" spans="1:11" ht="23.1" customHeight="1" x14ac:dyDescent="0.25">
      <c r="A44" s="3" t="s">
        <v>224</v>
      </c>
      <c r="B44" s="4">
        <v>7227</v>
      </c>
      <c r="C44" s="4" t="s">
        <v>73</v>
      </c>
      <c r="D44" s="4" t="s">
        <v>38</v>
      </c>
      <c r="E44" s="4" t="s">
        <v>124</v>
      </c>
      <c r="F44" s="4" t="s">
        <v>160</v>
      </c>
      <c r="G44" s="4" t="s">
        <v>180</v>
      </c>
      <c r="H44" s="5">
        <f>360/100</f>
        <v>3.6</v>
      </c>
      <c r="I44" s="4" t="s">
        <v>12</v>
      </c>
      <c r="J44" s="4" t="s">
        <v>7</v>
      </c>
      <c r="K44" s="7" t="s">
        <v>201</v>
      </c>
    </row>
    <row r="45" spans="1:11" ht="23.1" customHeight="1" x14ac:dyDescent="0.25">
      <c r="A45" s="3" t="s">
        <v>224</v>
      </c>
      <c r="B45" s="4">
        <v>7228</v>
      </c>
      <c r="C45" s="4" t="s">
        <v>73</v>
      </c>
      <c r="D45" s="4" t="s">
        <v>38</v>
      </c>
      <c r="E45" s="4" t="s">
        <v>124</v>
      </c>
      <c r="F45" s="4" t="s">
        <v>160</v>
      </c>
      <c r="G45" s="4" t="s">
        <v>180</v>
      </c>
      <c r="H45" s="5">
        <f>364/100</f>
        <v>3.64</v>
      </c>
      <c r="I45" s="4" t="s">
        <v>6</v>
      </c>
      <c r="J45" s="4" t="s">
        <v>7</v>
      </c>
      <c r="K45" s="7" t="s">
        <v>201</v>
      </c>
    </row>
    <row r="46" spans="1:11" ht="23.1" customHeight="1" x14ac:dyDescent="0.25">
      <c r="A46" s="25" t="s">
        <v>225</v>
      </c>
      <c r="B46" s="26">
        <v>7246</v>
      </c>
      <c r="C46" s="26" t="s">
        <v>74</v>
      </c>
      <c r="D46" s="26" t="s">
        <v>138</v>
      </c>
      <c r="E46" s="26" t="s">
        <v>105</v>
      </c>
      <c r="F46" s="26" t="s">
        <v>160</v>
      </c>
      <c r="G46" s="26">
        <v>114</v>
      </c>
      <c r="H46" s="27">
        <f>618/100</f>
        <v>6.18</v>
      </c>
      <c r="I46" s="26" t="s">
        <v>19</v>
      </c>
      <c r="J46" s="26" t="s">
        <v>7</v>
      </c>
      <c r="K46" s="25" t="s">
        <v>203</v>
      </c>
    </row>
    <row r="47" spans="1:11" ht="23.1" customHeight="1" x14ac:dyDescent="0.25">
      <c r="A47" s="25" t="s">
        <v>225</v>
      </c>
      <c r="B47" s="26">
        <v>7247</v>
      </c>
      <c r="C47" s="26" t="s">
        <v>74</v>
      </c>
      <c r="D47" s="26" t="s">
        <v>138</v>
      </c>
      <c r="E47" s="26" t="s">
        <v>105</v>
      </c>
      <c r="F47" s="26" t="s">
        <v>160</v>
      </c>
      <c r="G47" s="26">
        <v>114</v>
      </c>
      <c r="H47" s="27">
        <f>277/100</f>
        <v>2.77</v>
      </c>
      <c r="I47" s="26" t="s">
        <v>19</v>
      </c>
      <c r="J47" s="26" t="s">
        <v>7</v>
      </c>
      <c r="K47" s="25" t="s">
        <v>203</v>
      </c>
    </row>
    <row r="48" spans="1:11" ht="23.1" customHeight="1" x14ac:dyDescent="0.25">
      <c r="A48" s="25" t="s">
        <v>225</v>
      </c>
      <c r="B48" s="26">
        <v>7248</v>
      </c>
      <c r="C48" s="26" t="s">
        <v>74</v>
      </c>
      <c r="D48" s="26" t="s">
        <v>138</v>
      </c>
      <c r="E48" s="26" t="s">
        <v>105</v>
      </c>
      <c r="F48" s="26" t="s">
        <v>160</v>
      </c>
      <c r="G48" s="26">
        <v>114</v>
      </c>
      <c r="H48" s="27">
        <f>834/100</f>
        <v>8.34</v>
      </c>
      <c r="I48" s="26" t="s">
        <v>19</v>
      </c>
      <c r="J48" s="26" t="s">
        <v>7</v>
      </c>
      <c r="K48" s="25" t="s">
        <v>203</v>
      </c>
    </row>
    <row r="49" spans="1:11" ht="23.1" customHeight="1" x14ac:dyDescent="0.25">
      <c r="A49" s="25" t="s">
        <v>225</v>
      </c>
      <c r="B49" s="26">
        <v>7250</v>
      </c>
      <c r="C49" s="26" t="s">
        <v>75</v>
      </c>
      <c r="D49" s="26" t="s">
        <v>138</v>
      </c>
      <c r="E49" s="26" t="s">
        <v>125</v>
      </c>
      <c r="F49" s="26" t="s">
        <v>160</v>
      </c>
      <c r="G49" s="26" t="s">
        <v>180</v>
      </c>
      <c r="H49" s="27">
        <f>2480/100</f>
        <v>24.8</v>
      </c>
      <c r="I49" s="26" t="s">
        <v>30</v>
      </c>
      <c r="J49" s="26" t="s">
        <v>7</v>
      </c>
      <c r="K49" s="25" t="s">
        <v>203</v>
      </c>
    </row>
    <row r="50" spans="1:11" ht="23.1" customHeight="1" x14ac:dyDescent="0.25">
      <c r="A50" s="25" t="s">
        <v>225</v>
      </c>
      <c r="B50" s="26">
        <v>7245</v>
      </c>
      <c r="C50" s="26" t="s">
        <v>74</v>
      </c>
      <c r="D50" s="26" t="s">
        <v>39</v>
      </c>
      <c r="E50" s="26" t="s">
        <v>187</v>
      </c>
      <c r="F50" s="26" t="s">
        <v>160</v>
      </c>
      <c r="G50" s="26" t="s">
        <v>170</v>
      </c>
      <c r="H50" s="27">
        <f>678/100</f>
        <v>6.78</v>
      </c>
      <c r="I50" s="26" t="s">
        <v>37</v>
      </c>
      <c r="J50" s="26" t="s">
        <v>7</v>
      </c>
      <c r="K50" s="25" t="s">
        <v>203</v>
      </c>
    </row>
    <row r="51" spans="1:11" ht="23.1" customHeight="1" x14ac:dyDescent="0.25">
      <c r="A51" s="25" t="s">
        <v>225</v>
      </c>
      <c r="B51" s="26">
        <v>7243</v>
      </c>
      <c r="C51" s="26" t="s">
        <v>74</v>
      </c>
      <c r="D51" s="26" t="s">
        <v>17</v>
      </c>
      <c r="E51" s="26" t="s">
        <v>137</v>
      </c>
      <c r="F51" s="26" t="s">
        <v>170</v>
      </c>
      <c r="G51" s="26" t="s">
        <v>170</v>
      </c>
      <c r="H51" s="27">
        <f>719/100</f>
        <v>7.19</v>
      </c>
      <c r="I51" s="26" t="s">
        <v>36</v>
      </c>
      <c r="J51" s="26" t="s">
        <v>7</v>
      </c>
      <c r="K51" s="25" t="s">
        <v>203</v>
      </c>
    </row>
    <row r="52" spans="1:11" ht="23.1" customHeight="1" x14ac:dyDescent="0.25">
      <c r="A52" s="29" t="s">
        <v>225</v>
      </c>
      <c r="B52" s="30">
        <v>7244</v>
      </c>
      <c r="C52" s="30" t="s">
        <v>74</v>
      </c>
      <c r="D52" s="30" t="s">
        <v>17</v>
      </c>
      <c r="E52" s="30" t="s">
        <v>137</v>
      </c>
      <c r="F52" s="30" t="s">
        <v>170</v>
      </c>
      <c r="G52" s="30" t="s">
        <v>170</v>
      </c>
      <c r="H52" s="31">
        <f>427/100</f>
        <v>4.2699999999999996</v>
      </c>
      <c r="I52" s="30" t="s">
        <v>36</v>
      </c>
      <c r="J52" s="30" t="s">
        <v>18</v>
      </c>
      <c r="K52" s="29" t="s">
        <v>203</v>
      </c>
    </row>
    <row r="53" spans="1:11" ht="23.1" customHeight="1" x14ac:dyDescent="0.25">
      <c r="A53" s="3" t="s">
        <v>226</v>
      </c>
      <c r="B53" s="4">
        <v>7276</v>
      </c>
      <c r="C53" s="4" t="s">
        <v>292</v>
      </c>
      <c r="D53" s="4" t="s">
        <v>154</v>
      </c>
      <c r="E53" s="4" t="s">
        <v>126</v>
      </c>
      <c r="F53" s="4" t="s">
        <v>160</v>
      </c>
      <c r="G53" s="4" t="s">
        <v>180</v>
      </c>
      <c r="H53" s="5">
        <f>2434/100</f>
        <v>24.34</v>
      </c>
      <c r="I53" s="4" t="s">
        <v>42</v>
      </c>
      <c r="J53" s="4" t="s">
        <v>7</v>
      </c>
      <c r="K53" s="7" t="s">
        <v>203</v>
      </c>
    </row>
    <row r="54" spans="1:11" ht="23.1" customHeight="1" x14ac:dyDescent="0.25">
      <c r="A54" s="13" t="s">
        <v>227</v>
      </c>
      <c r="B54" s="14">
        <v>7304</v>
      </c>
      <c r="C54" s="14" t="s">
        <v>76</v>
      </c>
      <c r="D54" s="14" t="s">
        <v>17</v>
      </c>
      <c r="E54" s="14" t="s">
        <v>116</v>
      </c>
      <c r="F54" s="14"/>
      <c r="G54" s="14"/>
      <c r="H54" s="15">
        <f>900/100</f>
        <v>9</v>
      </c>
      <c r="I54" s="14" t="s">
        <v>43</v>
      </c>
      <c r="J54" s="14" t="s">
        <v>7</v>
      </c>
      <c r="K54" s="13" t="s">
        <v>203</v>
      </c>
    </row>
    <row r="55" spans="1:11" ht="23.1" customHeight="1" x14ac:dyDescent="0.25">
      <c r="A55" s="13" t="s">
        <v>227</v>
      </c>
      <c r="B55" s="14">
        <v>7305</v>
      </c>
      <c r="C55" s="14" t="s">
        <v>77</v>
      </c>
      <c r="D55" s="14" t="s">
        <v>17</v>
      </c>
      <c r="E55" s="14" t="s">
        <v>116</v>
      </c>
      <c r="F55" s="14"/>
      <c r="G55" s="14"/>
      <c r="H55" s="15">
        <f>592/100</f>
        <v>5.92</v>
      </c>
      <c r="I55" s="14" t="s">
        <v>43</v>
      </c>
      <c r="J55" s="14" t="s">
        <v>7</v>
      </c>
      <c r="K55" s="13" t="s">
        <v>203</v>
      </c>
    </row>
    <row r="56" spans="1:11" s="2" customFormat="1" ht="23.1" customHeight="1" x14ac:dyDescent="0.25">
      <c r="A56" s="13" t="s">
        <v>227</v>
      </c>
      <c r="B56" s="14">
        <v>7307</v>
      </c>
      <c r="C56" s="14" t="s">
        <v>77</v>
      </c>
      <c r="D56" s="14" t="s">
        <v>17</v>
      </c>
      <c r="E56" s="14" t="s">
        <v>116</v>
      </c>
      <c r="F56" s="14"/>
      <c r="G56" s="14"/>
      <c r="H56" s="15">
        <f>482/100</f>
        <v>4.82</v>
      </c>
      <c r="I56" s="14" t="s">
        <v>43</v>
      </c>
      <c r="J56" s="14" t="s">
        <v>7</v>
      </c>
      <c r="K56" s="13" t="s">
        <v>203</v>
      </c>
    </row>
    <row r="57" spans="1:11" ht="23.1" customHeight="1" x14ac:dyDescent="0.25">
      <c r="A57" s="13" t="s">
        <v>227</v>
      </c>
      <c r="B57" s="14">
        <v>7308</v>
      </c>
      <c r="C57" s="14" t="s">
        <v>77</v>
      </c>
      <c r="D57" s="14" t="s">
        <v>17</v>
      </c>
      <c r="E57" s="14" t="s">
        <v>116</v>
      </c>
      <c r="F57" s="14"/>
      <c r="G57" s="14"/>
      <c r="H57" s="15">
        <f>341/100</f>
        <v>3.41</v>
      </c>
      <c r="I57" s="14" t="s">
        <v>43</v>
      </c>
      <c r="J57" s="14" t="s">
        <v>7</v>
      </c>
      <c r="K57" s="13" t="s">
        <v>203</v>
      </c>
    </row>
    <row r="58" spans="1:11" ht="23.1" customHeight="1" x14ac:dyDescent="0.25">
      <c r="A58" s="13" t="s">
        <v>227</v>
      </c>
      <c r="B58" s="14">
        <v>7304</v>
      </c>
      <c r="C58" s="14" t="s">
        <v>76</v>
      </c>
      <c r="D58" s="14" t="s">
        <v>17</v>
      </c>
      <c r="E58" s="14" t="s">
        <v>127</v>
      </c>
      <c r="F58" s="14" t="s">
        <v>170</v>
      </c>
      <c r="G58" s="14" t="s">
        <v>170</v>
      </c>
      <c r="H58" s="15">
        <f>1607/100</f>
        <v>16.07</v>
      </c>
      <c r="I58" s="14" t="s">
        <v>43</v>
      </c>
      <c r="J58" s="14" t="s">
        <v>7</v>
      </c>
      <c r="K58" s="13" t="s">
        <v>203</v>
      </c>
    </row>
    <row r="59" spans="1:11" ht="23.1" customHeight="1" x14ac:dyDescent="0.25">
      <c r="A59" s="3" t="s">
        <v>227</v>
      </c>
      <c r="B59" s="4">
        <v>7306</v>
      </c>
      <c r="C59" s="4" t="s">
        <v>77</v>
      </c>
      <c r="D59" s="4" t="s">
        <v>186</v>
      </c>
      <c r="E59" s="4"/>
      <c r="F59" s="4"/>
      <c r="G59" s="4"/>
      <c r="H59" s="5">
        <f>1135/100</f>
        <v>11.35</v>
      </c>
      <c r="I59" s="4" t="s">
        <v>43</v>
      </c>
      <c r="J59" s="4" t="s">
        <v>7</v>
      </c>
      <c r="K59" s="7" t="s">
        <v>293</v>
      </c>
    </row>
    <row r="60" spans="1:11" s="32" customFormat="1" ht="23.1" customHeight="1" x14ac:dyDescent="0.25">
      <c r="A60" s="3" t="s">
        <v>227</v>
      </c>
      <c r="B60" s="4">
        <v>7304</v>
      </c>
      <c r="C60" s="4" t="s">
        <v>76</v>
      </c>
      <c r="D60" s="4" t="s">
        <v>17</v>
      </c>
      <c r="E60" s="4" t="s">
        <v>128</v>
      </c>
      <c r="F60" s="4" t="s">
        <v>170</v>
      </c>
      <c r="G60" s="4" t="s">
        <v>170</v>
      </c>
      <c r="H60" s="5">
        <f>2500/100</f>
        <v>25</v>
      </c>
      <c r="I60" s="4" t="s">
        <v>31</v>
      </c>
      <c r="J60" s="4" t="s">
        <v>7</v>
      </c>
      <c r="K60" s="3" t="s">
        <v>201</v>
      </c>
    </row>
    <row r="61" spans="1:11" ht="23.1" customHeight="1" x14ac:dyDescent="0.25">
      <c r="A61" s="3" t="s">
        <v>227</v>
      </c>
      <c r="B61" s="4">
        <v>7304</v>
      </c>
      <c r="C61" s="4" t="s">
        <v>76</v>
      </c>
      <c r="D61" s="4" t="s">
        <v>17</v>
      </c>
      <c r="E61" s="4" t="s">
        <v>140</v>
      </c>
      <c r="F61" s="4" t="s">
        <v>170</v>
      </c>
      <c r="G61" s="4" t="s">
        <v>170</v>
      </c>
      <c r="H61" s="5">
        <f>2560/100</f>
        <v>25.6</v>
      </c>
      <c r="I61" s="4" t="s">
        <v>44</v>
      </c>
      <c r="J61" s="4" t="s">
        <v>7</v>
      </c>
      <c r="K61" s="7" t="s">
        <v>291</v>
      </c>
    </row>
    <row r="62" spans="1:11" ht="23.1" customHeight="1" x14ac:dyDescent="0.25">
      <c r="A62" s="3" t="s">
        <v>227</v>
      </c>
      <c r="B62" s="4">
        <v>7304</v>
      </c>
      <c r="C62" s="4" t="s">
        <v>76</v>
      </c>
      <c r="D62" s="4" t="s">
        <v>17</v>
      </c>
      <c r="E62" s="4" t="s">
        <v>139</v>
      </c>
      <c r="F62" s="4" t="s">
        <v>170</v>
      </c>
      <c r="G62" s="4" t="s">
        <v>170</v>
      </c>
      <c r="H62" s="5">
        <f>2400/100</f>
        <v>24</v>
      </c>
      <c r="I62" s="4" t="s">
        <v>24</v>
      </c>
      <c r="J62" s="4" t="s">
        <v>7</v>
      </c>
      <c r="K62" s="7" t="s">
        <v>291</v>
      </c>
    </row>
    <row r="63" spans="1:11" ht="23.1" customHeight="1" x14ac:dyDescent="0.25">
      <c r="A63" s="13" t="s">
        <v>228</v>
      </c>
      <c r="B63" s="14">
        <v>7309</v>
      </c>
      <c r="C63" s="14" t="s">
        <v>77</v>
      </c>
      <c r="D63" s="14" t="s">
        <v>17</v>
      </c>
      <c r="E63" s="14" t="s">
        <v>116</v>
      </c>
      <c r="F63" s="14"/>
      <c r="G63" s="14"/>
      <c r="H63" s="15">
        <f>610/100</f>
        <v>6.1</v>
      </c>
      <c r="I63" s="14" t="s">
        <v>43</v>
      </c>
      <c r="J63" s="14" t="s">
        <v>7</v>
      </c>
      <c r="K63" s="13" t="s">
        <v>203</v>
      </c>
    </row>
    <row r="64" spans="1:11" ht="23.1" customHeight="1" x14ac:dyDescent="0.25">
      <c r="A64" s="13" t="s">
        <v>228</v>
      </c>
      <c r="B64" s="14">
        <v>7310</v>
      </c>
      <c r="C64" s="14" t="s">
        <v>77</v>
      </c>
      <c r="D64" s="14" t="s">
        <v>17</v>
      </c>
      <c r="E64" s="14" t="s">
        <v>116</v>
      </c>
      <c r="F64" s="14"/>
      <c r="G64" s="14"/>
      <c r="H64" s="15">
        <f>102/100</f>
        <v>1.02</v>
      </c>
      <c r="I64" s="14" t="s">
        <v>43</v>
      </c>
      <c r="J64" s="14" t="s">
        <v>7</v>
      </c>
      <c r="K64" s="13" t="s">
        <v>203</v>
      </c>
    </row>
    <row r="65" spans="1:11" ht="23.1" customHeight="1" x14ac:dyDescent="0.25">
      <c r="A65" s="13" t="s">
        <v>228</v>
      </c>
      <c r="B65" s="14">
        <v>7304</v>
      </c>
      <c r="C65" s="14" t="s">
        <v>76</v>
      </c>
      <c r="D65" s="14" t="s">
        <v>17</v>
      </c>
      <c r="E65" s="14" t="s">
        <v>127</v>
      </c>
      <c r="F65" s="14" t="s">
        <v>170</v>
      </c>
      <c r="G65" s="14" t="s">
        <v>170</v>
      </c>
      <c r="H65" s="15">
        <f>1030/100</f>
        <v>10.3</v>
      </c>
      <c r="I65" s="14" t="s">
        <v>43</v>
      </c>
      <c r="J65" s="14" t="s">
        <v>7</v>
      </c>
      <c r="K65" s="13" t="s">
        <v>203</v>
      </c>
    </row>
    <row r="66" spans="1:11" ht="23.1" customHeight="1" x14ac:dyDescent="0.25">
      <c r="A66" s="3" t="s">
        <v>229</v>
      </c>
      <c r="B66" s="4">
        <v>7314</v>
      </c>
      <c r="C66" s="3" t="s">
        <v>206</v>
      </c>
      <c r="D66" s="3" t="s">
        <v>17</v>
      </c>
      <c r="E66" s="3" t="s">
        <v>116</v>
      </c>
      <c r="H66" s="3">
        <f>770/100</f>
        <v>7.7</v>
      </c>
      <c r="I66" s="3" t="s">
        <v>19</v>
      </c>
      <c r="J66" s="3" t="s">
        <v>7</v>
      </c>
      <c r="K66" s="3" t="s">
        <v>203</v>
      </c>
    </row>
    <row r="67" spans="1:11" ht="23.1" customHeight="1" x14ac:dyDescent="0.25">
      <c r="A67" s="3" t="s">
        <v>230</v>
      </c>
      <c r="B67" s="4">
        <v>7353</v>
      </c>
      <c r="C67" s="4" t="s">
        <v>79</v>
      </c>
      <c r="D67" s="4" t="s">
        <v>46</v>
      </c>
      <c r="E67" s="4"/>
      <c r="F67" s="4" t="s">
        <v>160</v>
      </c>
      <c r="G67" s="4" t="s">
        <v>181</v>
      </c>
      <c r="H67" s="5">
        <f>934/100</f>
        <v>9.34</v>
      </c>
      <c r="I67" s="4" t="s">
        <v>37</v>
      </c>
      <c r="J67" s="4" t="s">
        <v>7</v>
      </c>
      <c r="K67" s="7" t="s">
        <v>202</v>
      </c>
    </row>
    <row r="68" spans="1:11" ht="23.1" customHeight="1" x14ac:dyDescent="0.25">
      <c r="A68" s="3" t="s">
        <v>231</v>
      </c>
      <c r="B68" s="4">
        <v>7368</v>
      </c>
      <c r="C68" s="4" t="s">
        <v>80</v>
      </c>
      <c r="D68" s="4" t="s">
        <v>136</v>
      </c>
      <c r="E68" s="4" t="s">
        <v>182</v>
      </c>
      <c r="F68" s="4" t="s">
        <v>160</v>
      </c>
      <c r="G68" s="4">
        <v>114</v>
      </c>
      <c r="H68" s="5">
        <f>2861/100</f>
        <v>28.61</v>
      </c>
      <c r="I68" s="4" t="s">
        <v>45</v>
      </c>
      <c r="J68" s="4" t="s">
        <v>7</v>
      </c>
      <c r="K68" s="7" t="s">
        <v>201</v>
      </c>
    </row>
    <row r="69" spans="1:11" ht="23.1" customHeight="1" x14ac:dyDescent="0.25">
      <c r="A69" s="3" t="s">
        <v>231</v>
      </c>
      <c r="B69" s="4">
        <v>7365</v>
      </c>
      <c r="C69" s="4" t="s">
        <v>80</v>
      </c>
      <c r="D69" s="4" t="s">
        <v>17</v>
      </c>
      <c r="E69" s="4" t="s">
        <v>115</v>
      </c>
      <c r="F69" s="4" t="s">
        <v>170</v>
      </c>
      <c r="G69" s="4" t="s">
        <v>170</v>
      </c>
      <c r="H69" s="5">
        <f>889/100</f>
        <v>8.89</v>
      </c>
      <c r="I69" s="4" t="s">
        <v>47</v>
      </c>
      <c r="J69" s="4" t="s">
        <v>7</v>
      </c>
      <c r="K69" s="7" t="s">
        <v>201</v>
      </c>
    </row>
    <row r="70" spans="1:11" s="32" customFormat="1" ht="23.1" customHeight="1" x14ac:dyDescent="0.25">
      <c r="A70" s="3" t="s">
        <v>231</v>
      </c>
      <c r="B70" s="4">
        <v>7367</v>
      </c>
      <c r="C70" s="4" t="s">
        <v>80</v>
      </c>
      <c r="D70" s="4" t="s">
        <v>17</v>
      </c>
      <c r="E70" s="4" t="s">
        <v>115</v>
      </c>
      <c r="F70" s="4" t="s">
        <v>170</v>
      </c>
      <c r="G70" s="4" t="s">
        <v>170</v>
      </c>
      <c r="H70" s="5">
        <f>202/100</f>
        <v>2.02</v>
      </c>
      <c r="I70" s="4" t="s">
        <v>47</v>
      </c>
      <c r="J70" s="4" t="s">
        <v>7</v>
      </c>
      <c r="K70" s="7" t="s">
        <v>201</v>
      </c>
    </row>
    <row r="71" spans="1:11" ht="23.1" customHeight="1" x14ac:dyDescent="0.25">
      <c r="A71" s="3" t="s">
        <v>231</v>
      </c>
      <c r="B71" s="4">
        <v>7366</v>
      </c>
      <c r="C71" s="4" t="s">
        <v>80</v>
      </c>
      <c r="D71" s="4" t="s">
        <v>17</v>
      </c>
      <c r="E71" s="4" t="s">
        <v>115</v>
      </c>
      <c r="F71" s="4" t="s">
        <v>170</v>
      </c>
      <c r="G71" s="4" t="s">
        <v>170</v>
      </c>
      <c r="H71" s="5">
        <f>199/100</f>
        <v>1.99</v>
      </c>
      <c r="I71" s="4" t="s">
        <v>47</v>
      </c>
      <c r="J71" s="4" t="s">
        <v>7</v>
      </c>
      <c r="K71" s="7" t="s">
        <v>201</v>
      </c>
    </row>
    <row r="72" spans="1:11" ht="23.1" customHeight="1" x14ac:dyDescent="0.25">
      <c r="A72" s="3" t="s">
        <v>232</v>
      </c>
      <c r="B72" s="4">
        <v>3517</v>
      </c>
      <c r="C72" s="4" t="s">
        <v>61</v>
      </c>
      <c r="D72" s="4" t="s">
        <v>131</v>
      </c>
      <c r="E72" s="4" t="s">
        <v>176</v>
      </c>
      <c r="F72" s="4" t="s">
        <v>160</v>
      </c>
      <c r="G72" s="4" t="s">
        <v>169</v>
      </c>
      <c r="H72" s="5">
        <f>1335/100</f>
        <v>13.35</v>
      </c>
      <c r="I72" s="4" t="s">
        <v>10</v>
      </c>
      <c r="J72" s="4" t="s">
        <v>7</v>
      </c>
      <c r="K72" s="7" t="s">
        <v>201</v>
      </c>
    </row>
    <row r="73" spans="1:11" s="32" customFormat="1" ht="23.1" customHeight="1" x14ac:dyDescent="0.25">
      <c r="A73" s="3" t="s">
        <v>232</v>
      </c>
      <c r="B73" s="4">
        <v>3518</v>
      </c>
      <c r="C73" s="4" t="s">
        <v>61</v>
      </c>
      <c r="D73" s="4" t="s">
        <v>131</v>
      </c>
      <c r="E73" s="4" t="s">
        <v>176</v>
      </c>
      <c r="F73" s="4" t="s">
        <v>160</v>
      </c>
      <c r="G73" s="4" t="s">
        <v>169</v>
      </c>
      <c r="H73" s="5">
        <f>249/100</f>
        <v>2.4900000000000002</v>
      </c>
      <c r="I73" s="4" t="s">
        <v>10</v>
      </c>
      <c r="J73" s="4" t="s">
        <v>7</v>
      </c>
      <c r="K73" s="7" t="s">
        <v>201</v>
      </c>
    </row>
    <row r="74" spans="1:11" s="32" customFormat="1" ht="23.1" customHeight="1" x14ac:dyDescent="0.25">
      <c r="A74" s="3" t="s">
        <v>232</v>
      </c>
      <c r="B74" s="4">
        <v>3519</v>
      </c>
      <c r="C74" s="4" t="s">
        <v>61</v>
      </c>
      <c r="D74" s="4" t="s">
        <v>131</v>
      </c>
      <c r="E74" s="4" t="s">
        <v>176</v>
      </c>
      <c r="F74" s="4" t="s">
        <v>160</v>
      </c>
      <c r="G74" s="4" t="s">
        <v>169</v>
      </c>
      <c r="H74" s="5">
        <f>248/100</f>
        <v>2.48</v>
      </c>
      <c r="I74" s="4" t="s">
        <v>10</v>
      </c>
      <c r="J74" s="4" t="s">
        <v>7</v>
      </c>
      <c r="K74" s="7" t="s">
        <v>201</v>
      </c>
    </row>
    <row r="75" spans="1:11" ht="23.1" customHeight="1" x14ac:dyDescent="0.25">
      <c r="A75" s="3" t="s">
        <v>232</v>
      </c>
      <c r="B75" s="4">
        <v>3520</v>
      </c>
      <c r="C75" s="4" t="s">
        <v>61</v>
      </c>
      <c r="D75" s="4" t="s">
        <v>131</v>
      </c>
      <c r="E75" s="4" t="s">
        <v>176</v>
      </c>
      <c r="F75" s="4" t="s">
        <v>160</v>
      </c>
      <c r="G75" s="4" t="s">
        <v>169</v>
      </c>
      <c r="H75" s="5">
        <f>1156/100</f>
        <v>11.56</v>
      </c>
      <c r="I75" s="4" t="s">
        <v>10</v>
      </c>
      <c r="J75" s="4" t="s">
        <v>7</v>
      </c>
      <c r="K75" s="7" t="s">
        <v>201</v>
      </c>
    </row>
    <row r="76" spans="1:11" ht="23.1" customHeight="1" x14ac:dyDescent="0.25">
      <c r="A76" s="3" t="s">
        <v>233</v>
      </c>
      <c r="B76" s="4">
        <v>7385</v>
      </c>
      <c r="C76" s="4" t="s">
        <v>9</v>
      </c>
      <c r="D76" s="4" t="s">
        <v>48</v>
      </c>
      <c r="E76" s="4" t="s">
        <v>141</v>
      </c>
      <c r="F76" s="4" t="s">
        <v>170</v>
      </c>
      <c r="G76" s="4" t="s">
        <v>170</v>
      </c>
      <c r="H76" s="5">
        <f>1936/100</f>
        <v>19.36</v>
      </c>
      <c r="I76" s="4" t="s">
        <v>8</v>
      </c>
      <c r="J76" s="4" t="s">
        <v>7</v>
      </c>
      <c r="K76" s="7" t="s">
        <v>293</v>
      </c>
    </row>
    <row r="77" spans="1:11" s="32" customFormat="1" ht="23.1" customHeight="1" x14ac:dyDescent="0.25">
      <c r="A77" s="3" t="s">
        <v>233</v>
      </c>
      <c r="B77" s="4">
        <v>7385</v>
      </c>
      <c r="C77" s="4" t="s">
        <v>9</v>
      </c>
      <c r="D77" s="4" t="s">
        <v>49</v>
      </c>
      <c r="E77" s="4" t="s">
        <v>142</v>
      </c>
      <c r="F77" s="4" t="s">
        <v>163</v>
      </c>
      <c r="G77" s="4" t="s">
        <v>184</v>
      </c>
      <c r="H77" s="5">
        <f>1000/100</f>
        <v>10</v>
      </c>
      <c r="I77" s="4" t="s">
        <v>36</v>
      </c>
      <c r="J77" s="4" t="s">
        <v>7</v>
      </c>
      <c r="K77" s="7" t="s">
        <v>293</v>
      </c>
    </row>
    <row r="78" spans="1:11" s="32" customFormat="1" ht="23.1" customHeight="1" x14ac:dyDescent="0.25">
      <c r="A78" s="3" t="s">
        <v>233</v>
      </c>
      <c r="B78" s="4">
        <v>7386</v>
      </c>
      <c r="C78" s="4" t="s">
        <v>9</v>
      </c>
      <c r="D78" s="4" t="s">
        <v>49</v>
      </c>
      <c r="E78" s="4" t="s">
        <v>143</v>
      </c>
      <c r="F78" s="4" t="s">
        <v>163</v>
      </c>
      <c r="G78" s="4" t="s">
        <v>185</v>
      </c>
      <c r="H78" s="5">
        <f>1234/100</f>
        <v>12.34</v>
      </c>
      <c r="I78" s="4" t="s">
        <v>36</v>
      </c>
      <c r="J78" s="4" t="s">
        <v>7</v>
      </c>
      <c r="K78" s="7" t="s">
        <v>293</v>
      </c>
    </row>
    <row r="79" spans="1:11" ht="23.1" customHeight="1" x14ac:dyDescent="0.25">
      <c r="A79" s="25" t="s">
        <v>233</v>
      </c>
      <c r="B79" s="26">
        <v>7385</v>
      </c>
      <c r="C79" s="26" t="s">
        <v>9</v>
      </c>
      <c r="D79" s="26" t="s">
        <v>17</v>
      </c>
      <c r="E79" s="26" t="s">
        <v>116</v>
      </c>
      <c r="F79" s="26" t="s">
        <v>160</v>
      </c>
      <c r="G79" s="26" t="s">
        <v>168</v>
      </c>
      <c r="H79" s="27">
        <f>2500/100</f>
        <v>25</v>
      </c>
      <c r="I79" s="26" t="s">
        <v>19</v>
      </c>
      <c r="J79" s="26" t="s">
        <v>7</v>
      </c>
      <c r="K79" s="25" t="s">
        <v>293</v>
      </c>
    </row>
    <row r="80" spans="1:11" ht="23.1" customHeight="1" x14ac:dyDescent="0.25">
      <c r="A80" s="25" t="s">
        <v>233</v>
      </c>
      <c r="B80" s="26">
        <v>7386</v>
      </c>
      <c r="C80" s="26" t="s">
        <v>9</v>
      </c>
      <c r="D80" s="26" t="s">
        <v>17</v>
      </c>
      <c r="E80" s="26" t="s">
        <v>130</v>
      </c>
      <c r="F80" s="26" t="s">
        <v>160</v>
      </c>
      <c r="G80" s="26" t="s">
        <v>170</v>
      </c>
      <c r="H80" s="27">
        <f>504/100</f>
        <v>5.04</v>
      </c>
      <c r="I80" s="26" t="s">
        <v>11</v>
      </c>
      <c r="J80" s="26" t="s">
        <v>7</v>
      </c>
      <c r="K80" s="25" t="s">
        <v>293</v>
      </c>
    </row>
    <row r="81" spans="1:11" ht="23.1" customHeight="1" x14ac:dyDescent="0.25">
      <c r="A81" s="3" t="s">
        <v>233</v>
      </c>
      <c r="B81" s="4">
        <v>7386</v>
      </c>
      <c r="C81" s="4" t="s">
        <v>9</v>
      </c>
      <c r="D81" s="4" t="s">
        <v>49</v>
      </c>
      <c r="E81" s="4" t="s">
        <v>144</v>
      </c>
      <c r="F81" s="4" t="s">
        <v>144</v>
      </c>
      <c r="G81" s="4" t="s">
        <v>185</v>
      </c>
      <c r="H81" s="5">
        <f>1642/100</f>
        <v>16.420000000000002</v>
      </c>
      <c r="I81" s="4" t="s">
        <v>11</v>
      </c>
      <c r="J81" s="4" t="s">
        <v>7</v>
      </c>
      <c r="K81" s="7" t="s">
        <v>293</v>
      </c>
    </row>
    <row r="82" spans="1:11" ht="23.1" customHeight="1" x14ac:dyDescent="0.25">
      <c r="A82" s="3" t="s">
        <v>233</v>
      </c>
      <c r="B82" s="4">
        <v>7384</v>
      </c>
      <c r="C82" s="4" t="s">
        <v>9</v>
      </c>
      <c r="D82" s="4" t="s">
        <v>48</v>
      </c>
      <c r="E82" s="4" t="s">
        <v>183</v>
      </c>
      <c r="F82" s="4" t="s">
        <v>160</v>
      </c>
      <c r="G82" s="4">
        <v>76</v>
      </c>
      <c r="H82" s="5">
        <f>1985/100</f>
        <v>19.850000000000001</v>
      </c>
      <c r="I82" s="4" t="s">
        <v>8</v>
      </c>
      <c r="J82" s="4" t="s">
        <v>7</v>
      </c>
      <c r="K82" s="7" t="s">
        <v>291</v>
      </c>
    </row>
    <row r="83" spans="1:11" ht="23.1" customHeight="1" x14ac:dyDescent="0.25">
      <c r="A83" s="3" t="s">
        <v>234</v>
      </c>
      <c r="B83" s="4">
        <v>7407</v>
      </c>
      <c r="C83" s="4" t="s">
        <v>81</v>
      </c>
      <c r="D83" s="4" t="s">
        <v>51</v>
      </c>
      <c r="E83" s="4" t="s">
        <v>145</v>
      </c>
      <c r="F83" s="4" t="s">
        <v>163</v>
      </c>
      <c r="G83" s="4" t="s">
        <v>171</v>
      </c>
      <c r="H83" s="5">
        <f>1758/100</f>
        <v>17.579999999999998</v>
      </c>
      <c r="I83" s="4" t="s">
        <v>36</v>
      </c>
      <c r="J83" s="4" t="s">
        <v>7</v>
      </c>
      <c r="K83" s="7" t="s">
        <v>291</v>
      </c>
    </row>
    <row r="84" spans="1:11" ht="23.1" customHeight="1" x14ac:dyDescent="0.25">
      <c r="A84" s="29" t="s">
        <v>235</v>
      </c>
      <c r="B84" s="30">
        <v>7408</v>
      </c>
      <c r="C84" s="30" t="s">
        <v>81</v>
      </c>
      <c r="D84" s="30" t="s">
        <v>51</v>
      </c>
      <c r="E84" s="30" t="s">
        <v>145</v>
      </c>
      <c r="F84" s="30" t="s">
        <v>163</v>
      </c>
      <c r="G84" s="30" t="s">
        <v>171</v>
      </c>
      <c r="H84" s="31">
        <f>1272/100</f>
        <v>12.72</v>
      </c>
      <c r="I84" s="30" t="s">
        <v>36</v>
      </c>
      <c r="J84" s="30" t="s">
        <v>18</v>
      </c>
      <c r="K84" s="29" t="s">
        <v>291</v>
      </c>
    </row>
    <row r="85" spans="1:11" ht="23.1" customHeight="1" x14ac:dyDescent="0.25">
      <c r="A85" s="3" t="s">
        <v>236</v>
      </c>
      <c r="B85" s="4">
        <v>7418</v>
      </c>
      <c r="C85" s="4" t="s">
        <v>82</v>
      </c>
      <c r="D85" s="4" t="s">
        <v>154</v>
      </c>
      <c r="E85" s="4" t="s">
        <v>146</v>
      </c>
      <c r="F85" s="4" t="s">
        <v>170</v>
      </c>
      <c r="G85" s="4" t="s">
        <v>170</v>
      </c>
      <c r="H85" s="5">
        <f>5937/100</f>
        <v>59.37</v>
      </c>
      <c r="I85" s="4" t="s">
        <v>52</v>
      </c>
      <c r="J85" s="4" t="s">
        <v>7</v>
      </c>
      <c r="K85" s="7" t="s">
        <v>201</v>
      </c>
    </row>
    <row r="86" spans="1:11" ht="23.1" customHeight="1" x14ac:dyDescent="0.25">
      <c r="A86" s="3" t="s">
        <v>237</v>
      </c>
      <c r="B86" s="4">
        <v>7250</v>
      </c>
      <c r="C86" s="4" t="s">
        <v>75</v>
      </c>
      <c r="D86" s="4" t="s">
        <v>40</v>
      </c>
      <c r="E86" s="4" t="s">
        <v>188</v>
      </c>
      <c r="F86" s="4" t="s">
        <v>189</v>
      </c>
      <c r="G86" s="4" t="s">
        <v>190</v>
      </c>
      <c r="H86" s="5">
        <f>4000/100</f>
        <v>40</v>
      </c>
      <c r="I86" s="4" t="s">
        <v>30</v>
      </c>
      <c r="J86" s="4" t="s">
        <v>7</v>
      </c>
      <c r="K86" s="7" t="s">
        <v>203</v>
      </c>
    </row>
    <row r="87" spans="1:11" s="32" customFormat="1" ht="23.1" customHeight="1" x14ac:dyDescent="0.25">
      <c r="A87" s="3" t="s">
        <v>237</v>
      </c>
      <c r="B87" s="4">
        <v>7257</v>
      </c>
      <c r="C87" s="4" t="s">
        <v>75</v>
      </c>
      <c r="D87" s="4" t="s">
        <v>17</v>
      </c>
      <c r="E87" s="4" t="s">
        <v>191</v>
      </c>
      <c r="F87" s="4" t="s">
        <v>193</v>
      </c>
      <c r="G87" s="4" t="s">
        <v>170</v>
      </c>
      <c r="H87" s="5">
        <f>1102/100</f>
        <v>11.02</v>
      </c>
      <c r="I87" s="4" t="s">
        <v>12</v>
      </c>
      <c r="J87" s="4" t="s">
        <v>7</v>
      </c>
      <c r="K87" s="7" t="s">
        <v>203</v>
      </c>
    </row>
    <row r="88" spans="1:11" s="32" customFormat="1" ht="23.1" customHeight="1" x14ac:dyDescent="0.25">
      <c r="A88" s="29" t="s">
        <v>237</v>
      </c>
      <c r="B88" s="30">
        <v>7256</v>
      </c>
      <c r="C88" s="30" t="s">
        <v>75</v>
      </c>
      <c r="D88" s="30" t="s">
        <v>17</v>
      </c>
      <c r="E88" s="30" t="s">
        <v>192</v>
      </c>
      <c r="F88" s="30" t="s">
        <v>170</v>
      </c>
      <c r="G88" s="30" t="s">
        <v>170</v>
      </c>
      <c r="H88" s="31">
        <f>596/100</f>
        <v>5.96</v>
      </c>
      <c r="I88" s="30" t="s">
        <v>37</v>
      </c>
      <c r="J88" s="30" t="s">
        <v>18</v>
      </c>
      <c r="K88" s="29" t="s">
        <v>203</v>
      </c>
    </row>
    <row r="89" spans="1:11" ht="23.1" customHeight="1" x14ac:dyDescent="0.25">
      <c r="A89" s="29" t="s">
        <v>237</v>
      </c>
      <c r="B89" s="30">
        <v>7258</v>
      </c>
      <c r="C89" s="30" t="s">
        <v>75</v>
      </c>
      <c r="D89" s="30" t="s">
        <v>17</v>
      </c>
      <c r="E89" s="30" t="s">
        <v>192</v>
      </c>
      <c r="F89" s="30" t="s">
        <v>170</v>
      </c>
      <c r="G89" s="30" t="s">
        <v>170</v>
      </c>
      <c r="H89" s="31">
        <f>1492/100</f>
        <v>14.92</v>
      </c>
      <c r="I89" s="30" t="s">
        <v>41</v>
      </c>
      <c r="J89" s="30" t="s">
        <v>18</v>
      </c>
      <c r="K89" s="29" t="s">
        <v>203</v>
      </c>
    </row>
    <row r="90" spans="1:11" ht="23.1" customHeight="1" x14ac:dyDescent="0.25">
      <c r="A90" s="29" t="s">
        <v>204</v>
      </c>
      <c r="B90" s="30">
        <v>7435</v>
      </c>
      <c r="C90" s="30" t="s">
        <v>82</v>
      </c>
      <c r="D90" s="30" t="s">
        <v>138</v>
      </c>
      <c r="E90" s="30" t="s">
        <v>125</v>
      </c>
      <c r="F90" s="30" t="s">
        <v>160</v>
      </c>
      <c r="G90" s="30" t="s">
        <v>165</v>
      </c>
      <c r="H90" s="31">
        <f>1684/100</f>
        <v>16.84</v>
      </c>
      <c r="I90" s="30" t="s">
        <v>47</v>
      </c>
      <c r="J90" s="30" t="s">
        <v>18</v>
      </c>
      <c r="K90" s="29" t="s">
        <v>201</v>
      </c>
    </row>
    <row r="91" spans="1:11" ht="23.1" customHeight="1" x14ac:dyDescent="0.25">
      <c r="A91" s="3" t="s">
        <v>204</v>
      </c>
      <c r="B91" s="4">
        <v>7436</v>
      </c>
      <c r="C91" s="4" t="s">
        <v>82</v>
      </c>
      <c r="D91" s="4" t="s">
        <v>138</v>
      </c>
      <c r="E91" s="4" t="s">
        <v>125</v>
      </c>
      <c r="F91" s="4" t="s">
        <v>160</v>
      </c>
      <c r="G91" s="4" t="s">
        <v>165</v>
      </c>
      <c r="H91" s="5">
        <f>798/100</f>
        <v>7.98</v>
      </c>
      <c r="I91" s="4" t="s">
        <v>47</v>
      </c>
      <c r="J91" s="4" t="s">
        <v>7</v>
      </c>
      <c r="K91" s="7" t="s">
        <v>201</v>
      </c>
    </row>
    <row r="92" spans="1:11" ht="23.1" customHeight="1" x14ac:dyDescent="0.25">
      <c r="A92" s="3" t="s">
        <v>208</v>
      </c>
      <c r="B92" s="4">
        <v>7456</v>
      </c>
      <c r="C92" s="4" t="s">
        <v>83</v>
      </c>
      <c r="D92" s="4" t="s">
        <v>51</v>
      </c>
      <c r="E92" s="4" t="s">
        <v>147</v>
      </c>
      <c r="F92" s="4" t="s">
        <v>167</v>
      </c>
      <c r="G92" s="4" t="s">
        <v>168</v>
      </c>
      <c r="H92" s="5">
        <f>1851/100</f>
        <v>18.510000000000002</v>
      </c>
      <c r="I92" s="4" t="s">
        <v>6</v>
      </c>
      <c r="J92" s="4" t="s">
        <v>7</v>
      </c>
      <c r="K92" s="7" t="s">
        <v>291</v>
      </c>
    </row>
    <row r="93" spans="1:11" ht="23.1" customHeight="1" x14ac:dyDescent="0.25">
      <c r="A93" s="3" t="s">
        <v>238</v>
      </c>
      <c r="B93" s="4">
        <v>7456</v>
      </c>
      <c r="C93" s="4" t="s">
        <v>83</v>
      </c>
      <c r="D93" s="4" t="s">
        <v>51</v>
      </c>
      <c r="E93" s="4" t="s">
        <v>148</v>
      </c>
      <c r="F93" s="4" t="s">
        <v>163</v>
      </c>
      <c r="G93" s="4" t="s">
        <v>164</v>
      </c>
      <c r="H93" s="5">
        <f>1422/100</f>
        <v>14.22</v>
      </c>
      <c r="I93" s="4" t="s">
        <v>42</v>
      </c>
      <c r="J93" s="4" t="s">
        <v>7</v>
      </c>
      <c r="K93" s="7" t="s">
        <v>291</v>
      </c>
    </row>
    <row r="94" spans="1:11" ht="23.1" customHeight="1" x14ac:dyDescent="0.25">
      <c r="A94" s="3" t="s">
        <v>239</v>
      </c>
      <c r="B94" s="4">
        <v>7482</v>
      </c>
      <c r="C94" s="4" t="s">
        <v>83</v>
      </c>
      <c r="D94" s="4" t="s">
        <v>38</v>
      </c>
      <c r="E94" s="4" t="s">
        <v>124</v>
      </c>
      <c r="F94" s="4" t="s">
        <v>160</v>
      </c>
      <c r="G94" s="4" t="s">
        <v>165</v>
      </c>
      <c r="H94" s="5">
        <f>840/100</f>
        <v>8.4</v>
      </c>
      <c r="I94" s="4" t="s">
        <v>28</v>
      </c>
      <c r="J94" s="4" t="s">
        <v>7</v>
      </c>
      <c r="K94" s="7" t="s">
        <v>201</v>
      </c>
    </row>
    <row r="95" spans="1:11" ht="23.1" customHeight="1" x14ac:dyDescent="0.25">
      <c r="A95" s="3" t="s">
        <v>239</v>
      </c>
      <c r="B95" s="4">
        <v>7483</v>
      </c>
      <c r="C95" s="4" t="s">
        <v>83</v>
      </c>
      <c r="D95" s="4" t="s">
        <v>46</v>
      </c>
      <c r="E95" s="4"/>
      <c r="F95" s="4" t="s">
        <v>160</v>
      </c>
      <c r="G95" s="4"/>
      <c r="H95" s="5">
        <f>718/100</f>
        <v>7.18</v>
      </c>
      <c r="I95" s="4" t="s">
        <v>12</v>
      </c>
      <c r="J95" s="4" t="s">
        <v>7</v>
      </c>
      <c r="K95" s="7" t="s">
        <v>202</v>
      </c>
    </row>
    <row r="96" spans="1:11" ht="23.1" customHeight="1" x14ac:dyDescent="0.25">
      <c r="A96" s="3" t="s">
        <v>240</v>
      </c>
      <c r="B96" s="4">
        <v>7487</v>
      </c>
      <c r="C96" s="4" t="s">
        <v>83</v>
      </c>
      <c r="D96" s="4" t="s">
        <v>155</v>
      </c>
      <c r="E96" s="4" t="s">
        <v>177</v>
      </c>
      <c r="F96" s="4" t="s">
        <v>160</v>
      </c>
      <c r="G96" s="4" t="s">
        <v>166</v>
      </c>
      <c r="H96" s="5">
        <f>357/100</f>
        <v>3.57</v>
      </c>
      <c r="I96" s="4" t="s">
        <v>41</v>
      </c>
      <c r="J96" s="4" t="s">
        <v>7</v>
      </c>
      <c r="K96" s="7" t="s">
        <v>201</v>
      </c>
    </row>
    <row r="97" spans="1:11" ht="23.1" customHeight="1" x14ac:dyDescent="0.25">
      <c r="A97" s="3" t="s">
        <v>241</v>
      </c>
      <c r="B97" s="4">
        <v>7495</v>
      </c>
      <c r="C97" s="4" t="s">
        <v>83</v>
      </c>
      <c r="D97" s="4" t="s">
        <v>155</v>
      </c>
      <c r="E97" s="4" t="s">
        <v>177</v>
      </c>
      <c r="F97" s="4" t="s">
        <v>160</v>
      </c>
      <c r="G97" s="4" t="s">
        <v>166</v>
      </c>
      <c r="H97" s="5">
        <f>5899/100</f>
        <v>58.99</v>
      </c>
      <c r="I97" s="4" t="s">
        <v>11</v>
      </c>
      <c r="J97" s="4" t="s">
        <v>7</v>
      </c>
      <c r="K97" s="7" t="s">
        <v>201</v>
      </c>
    </row>
    <row r="98" spans="1:11" ht="23.1" customHeight="1" x14ac:dyDescent="0.25">
      <c r="A98" s="29" t="s">
        <v>241</v>
      </c>
      <c r="B98" s="30">
        <v>7496</v>
      </c>
      <c r="C98" s="30" t="s">
        <v>83</v>
      </c>
      <c r="D98" s="30" t="s">
        <v>155</v>
      </c>
      <c r="E98" s="30" t="s">
        <v>177</v>
      </c>
      <c r="F98" s="30" t="s">
        <v>160</v>
      </c>
      <c r="G98" s="30" t="s">
        <v>166</v>
      </c>
      <c r="H98" s="31">
        <f>694/100</f>
        <v>6.94</v>
      </c>
      <c r="I98" s="30" t="s">
        <v>11</v>
      </c>
      <c r="J98" s="30" t="s">
        <v>18</v>
      </c>
      <c r="K98" s="29" t="s">
        <v>201</v>
      </c>
    </row>
    <row r="99" spans="1:11" ht="23.1" customHeight="1" x14ac:dyDescent="0.25">
      <c r="A99" s="3" t="s">
        <v>242</v>
      </c>
      <c r="B99" s="4">
        <v>3553</v>
      </c>
      <c r="C99" s="4" t="s">
        <v>62</v>
      </c>
      <c r="D99" s="4" t="s">
        <v>131</v>
      </c>
      <c r="E99" s="4" t="s">
        <v>176</v>
      </c>
      <c r="F99" s="4" t="s">
        <v>160</v>
      </c>
      <c r="G99" s="4">
        <v>114</v>
      </c>
      <c r="H99" s="5">
        <f>2476/100</f>
        <v>24.76</v>
      </c>
      <c r="I99" s="4" t="s">
        <v>11</v>
      </c>
      <c r="J99" s="4" t="s">
        <v>7</v>
      </c>
      <c r="K99" s="7" t="s">
        <v>201</v>
      </c>
    </row>
    <row r="100" spans="1:11" ht="23.1" customHeight="1" x14ac:dyDescent="0.25">
      <c r="A100" s="3" t="s">
        <v>243</v>
      </c>
      <c r="B100" s="4">
        <v>7679</v>
      </c>
      <c r="C100" s="4" t="s">
        <v>64</v>
      </c>
      <c r="D100" s="4" t="s">
        <v>17</v>
      </c>
      <c r="E100" s="4" t="s">
        <v>149</v>
      </c>
      <c r="F100" s="4"/>
      <c r="G100" s="4"/>
      <c r="H100" s="5">
        <f>7459/100</f>
        <v>74.59</v>
      </c>
      <c r="I100" s="4" t="s">
        <v>22</v>
      </c>
      <c r="J100" s="4" t="s">
        <v>7</v>
      </c>
      <c r="K100" s="7" t="s">
        <v>201</v>
      </c>
    </row>
    <row r="101" spans="1:11" s="32" customFormat="1" ht="23.1" customHeight="1" x14ac:dyDescent="0.25">
      <c r="A101" s="29" t="s">
        <v>243</v>
      </c>
      <c r="B101" s="30">
        <v>7680</v>
      </c>
      <c r="C101" s="30" t="s">
        <v>64</v>
      </c>
      <c r="D101" s="30" t="s">
        <v>17</v>
      </c>
      <c r="E101" s="30" t="s">
        <v>129</v>
      </c>
      <c r="F101" s="30"/>
      <c r="G101" s="30"/>
      <c r="H101" s="31">
        <f>1977/100</f>
        <v>19.77</v>
      </c>
      <c r="I101" s="30" t="s">
        <v>22</v>
      </c>
      <c r="J101" s="30" t="s">
        <v>18</v>
      </c>
      <c r="K101" s="29" t="s">
        <v>201</v>
      </c>
    </row>
    <row r="102" spans="1:11" s="32" customFormat="1" ht="23.1" customHeight="1" x14ac:dyDescent="0.25">
      <c r="A102" s="3" t="s">
        <v>243</v>
      </c>
      <c r="B102" s="4">
        <v>7679</v>
      </c>
      <c r="C102" s="4" t="s">
        <v>64</v>
      </c>
      <c r="D102" s="4" t="s">
        <v>17</v>
      </c>
      <c r="E102" s="4" t="s">
        <v>112</v>
      </c>
      <c r="F102" s="4"/>
      <c r="G102" s="4"/>
      <c r="H102" s="5">
        <f>636/100</f>
        <v>6.36</v>
      </c>
      <c r="I102" s="4" t="s">
        <v>20</v>
      </c>
      <c r="J102" s="4" t="s">
        <v>7</v>
      </c>
      <c r="K102" s="7" t="s">
        <v>291</v>
      </c>
    </row>
    <row r="103" spans="1:11" s="32" customFormat="1" ht="23.1" customHeight="1" x14ac:dyDescent="0.25">
      <c r="A103" s="3" t="s">
        <v>243</v>
      </c>
      <c r="B103" s="4">
        <v>7679</v>
      </c>
      <c r="C103" s="4" t="s">
        <v>64</v>
      </c>
      <c r="D103" s="4" t="s">
        <v>17</v>
      </c>
      <c r="E103" s="4" t="s">
        <v>104</v>
      </c>
      <c r="F103" s="4"/>
      <c r="G103" s="4"/>
      <c r="H103" s="5">
        <f>1977/100</f>
        <v>19.77</v>
      </c>
      <c r="I103" s="4" t="s">
        <v>33</v>
      </c>
      <c r="J103" s="4" t="s">
        <v>7</v>
      </c>
      <c r="K103" s="7" t="s">
        <v>291</v>
      </c>
    </row>
    <row r="104" spans="1:11" ht="23.1" customHeight="1" x14ac:dyDescent="0.25">
      <c r="A104" s="3" t="s">
        <v>243</v>
      </c>
      <c r="B104" s="4">
        <v>7681</v>
      </c>
      <c r="C104" s="4" t="s">
        <v>64</v>
      </c>
      <c r="D104" s="4" t="s">
        <v>17</v>
      </c>
      <c r="E104" s="4" t="s">
        <v>127</v>
      </c>
      <c r="F104" s="4"/>
      <c r="G104" s="4"/>
      <c r="H104" s="5">
        <f>3089/100</f>
        <v>30.89</v>
      </c>
      <c r="I104" s="4" t="s">
        <v>53</v>
      </c>
      <c r="J104" s="4" t="s">
        <v>7</v>
      </c>
      <c r="K104" s="7" t="s">
        <v>291</v>
      </c>
    </row>
    <row r="105" spans="1:11" ht="23.1" customHeight="1" x14ac:dyDescent="0.25">
      <c r="A105" s="3" t="s">
        <v>244</v>
      </c>
      <c r="B105" s="4">
        <v>4017</v>
      </c>
      <c r="C105" s="4" t="s">
        <v>91</v>
      </c>
      <c r="D105" s="4" t="s">
        <v>17</v>
      </c>
      <c r="E105" s="4" t="s">
        <v>109</v>
      </c>
      <c r="F105" s="4" t="s">
        <v>170</v>
      </c>
      <c r="G105" s="4" t="s">
        <v>170</v>
      </c>
      <c r="H105" s="5">
        <f>2846/100</f>
        <v>28.46</v>
      </c>
      <c r="I105" s="4" t="s">
        <v>22</v>
      </c>
      <c r="J105" s="4" t="s">
        <v>7</v>
      </c>
      <c r="K105" s="7" t="s">
        <v>201</v>
      </c>
    </row>
    <row r="106" spans="1:11" ht="23.1" customHeight="1" x14ac:dyDescent="0.25">
      <c r="A106" s="29" t="s">
        <v>244</v>
      </c>
      <c r="B106" s="30">
        <v>4018</v>
      </c>
      <c r="C106" s="30" t="s">
        <v>91</v>
      </c>
      <c r="D106" s="30" t="s">
        <v>17</v>
      </c>
      <c r="E106" s="30" t="s">
        <v>109</v>
      </c>
      <c r="F106" s="30" t="s">
        <v>170</v>
      </c>
      <c r="G106" s="30" t="s">
        <v>170</v>
      </c>
      <c r="H106" s="31">
        <f>421/100</f>
        <v>4.21</v>
      </c>
      <c r="I106" s="30" t="s">
        <v>22</v>
      </c>
      <c r="J106" s="30" t="s">
        <v>18</v>
      </c>
      <c r="K106" s="29" t="s">
        <v>201</v>
      </c>
    </row>
    <row r="107" spans="1:11" ht="23.1" customHeight="1" x14ac:dyDescent="0.25">
      <c r="A107" s="3" t="s">
        <v>245</v>
      </c>
      <c r="B107" s="4">
        <v>3648</v>
      </c>
      <c r="C107" s="4" t="s">
        <v>89</v>
      </c>
      <c r="D107" s="4" t="s">
        <v>17</v>
      </c>
      <c r="E107" s="4" t="s">
        <v>104</v>
      </c>
      <c r="F107" s="4"/>
      <c r="G107" s="4"/>
      <c r="H107" s="5">
        <f>270/100</f>
        <v>2.7</v>
      </c>
      <c r="I107" s="4" t="s">
        <v>33</v>
      </c>
      <c r="J107" s="4" t="s">
        <v>7</v>
      </c>
      <c r="K107" s="7" t="s">
        <v>203</v>
      </c>
    </row>
    <row r="108" spans="1:11" ht="23.1" customHeight="1" x14ac:dyDescent="0.25">
      <c r="A108" s="3" t="s">
        <v>245</v>
      </c>
      <c r="B108" s="4">
        <v>3649</v>
      </c>
      <c r="C108" s="4" t="s">
        <v>89</v>
      </c>
      <c r="D108" s="4" t="s">
        <v>17</v>
      </c>
      <c r="E108" s="4" t="s">
        <v>104</v>
      </c>
      <c r="F108" s="4"/>
      <c r="G108" s="4"/>
      <c r="H108" s="5">
        <f>326/100</f>
        <v>3.26</v>
      </c>
      <c r="I108" s="4" t="s">
        <v>33</v>
      </c>
      <c r="J108" s="4" t="s">
        <v>7</v>
      </c>
      <c r="K108" s="7" t="s">
        <v>203</v>
      </c>
    </row>
    <row r="109" spans="1:11" ht="23.1" customHeight="1" x14ac:dyDescent="0.25">
      <c r="A109" s="29" t="s">
        <v>246</v>
      </c>
      <c r="B109" s="30">
        <v>3872</v>
      </c>
      <c r="C109" s="30" t="s">
        <v>90</v>
      </c>
      <c r="D109" s="30" t="s">
        <v>132</v>
      </c>
      <c r="E109" s="30" t="s">
        <v>108</v>
      </c>
      <c r="F109" s="30"/>
      <c r="G109" s="30"/>
      <c r="H109" s="31">
        <f>3984/100</f>
        <v>39.840000000000003</v>
      </c>
      <c r="I109" s="30" t="s">
        <v>10</v>
      </c>
      <c r="J109" s="30" t="s">
        <v>18</v>
      </c>
      <c r="K109" s="29" t="s">
        <v>291</v>
      </c>
    </row>
    <row r="110" spans="1:11" ht="23.1" customHeight="1" x14ac:dyDescent="0.25">
      <c r="A110" s="3" t="s">
        <v>247</v>
      </c>
      <c r="B110" s="4">
        <v>4008</v>
      </c>
      <c r="C110" s="4" t="s">
        <v>91</v>
      </c>
      <c r="D110" s="4" t="s">
        <v>48</v>
      </c>
      <c r="E110" s="4" t="s">
        <v>170</v>
      </c>
      <c r="F110" s="4" t="s">
        <v>170</v>
      </c>
      <c r="G110" s="4" t="s">
        <v>170</v>
      </c>
      <c r="H110" s="5">
        <f>4335/100</f>
        <v>43.35</v>
      </c>
      <c r="I110" s="4" t="s">
        <v>31</v>
      </c>
      <c r="J110" s="4" t="s">
        <v>7</v>
      </c>
      <c r="K110" s="7" t="s">
        <v>201</v>
      </c>
    </row>
    <row r="111" spans="1:11" s="32" customFormat="1" ht="23.1" customHeight="1" x14ac:dyDescent="0.25">
      <c r="A111" s="3" t="s">
        <v>248</v>
      </c>
      <c r="B111" s="4">
        <v>4048</v>
      </c>
      <c r="C111" s="4" t="s">
        <v>92</v>
      </c>
      <c r="D111" s="4" t="s">
        <v>154</v>
      </c>
      <c r="E111" s="4" t="s">
        <v>110</v>
      </c>
      <c r="F111" s="4" t="s">
        <v>160</v>
      </c>
      <c r="G111" s="4" t="s">
        <v>161</v>
      </c>
      <c r="H111" s="5">
        <f>2308/100</f>
        <v>23.08</v>
      </c>
      <c r="I111" s="4" t="s">
        <v>14</v>
      </c>
      <c r="J111" s="4" t="s">
        <v>7</v>
      </c>
      <c r="K111" s="7" t="s">
        <v>201</v>
      </c>
    </row>
    <row r="112" spans="1:11" ht="23.1" customHeight="1" x14ac:dyDescent="0.25">
      <c r="A112" s="3" t="s">
        <v>249</v>
      </c>
      <c r="B112" s="4">
        <v>4177</v>
      </c>
      <c r="C112" s="4" t="s">
        <v>93</v>
      </c>
      <c r="D112" s="4" t="s">
        <v>4</v>
      </c>
      <c r="E112" s="4"/>
      <c r="F112" s="4"/>
      <c r="G112" s="4"/>
      <c r="H112" s="8">
        <f>4004/100</f>
        <v>40.04</v>
      </c>
      <c r="I112" s="4" t="s">
        <v>57</v>
      </c>
      <c r="J112" s="4" t="s">
        <v>7</v>
      </c>
      <c r="K112" s="7" t="s">
        <v>291</v>
      </c>
    </row>
    <row r="113" spans="1:11" ht="23.1" customHeight="1" x14ac:dyDescent="0.25">
      <c r="A113" s="3" t="s">
        <v>249</v>
      </c>
      <c r="B113" s="4">
        <v>4177</v>
      </c>
      <c r="C113" s="4" t="s">
        <v>93</v>
      </c>
      <c r="D113" s="4" t="s">
        <v>17</v>
      </c>
      <c r="E113" s="4" t="s">
        <v>104</v>
      </c>
      <c r="F113" s="4" t="s">
        <v>163</v>
      </c>
      <c r="G113" s="4" t="s">
        <v>289</v>
      </c>
      <c r="H113" s="8">
        <f>300/100</f>
        <v>3</v>
      </c>
      <c r="I113" s="4" t="s">
        <v>56</v>
      </c>
      <c r="J113" s="4" t="s">
        <v>7</v>
      </c>
      <c r="K113" s="7" t="s">
        <v>291</v>
      </c>
    </row>
    <row r="114" spans="1:11" s="32" customFormat="1" ht="23.1" customHeight="1" x14ac:dyDescent="0.25">
      <c r="A114" s="3" t="s">
        <v>250</v>
      </c>
      <c r="B114" s="4">
        <v>4276</v>
      </c>
      <c r="C114" s="4" t="s">
        <v>95</v>
      </c>
      <c r="D114" s="4" t="s">
        <v>131</v>
      </c>
      <c r="E114" s="4" t="s">
        <v>101</v>
      </c>
      <c r="F114" s="4"/>
      <c r="G114" s="4"/>
      <c r="H114" s="5">
        <f>2026/100</f>
        <v>20.260000000000002</v>
      </c>
      <c r="I114" s="4" t="s">
        <v>47</v>
      </c>
      <c r="J114" s="4" t="s">
        <v>7</v>
      </c>
      <c r="K114" s="7" t="s">
        <v>201</v>
      </c>
    </row>
    <row r="115" spans="1:11" s="32" customFormat="1" ht="23.1" customHeight="1" x14ac:dyDescent="0.25">
      <c r="A115" s="3" t="s">
        <v>251</v>
      </c>
      <c r="B115" s="4">
        <v>4323</v>
      </c>
      <c r="C115" s="4" t="s">
        <v>96</v>
      </c>
      <c r="D115" s="4" t="s">
        <v>58</v>
      </c>
      <c r="E115" s="4" t="s">
        <v>114</v>
      </c>
      <c r="F115" s="4"/>
      <c r="G115" s="4"/>
      <c r="H115" s="5">
        <f>2593/100</f>
        <v>25.93</v>
      </c>
      <c r="I115" s="4" t="s">
        <v>42</v>
      </c>
      <c r="J115" s="4" t="s">
        <v>7</v>
      </c>
      <c r="K115" s="3" t="s">
        <v>203</v>
      </c>
    </row>
    <row r="116" spans="1:11" ht="23.1" customHeight="1" x14ac:dyDescent="0.25">
      <c r="A116" s="3" t="s">
        <v>252</v>
      </c>
      <c r="B116" s="4">
        <v>4375</v>
      </c>
      <c r="C116" s="4" t="s">
        <v>98</v>
      </c>
      <c r="D116" s="4" t="s">
        <v>55</v>
      </c>
      <c r="E116" s="4" t="s">
        <v>134</v>
      </c>
      <c r="F116" s="4"/>
      <c r="G116" s="4"/>
      <c r="H116" s="5">
        <f>4118/100</f>
        <v>41.18</v>
      </c>
      <c r="I116" s="4" t="s">
        <v>57</v>
      </c>
      <c r="J116" s="4" t="s">
        <v>7</v>
      </c>
      <c r="K116" s="7" t="s">
        <v>291</v>
      </c>
    </row>
    <row r="117" spans="1:11" ht="23.1" customHeight="1" x14ac:dyDescent="0.25">
      <c r="A117" s="3" t="s">
        <v>253</v>
      </c>
      <c r="B117" s="4">
        <v>3600</v>
      </c>
      <c r="C117" s="4" t="s">
        <v>63</v>
      </c>
      <c r="D117" s="4" t="s">
        <v>132</v>
      </c>
      <c r="E117" s="4" t="s">
        <v>105</v>
      </c>
      <c r="F117" s="4" t="s">
        <v>160</v>
      </c>
      <c r="G117" s="4" t="s">
        <v>175</v>
      </c>
      <c r="H117" s="5">
        <f>1063/100</f>
        <v>10.63</v>
      </c>
      <c r="I117" s="4" t="s">
        <v>12</v>
      </c>
      <c r="J117" s="4" t="s">
        <v>7</v>
      </c>
      <c r="K117" s="7" t="s">
        <v>201</v>
      </c>
    </row>
    <row r="118" spans="1:11" ht="23.1" customHeight="1" x14ac:dyDescent="0.25">
      <c r="A118" s="3" t="s">
        <v>253</v>
      </c>
      <c r="B118" s="4">
        <v>3601</v>
      </c>
      <c r="C118" s="4" t="s">
        <v>63</v>
      </c>
      <c r="D118" s="4" t="s">
        <v>132</v>
      </c>
      <c r="E118" s="4" t="s">
        <v>105</v>
      </c>
      <c r="F118" s="4" t="s">
        <v>160</v>
      </c>
      <c r="G118" s="4" t="s">
        <v>175</v>
      </c>
      <c r="H118" s="5">
        <f>302/100</f>
        <v>3.02</v>
      </c>
      <c r="I118" s="4" t="s">
        <v>12</v>
      </c>
      <c r="J118" s="4" t="s">
        <v>7</v>
      </c>
      <c r="K118" s="7" t="s">
        <v>201</v>
      </c>
    </row>
    <row r="119" spans="1:11" ht="23.1" customHeight="1" x14ac:dyDescent="0.25">
      <c r="A119" s="3" t="s">
        <v>254</v>
      </c>
      <c r="B119" s="4">
        <v>4381</v>
      </c>
      <c r="C119" s="4" t="s">
        <v>98</v>
      </c>
      <c r="D119" s="4" t="s">
        <v>17</v>
      </c>
      <c r="E119" s="4" t="s">
        <v>116</v>
      </c>
      <c r="F119" s="4"/>
      <c r="G119" s="4"/>
      <c r="H119" s="5">
        <f>576/100</f>
        <v>5.76</v>
      </c>
      <c r="I119" s="4" t="s">
        <v>23</v>
      </c>
      <c r="J119" s="4" t="s">
        <v>7</v>
      </c>
      <c r="K119" s="7" t="s">
        <v>201</v>
      </c>
    </row>
    <row r="120" spans="1:11" ht="23.1" customHeight="1" x14ac:dyDescent="0.25">
      <c r="A120" s="3" t="s">
        <v>255</v>
      </c>
      <c r="B120" s="4">
        <v>4383</v>
      </c>
      <c r="C120" s="4" t="s">
        <v>98</v>
      </c>
      <c r="D120" s="4" t="s">
        <v>17</v>
      </c>
      <c r="E120" s="4" t="s">
        <v>104</v>
      </c>
      <c r="F120" s="4"/>
      <c r="G120" s="4"/>
      <c r="H120" s="5">
        <f>712/100</f>
        <v>7.12</v>
      </c>
      <c r="I120" s="4" t="s">
        <v>10</v>
      </c>
      <c r="J120" s="4" t="s">
        <v>7</v>
      </c>
      <c r="K120" s="7" t="s">
        <v>203</v>
      </c>
    </row>
    <row r="121" spans="1:11" ht="23.1" customHeight="1" x14ac:dyDescent="0.25">
      <c r="A121" s="3" t="s">
        <v>256</v>
      </c>
      <c r="B121" s="4">
        <v>4385</v>
      </c>
      <c r="C121" s="4" t="s">
        <v>98</v>
      </c>
      <c r="D121" s="4" t="s">
        <v>17</v>
      </c>
      <c r="E121" s="4" t="s">
        <v>104</v>
      </c>
      <c r="F121" s="4"/>
      <c r="G121" s="4"/>
      <c r="H121" s="5">
        <f>869/100</f>
        <v>8.69</v>
      </c>
      <c r="I121" s="4" t="s">
        <v>19</v>
      </c>
      <c r="J121" s="4" t="s">
        <v>7</v>
      </c>
      <c r="K121" s="7" t="s">
        <v>203</v>
      </c>
    </row>
    <row r="122" spans="1:11" ht="23.1" customHeight="1" x14ac:dyDescent="0.25">
      <c r="A122" s="3" t="s">
        <v>257</v>
      </c>
      <c r="B122" s="4">
        <v>4396</v>
      </c>
      <c r="C122" s="4" t="s">
        <v>98</v>
      </c>
      <c r="D122" s="4" t="s">
        <v>155</v>
      </c>
      <c r="E122" s="4" t="s">
        <v>117</v>
      </c>
      <c r="F122" s="4"/>
      <c r="G122" s="4"/>
      <c r="H122" s="5">
        <f>785/100</f>
        <v>7.85</v>
      </c>
      <c r="I122" s="4" t="s">
        <v>32</v>
      </c>
      <c r="J122" s="4" t="s">
        <v>7</v>
      </c>
      <c r="K122" s="7" t="s">
        <v>201</v>
      </c>
    </row>
    <row r="123" spans="1:11" ht="23.1" customHeight="1" x14ac:dyDescent="0.25">
      <c r="A123" s="3" t="s">
        <v>258</v>
      </c>
      <c r="B123" s="4">
        <v>4400</v>
      </c>
      <c r="C123" s="4" t="s">
        <v>98</v>
      </c>
      <c r="D123" s="4" t="s">
        <v>155</v>
      </c>
      <c r="E123" s="4" t="s">
        <v>118</v>
      </c>
      <c r="F123" s="4"/>
      <c r="G123" s="4"/>
      <c r="H123" s="5">
        <f>610/100</f>
        <v>6.1</v>
      </c>
      <c r="I123" s="4" t="s">
        <v>35</v>
      </c>
      <c r="J123" s="4" t="s">
        <v>7</v>
      </c>
      <c r="K123" s="7" t="s">
        <v>201</v>
      </c>
    </row>
    <row r="124" spans="1:11" ht="23.1" customHeight="1" x14ac:dyDescent="0.25">
      <c r="A124" s="3" t="s">
        <v>259</v>
      </c>
      <c r="B124" s="4">
        <v>6597</v>
      </c>
      <c r="C124" s="4" t="s">
        <v>66</v>
      </c>
      <c r="D124" s="4" t="s">
        <v>155</v>
      </c>
      <c r="E124" s="4" t="s">
        <v>103</v>
      </c>
      <c r="F124" s="4"/>
      <c r="G124" s="4"/>
      <c r="H124" s="5">
        <f>588/100</f>
        <v>5.88</v>
      </c>
      <c r="I124" s="4" t="s">
        <v>21</v>
      </c>
      <c r="J124" s="4" t="s">
        <v>7</v>
      </c>
      <c r="K124" s="7" t="s">
        <v>201</v>
      </c>
    </row>
    <row r="125" spans="1:11" ht="23.1" customHeight="1" x14ac:dyDescent="0.25">
      <c r="A125" s="3" t="s">
        <v>259</v>
      </c>
      <c r="B125" s="4">
        <v>6598</v>
      </c>
      <c r="C125" s="4" t="s">
        <v>66</v>
      </c>
      <c r="D125" s="4" t="s">
        <v>155</v>
      </c>
      <c r="E125" s="4" t="s">
        <v>103</v>
      </c>
      <c r="F125" s="4"/>
      <c r="G125" s="4"/>
      <c r="H125" s="5">
        <f>282/100</f>
        <v>2.82</v>
      </c>
      <c r="I125" s="4" t="s">
        <v>21</v>
      </c>
      <c r="J125" s="4" t="s">
        <v>7</v>
      </c>
      <c r="K125" s="7" t="s">
        <v>201</v>
      </c>
    </row>
    <row r="126" spans="1:11" ht="23.1" customHeight="1" x14ac:dyDescent="0.25">
      <c r="A126" s="29" t="s">
        <v>260</v>
      </c>
      <c r="B126" s="30">
        <v>4050</v>
      </c>
      <c r="C126" s="30" t="s">
        <v>92</v>
      </c>
      <c r="D126" s="30" t="s">
        <v>17</v>
      </c>
      <c r="E126" s="30" t="s">
        <v>111</v>
      </c>
      <c r="F126" s="30" t="s">
        <v>160</v>
      </c>
      <c r="G126" s="30" t="s">
        <v>169</v>
      </c>
      <c r="H126" s="31">
        <f>3024/100</f>
        <v>30.24</v>
      </c>
      <c r="I126" s="30" t="s">
        <v>23</v>
      </c>
      <c r="J126" s="30" t="s">
        <v>18</v>
      </c>
      <c r="K126" s="29" t="s">
        <v>201</v>
      </c>
    </row>
    <row r="127" spans="1:11" s="32" customFormat="1" ht="23.1" customHeight="1" x14ac:dyDescent="0.25">
      <c r="A127" s="29" t="s">
        <v>261</v>
      </c>
      <c r="B127" s="30">
        <v>4252</v>
      </c>
      <c r="C127" s="30" t="s">
        <v>94</v>
      </c>
      <c r="D127" s="30" t="s">
        <v>58</v>
      </c>
      <c r="E127" s="30" t="s">
        <v>113</v>
      </c>
      <c r="F127" s="30"/>
      <c r="G127" s="30"/>
      <c r="H127" s="31">
        <f>2647/100</f>
        <v>26.47</v>
      </c>
      <c r="I127" s="30" t="s">
        <v>23</v>
      </c>
      <c r="J127" s="30" t="s">
        <v>18</v>
      </c>
      <c r="K127" s="29" t="s">
        <v>202</v>
      </c>
    </row>
    <row r="128" spans="1:11" ht="23.1" customHeight="1" x14ac:dyDescent="0.25">
      <c r="A128" s="3" t="s">
        <v>262</v>
      </c>
      <c r="B128" s="4">
        <v>3730</v>
      </c>
      <c r="C128" s="4" t="s">
        <v>294</v>
      </c>
      <c r="D128" s="4" t="s">
        <v>154</v>
      </c>
      <c r="E128" s="4" t="s">
        <v>107</v>
      </c>
      <c r="F128" s="4" t="s">
        <v>167</v>
      </c>
      <c r="G128" s="4" t="s">
        <v>168</v>
      </c>
      <c r="H128" s="5">
        <f>646/100</f>
        <v>6.46</v>
      </c>
      <c r="I128" s="4" t="s">
        <v>13</v>
      </c>
      <c r="J128" s="4" t="s">
        <v>7</v>
      </c>
      <c r="K128" s="7" t="s">
        <v>293</v>
      </c>
    </row>
    <row r="129" spans="1:11" ht="23.1" customHeight="1" x14ac:dyDescent="0.25">
      <c r="A129" s="3" t="s">
        <v>263</v>
      </c>
      <c r="B129" s="4">
        <v>3621</v>
      </c>
      <c r="C129" s="4" t="s">
        <v>89</v>
      </c>
      <c r="D129" s="4" t="s">
        <v>155</v>
      </c>
      <c r="E129" s="4" t="s">
        <v>106</v>
      </c>
      <c r="F129" s="4"/>
      <c r="G129" s="4"/>
      <c r="H129" s="5">
        <f>990/100</f>
        <v>9.9</v>
      </c>
      <c r="I129" s="4" t="s">
        <v>41</v>
      </c>
      <c r="J129" s="4" t="s">
        <v>7</v>
      </c>
      <c r="K129" s="7" t="s">
        <v>203</v>
      </c>
    </row>
    <row r="130" spans="1:11" ht="23.1" customHeight="1" x14ac:dyDescent="0.25">
      <c r="A130" s="10" t="s">
        <v>264</v>
      </c>
      <c r="B130" s="11">
        <v>7220</v>
      </c>
      <c r="C130" s="11" t="s">
        <v>72</v>
      </c>
      <c r="D130" s="11" t="s">
        <v>5</v>
      </c>
      <c r="E130" s="11"/>
      <c r="F130" s="11"/>
      <c r="G130" s="11"/>
      <c r="H130" s="12">
        <f>1087/100</f>
        <v>10.87</v>
      </c>
      <c r="I130" s="11" t="s">
        <v>36</v>
      </c>
      <c r="J130" s="11" t="s">
        <v>152</v>
      </c>
      <c r="K130" s="7" t="s">
        <v>203</v>
      </c>
    </row>
    <row r="131" spans="1:11" ht="23.1" customHeight="1" x14ac:dyDescent="0.25">
      <c r="A131" s="10" t="s">
        <v>264</v>
      </c>
      <c r="B131" s="11">
        <v>7220</v>
      </c>
      <c r="C131" s="11" t="s">
        <v>72</v>
      </c>
      <c r="D131" s="11" t="s">
        <v>5</v>
      </c>
      <c r="E131" s="11"/>
      <c r="F131" s="11"/>
      <c r="G131" s="11"/>
      <c r="H131" s="12">
        <f>1253/100</f>
        <v>12.53</v>
      </c>
      <c r="I131" s="11" t="s">
        <v>37</v>
      </c>
      <c r="J131" s="11" t="s">
        <v>152</v>
      </c>
      <c r="K131" s="7" t="s">
        <v>203</v>
      </c>
    </row>
    <row r="132" spans="1:11" ht="23.1" customHeight="1" x14ac:dyDescent="0.25">
      <c r="A132" s="10" t="s">
        <v>265</v>
      </c>
      <c r="B132" s="11">
        <v>7345</v>
      </c>
      <c r="C132" s="11" t="s">
        <v>78</v>
      </c>
      <c r="D132" s="11" t="s">
        <v>17</v>
      </c>
      <c r="E132" s="11" t="s">
        <v>119</v>
      </c>
      <c r="F132" s="11"/>
      <c r="G132" s="11"/>
      <c r="H132" s="12">
        <f>868/100</f>
        <v>8.68</v>
      </c>
      <c r="I132" s="11" t="s">
        <v>45</v>
      </c>
      <c r="J132" s="11" t="s">
        <v>152</v>
      </c>
      <c r="K132" s="7" t="s">
        <v>203</v>
      </c>
    </row>
    <row r="133" spans="1:11" ht="23.1" customHeight="1" x14ac:dyDescent="0.25">
      <c r="A133" s="10" t="s">
        <v>265</v>
      </c>
      <c r="B133" s="11">
        <v>7346</v>
      </c>
      <c r="C133" s="11" t="s">
        <v>78</v>
      </c>
      <c r="D133" s="11" t="s">
        <v>17</v>
      </c>
      <c r="E133" s="11" t="s">
        <v>119</v>
      </c>
      <c r="F133" s="11"/>
      <c r="G133" s="11"/>
      <c r="H133" s="12">
        <f>1053/100</f>
        <v>10.53</v>
      </c>
      <c r="I133" s="11" t="s">
        <v>14</v>
      </c>
      <c r="J133" s="11" t="s">
        <v>152</v>
      </c>
      <c r="K133" s="7" t="s">
        <v>203</v>
      </c>
    </row>
    <row r="134" spans="1:11" ht="23.1" customHeight="1" x14ac:dyDescent="0.25">
      <c r="A134" s="10" t="s">
        <v>266</v>
      </c>
      <c r="B134" s="11">
        <v>6659</v>
      </c>
      <c r="C134" s="11" t="s">
        <v>67</v>
      </c>
      <c r="D134" s="11" t="s">
        <v>5</v>
      </c>
      <c r="E134" s="11"/>
      <c r="F134" s="11"/>
      <c r="G134" s="11"/>
      <c r="H134" s="12">
        <f>1423/100</f>
        <v>14.23</v>
      </c>
      <c r="I134" s="11" t="s">
        <v>24</v>
      </c>
      <c r="J134" s="11" t="s">
        <v>152</v>
      </c>
      <c r="K134" s="10" t="s">
        <v>203</v>
      </c>
    </row>
    <row r="135" spans="1:11" ht="23.1" customHeight="1" x14ac:dyDescent="0.25">
      <c r="A135" s="34" t="s">
        <v>267</v>
      </c>
      <c r="B135" s="35">
        <v>6527</v>
      </c>
      <c r="C135" s="35" t="s">
        <v>65</v>
      </c>
      <c r="D135" s="35" t="s">
        <v>155</v>
      </c>
      <c r="E135" s="35" t="s">
        <v>117</v>
      </c>
      <c r="F135" s="35"/>
      <c r="G135" s="35"/>
      <c r="H135" s="36">
        <f>946/100</f>
        <v>9.4600000000000009</v>
      </c>
      <c r="I135" s="35" t="s">
        <v>15</v>
      </c>
      <c r="J135" s="35" t="s">
        <v>7</v>
      </c>
      <c r="K135" s="7" t="s">
        <v>203</v>
      </c>
    </row>
    <row r="136" spans="1:11" ht="23.1" customHeight="1" x14ac:dyDescent="0.25">
      <c r="A136" s="3" t="s">
        <v>268</v>
      </c>
      <c r="B136" s="4">
        <v>4062</v>
      </c>
      <c r="C136" s="4" t="s">
        <v>92</v>
      </c>
      <c r="D136" s="4" t="s">
        <v>4</v>
      </c>
      <c r="E136" s="4"/>
      <c r="F136" s="4"/>
      <c r="G136" s="4"/>
      <c r="H136" s="8">
        <f>2858/100</f>
        <v>28.58</v>
      </c>
      <c r="I136" s="4" t="s">
        <v>16</v>
      </c>
      <c r="J136" s="4" t="s">
        <v>7</v>
      </c>
      <c r="K136" s="7" t="s">
        <v>291</v>
      </c>
    </row>
    <row r="137" spans="1:11" s="32" customFormat="1" ht="23.1" customHeight="1" x14ac:dyDescent="0.25">
      <c r="A137" s="29" t="s">
        <v>269</v>
      </c>
      <c r="B137" s="30">
        <v>7675</v>
      </c>
      <c r="C137" s="30" t="s">
        <v>64</v>
      </c>
      <c r="D137" s="30" t="s">
        <v>136</v>
      </c>
      <c r="E137" s="30" t="s">
        <v>100</v>
      </c>
      <c r="F137" s="30"/>
      <c r="G137" s="30"/>
      <c r="H137" s="31">
        <f>2719/100</f>
        <v>27.19</v>
      </c>
      <c r="I137" s="30" t="s">
        <v>14</v>
      </c>
      <c r="J137" s="30" t="s">
        <v>290</v>
      </c>
      <c r="K137" s="29" t="s">
        <v>203</v>
      </c>
    </row>
    <row r="138" spans="1:11" s="32" customFormat="1" ht="23.1" customHeight="1" x14ac:dyDescent="0.25">
      <c r="A138" s="29" t="s">
        <v>269</v>
      </c>
      <c r="B138" s="30">
        <v>7676</v>
      </c>
      <c r="C138" s="30" t="s">
        <v>64</v>
      </c>
      <c r="D138" s="30" t="s">
        <v>136</v>
      </c>
      <c r="E138" s="30" t="s">
        <v>100</v>
      </c>
      <c r="F138" s="30"/>
      <c r="G138" s="30"/>
      <c r="H138" s="31">
        <f>1067/100</f>
        <v>10.67</v>
      </c>
      <c r="I138" s="30" t="s">
        <v>14</v>
      </c>
      <c r="J138" s="30" t="s">
        <v>18</v>
      </c>
      <c r="K138" s="29" t="s">
        <v>203</v>
      </c>
    </row>
    <row r="139" spans="1:11" ht="23.1" customHeight="1" x14ac:dyDescent="0.25">
      <c r="A139" s="3" t="s">
        <v>269</v>
      </c>
      <c r="B139" s="4">
        <v>598</v>
      </c>
      <c r="C139" s="4" t="s">
        <v>64</v>
      </c>
      <c r="D139" s="4" t="s">
        <v>131</v>
      </c>
      <c r="E139" s="4" t="s">
        <v>100</v>
      </c>
      <c r="F139" s="4"/>
      <c r="G139" s="4"/>
      <c r="H139" s="5">
        <f>6090/100</f>
        <v>60.9</v>
      </c>
      <c r="I139" s="4" t="s">
        <v>14</v>
      </c>
      <c r="J139" s="4" t="s">
        <v>7</v>
      </c>
      <c r="K139" s="6" t="s">
        <v>203</v>
      </c>
    </row>
    <row r="140" spans="1:11" ht="23.1" customHeight="1" x14ac:dyDescent="0.25">
      <c r="A140" s="3" t="s">
        <v>270</v>
      </c>
      <c r="B140" s="4">
        <v>4356</v>
      </c>
      <c r="C140" s="4" t="s">
        <v>97</v>
      </c>
      <c r="D140" s="4" t="s">
        <v>131</v>
      </c>
      <c r="E140" s="4" t="s">
        <v>101</v>
      </c>
      <c r="F140" s="4"/>
      <c r="G140" s="4"/>
      <c r="H140" s="5">
        <f>1550/100</f>
        <v>15.5</v>
      </c>
      <c r="I140" s="4" t="s">
        <v>23</v>
      </c>
      <c r="J140" s="4" t="s">
        <v>7</v>
      </c>
      <c r="K140" s="7" t="s">
        <v>201</v>
      </c>
    </row>
    <row r="141" spans="1:11" ht="23.1" customHeight="1" x14ac:dyDescent="0.25">
      <c r="A141" s="3" t="s">
        <v>270</v>
      </c>
      <c r="B141" s="4">
        <v>4356</v>
      </c>
      <c r="C141" s="4" t="s">
        <v>97</v>
      </c>
      <c r="D141" s="4" t="s">
        <v>17</v>
      </c>
      <c r="E141" s="4" t="s">
        <v>115</v>
      </c>
      <c r="F141" s="4"/>
      <c r="G141" s="4"/>
      <c r="H141" s="5">
        <f>3860/100</f>
        <v>38.6</v>
      </c>
      <c r="I141" s="4" t="s">
        <v>23</v>
      </c>
      <c r="J141" s="4" t="s">
        <v>7</v>
      </c>
      <c r="K141" s="7" t="s">
        <v>201</v>
      </c>
    </row>
    <row r="142" spans="1:11" ht="23.1" customHeight="1" x14ac:dyDescent="0.25">
      <c r="A142" s="10" t="s">
        <v>271</v>
      </c>
      <c r="B142" s="11">
        <v>3480</v>
      </c>
      <c r="C142" s="11" t="s">
        <v>85</v>
      </c>
      <c r="D142" s="11" t="s">
        <v>5</v>
      </c>
      <c r="E142" s="11"/>
      <c r="F142" s="11"/>
      <c r="G142" s="11"/>
      <c r="H142" s="12">
        <f>886/100</f>
        <v>8.86</v>
      </c>
      <c r="I142" s="11" t="s">
        <v>33</v>
      </c>
      <c r="J142" s="11" t="s">
        <v>152</v>
      </c>
      <c r="K142" s="7" t="s">
        <v>203</v>
      </c>
    </row>
    <row r="143" spans="1:11" ht="23.1" customHeight="1" x14ac:dyDescent="0.25">
      <c r="A143" s="3" t="s">
        <v>272</v>
      </c>
      <c r="B143" s="4">
        <v>7387</v>
      </c>
      <c r="C143" s="4" t="s">
        <v>9</v>
      </c>
      <c r="D143" s="4" t="s">
        <v>17</v>
      </c>
      <c r="E143" s="4" t="s">
        <v>173</v>
      </c>
      <c r="F143" s="4" t="s">
        <v>172</v>
      </c>
      <c r="G143" s="4" t="s">
        <v>174</v>
      </c>
      <c r="H143" s="5">
        <f>4002/100</f>
        <v>40.020000000000003</v>
      </c>
      <c r="I143" s="4" t="s">
        <v>13</v>
      </c>
      <c r="J143" s="4" t="s">
        <v>7</v>
      </c>
      <c r="K143" s="7" t="s">
        <v>293</v>
      </c>
    </row>
    <row r="144" spans="1:11" s="32" customFormat="1" ht="23.1" customHeight="1" x14ac:dyDescent="0.25">
      <c r="A144" s="3" t="s">
        <v>273</v>
      </c>
      <c r="B144" s="4">
        <v>7388</v>
      </c>
      <c r="C144" s="4" t="s">
        <v>9</v>
      </c>
      <c r="D144" s="4" t="s">
        <v>4</v>
      </c>
      <c r="E144" s="4"/>
      <c r="F144" s="4"/>
      <c r="G144" s="4"/>
      <c r="H144" s="8">
        <f>250/100</f>
        <v>2.5</v>
      </c>
      <c r="I144" s="4" t="s">
        <v>50</v>
      </c>
      <c r="J144" s="4" t="s">
        <v>7</v>
      </c>
      <c r="K144" s="7" t="s">
        <v>293</v>
      </c>
    </row>
    <row r="145" spans="1:11" ht="23.1" customHeight="1" x14ac:dyDescent="0.25">
      <c r="A145" s="3" t="s">
        <v>273</v>
      </c>
      <c r="B145" s="4">
        <v>7388</v>
      </c>
      <c r="C145" s="4" t="s">
        <v>9</v>
      </c>
      <c r="D145" s="4" t="s">
        <v>17</v>
      </c>
      <c r="E145" s="4" t="s">
        <v>127</v>
      </c>
      <c r="F145" s="4" t="s">
        <v>170</v>
      </c>
      <c r="G145" s="4" t="s">
        <v>170</v>
      </c>
      <c r="H145" s="5">
        <f>2411/100</f>
        <v>24.11</v>
      </c>
      <c r="I145" s="4" t="s">
        <v>50</v>
      </c>
      <c r="J145" s="4" t="s">
        <v>7</v>
      </c>
      <c r="K145" s="7" t="s">
        <v>293</v>
      </c>
    </row>
    <row r="146" spans="1:11" ht="23.1" customHeight="1" x14ac:dyDescent="0.25">
      <c r="A146" s="3" t="s">
        <v>273</v>
      </c>
      <c r="B146" s="4">
        <v>7388</v>
      </c>
      <c r="C146" s="4" t="s">
        <v>9</v>
      </c>
      <c r="D146" s="4" t="s">
        <v>154</v>
      </c>
      <c r="E146" s="4" t="s">
        <v>157</v>
      </c>
      <c r="F146" s="4" t="s">
        <v>170</v>
      </c>
      <c r="G146" s="4" t="s">
        <v>170</v>
      </c>
      <c r="H146" s="5">
        <f>2500/100</f>
        <v>25</v>
      </c>
      <c r="I146" s="4" t="s">
        <v>32</v>
      </c>
      <c r="J146" s="4" t="s">
        <v>7</v>
      </c>
      <c r="K146" s="7" t="s">
        <v>293</v>
      </c>
    </row>
    <row r="147" spans="1:11" ht="23.1" customHeight="1" x14ac:dyDescent="0.25">
      <c r="A147" s="3" t="s">
        <v>274</v>
      </c>
      <c r="B147" s="4">
        <v>7387</v>
      </c>
      <c r="C147" s="4" t="s">
        <v>9</v>
      </c>
      <c r="D147" s="4" t="s">
        <v>4</v>
      </c>
      <c r="E147" s="4"/>
      <c r="F147" s="4"/>
      <c r="G147" s="4"/>
      <c r="H147" s="8">
        <f>1564/100</f>
        <v>15.64</v>
      </c>
      <c r="I147" s="4" t="s">
        <v>50</v>
      </c>
      <c r="J147" s="4" t="s">
        <v>7</v>
      </c>
      <c r="K147" s="7" t="s">
        <v>293</v>
      </c>
    </row>
    <row r="148" spans="1:11" ht="23.1" customHeight="1" x14ac:dyDescent="0.25">
      <c r="A148" s="3" t="s">
        <v>275</v>
      </c>
      <c r="B148" s="4">
        <v>8022</v>
      </c>
      <c r="C148" s="4" t="s">
        <v>84</v>
      </c>
      <c r="D148" s="4" t="s">
        <v>51</v>
      </c>
      <c r="E148" s="4" t="s">
        <v>150</v>
      </c>
      <c r="F148" s="4"/>
      <c r="G148" s="4"/>
      <c r="H148" s="5">
        <f>1392/100</f>
        <v>13.92</v>
      </c>
      <c r="I148" s="4" t="s">
        <v>21</v>
      </c>
      <c r="J148" s="4" t="s">
        <v>7</v>
      </c>
      <c r="K148" s="7" t="s">
        <v>291</v>
      </c>
    </row>
    <row r="149" spans="1:11" ht="23.1" customHeight="1" x14ac:dyDescent="0.25">
      <c r="A149" s="29" t="s">
        <v>275</v>
      </c>
      <c r="B149" s="30">
        <v>8020</v>
      </c>
      <c r="C149" s="30" t="s">
        <v>84</v>
      </c>
      <c r="D149" s="30" t="s">
        <v>51</v>
      </c>
      <c r="E149" s="30" t="s">
        <v>150</v>
      </c>
      <c r="F149" s="30"/>
      <c r="G149" s="30"/>
      <c r="H149" s="31">
        <f>600/100</f>
        <v>6</v>
      </c>
      <c r="I149" s="30" t="s">
        <v>21</v>
      </c>
      <c r="J149" s="30" t="s">
        <v>18</v>
      </c>
      <c r="K149" s="29" t="s">
        <v>291</v>
      </c>
    </row>
    <row r="150" spans="1:11" ht="23.1" customHeight="1" x14ac:dyDescent="0.25">
      <c r="A150" s="29" t="s">
        <v>275</v>
      </c>
      <c r="B150" s="30">
        <v>8020</v>
      </c>
      <c r="C150" s="30" t="s">
        <v>84</v>
      </c>
      <c r="D150" s="30" t="s">
        <v>54</v>
      </c>
      <c r="E150" s="30" t="s">
        <v>161</v>
      </c>
      <c r="F150" s="30" t="s">
        <v>160</v>
      </c>
      <c r="G150" s="30"/>
      <c r="H150" s="31">
        <f>3257/100</f>
        <v>32.57</v>
      </c>
      <c r="I150" s="30" t="s">
        <v>19</v>
      </c>
      <c r="J150" s="30" t="s">
        <v>18</v>
      </c>
      <c r="K150" s="29" t="s">
        <v>291</v>
      </c>
    </row>
    <row r="151" spans="1:11" ht="23.1" customHeight="1" x14ac:dyDescent="0.25">
      <c r="A151" s="3" t="s">
        <v>276</v>
      </c>
      <c r="B151" s="4">
        <v>3552</v>
      </c>
      <c r="C151" s="4" t="s">
        <v>207</v>
      </c>
      <c r="D151" s="4" t="s">
        <v>17</v>
      </c>
      <c r="E151" s="4" t="s">
        <v>104</v>
      </c>
      <c r="F151" s="4"/>
      <c r="G151" s="4"/>
      <c r="H151" s="5">
        <f>925/100</f>
        <v>9.25</v>
      </c>
      <c r="I151" s="4" t="s">
        <v>10</v>
      </c>
      <c r="J151" s="4" t="s">
        <v>7</v>
      </c>
      <c r="K151" s="7" t="s">
        <v>203</v>
      </c>
    </row>
    <row r="152" spans="1:11" ht="23.1" customHeight="1" x14ac:dyDescent="0.25">
      <c r="A152" s="3" t="s">
        <v>277</v>
      </c>
      <c r="B152" s="4">
        <v>4176</v>
      </c>
      <c r="C152" s="4" t="s">
        <v>93</v>
      </c>
      <c r="D152" s="4" t="s">
        <v>55</v>
      </c>
      <c r="E152" s="4" t="s">
        <v>133</v>
      </c>
      <c r="F152" s="4" t="s">
        <v>172</v>
      </c>
      <c r="G152" s="4" t="s">
        <v>286</v>
      </c>
      <c r="H152" s="8">
        <f>3200/100</f>
        <v>32</v>
      </c>
      <c r="I152" s="4" t="s">
        <v>56</v>
      </c>
      <c r="J152" s="4" t="s">
        <v>7</v>
      </c>
      <c r="K152" s="7" t="s">
        <v>291</v>
      </c>
    </row>
    <row r="153" spans="1:11" ht="23.1" customHeight="1" x14ac:dyDescent="0.25">
      <c r="A153" s="3" t="s">
        <v>277</v>
      </c>
      <c r="B153" s="4">
        <v>4176</v>
      </c>
      <c r="C153" s="4" t="s">
        <v>93</v>
      </c>
      <c r="D153" s="4" t="s">
        <v>17</v>
      </c>
      <c r="E153" s="4" t="s">
        <v>287</v>
      </c>
      <c r="F153" s="4" t="s">
        <v>163</v>
      </c>
      <c r="G153" s="4" t="s">
        <v>288</v>
      </c>
      <c r="H153" s="8">
        <f>1748/100</f>
        <v>17.48</v>
      </c>
      <c r="I153" s="4" t="s">
        <v>56</v>
      </c>
      <c r="J153" s="4" t="s">
        <v>7</v>
      </c>
      <c r="K153" s="7" t="s">
        <v>291</v>
      </c>
    </row>
    <row r="154" spans="1:11" s="32" customFormat="1" ht="23.1" customHeight="1" x14ac:dyDescent="0.25">
      <c r="A154" s="3" t="s">
        <v>278</v>
      </c>
      <c r="B154" s="4">
        <v>6762</v>
      </c>
      <c r="C154" s="4" t="s">
        <v>68</v>
      </c>
      <c r="D154" s="4" t="s">
        <v>155</v>
      </c>
      <c r="E154" s="4" t="s">
        <v>117</v>
      </c>
      <c r="F154" s="4"/>
      <c r="G154" s="4"/>
      <c r="H154" s="5">
        <f>320/100</f>
        <v>3.2</v>
      </c>
      <c r="I154" s="4" t="s">
        <v>16</v>
      </c>
      <c r="J154" s="4" t="s">
        <v>7</v>
      </c>
      <c r="K154" s="7" t="s">
        <v>293</v>
      </c>
    </row>
    <row r="155" spans="1:11" ht="23.1" customHeight="1" x14ac:dyDescent="0.25">
      <c r="A155" s="3" t="s">
        <v>278</v>
      </c>
      <c r="B155" s="4">
        <v>6557</v>
      </c>
      <c r="C155" s="4" t="s">
        <v>66</v>
      </c>
      <c r="D155" s="4" t="s">
        <v>155</v>
      </c>
      <c r="E155" s="4" t="s">
        <v>117</v>
      </c>
      <c r="F155" s="4"/>
      <c r="G155" s="4"/>
      <c r="H155" s="5">
        <f>880/100</f>
        <v>8.8000000000000007</v>
      </c>
      <c r="I155" s="4" t="s">
        <v>16</v>
      </c>
      <c r="J155" s="4" t="s">
        <v>7</v>
      </c>
      <c r="K155" s="7" t="s">
        <v>293</v>
      </c>
    </row>
    <row r="156" spans="1:11" ht="23.1" customHeight="1" x14ac:dyDescent="0.25">
      <c r="A156" s="3" t="s">
        <v>278</v>
      </c>
      <c r="B156" s="4">
        <v>6558</v>
      </c>
      <c r="C156" s="4" t="s">
        <v>66</v>
      </c>
      <c r="D156" s="4" t="s">
        <v>155</v>
      </c>
      <c r="E156" s="4" t="s">
        <v>117</v>
      </c>
      <c r="F156" s="4"/>
      <c r="G156" s="4"/>
      <c r="H156" s="5">
        <f>1255/100</f>
        <v>12.55</v>
      </c>
      <c r="I156" s="4" t="s">
        <v>16</v>
      </c>
      <c r="J156" s="4" t="s">
        <v>7</v>
      </c>
      <c r="K156" s="7" t="s">
        <v>293</v>
      </c>
    </row>
    <row r="157" spans="1:11" ht="23.1" customHeight="1" x14ac:dyDescent="0.25">
      <c r="A157" s="3" t="s">
        <v>278</v>
      </c>
      <c r="B157" s="4">
        <v>6559</v>
      </c>
      <c r="C157" s="4" t="s">
        <v>66</v>
      </c>
      <c r="D157" s="4" t="s">
        <v>155</v>
      </c>
      <c r="E157" s="4" t="s">
        <v>117</v>
      </c>
      <c r="F157" s="4"/>
      <c r="G157" s="4"/>
      <c r="H157" s="5">
        <f>1152/100</f>
        <v>11.52</v>
      </c>
      <c r="I157" s="4" t="s">
        <v>16</v>
      </c>
      <c r="J157" s="4" t="s">
        <v>7</v>
      </c>
      <c r="K157" s="7" t="s">
        <v>293</v>
      </c>
    </row>
    <row r="158" spans="1:11" ht="23.1" customHeight="1" x14ac:dyDescent="0.25">
      <c r="A158" s="3" t="s">
        <v>278</v>
      </c>
      <c r="B158" s="4">
        <v>6760</v>
      </c>
      <c r="C158" s="4" t="s">
        <v>68</v>
      </c>
      <c r="D158" s="4" t="s">
        <v>27</v>
      </c>
      <c r="E158" s="4" t="s">
        <v>121</v>
      </c>
      <c r="F158" s="4"/>
      <c r="G158" s="4"/>
      <c r="H158" s="5">
        <f>1470/100</f>
        <v>14.7</v>
      </c>
      <c r="I158" s="4" t="s">
        <v>28</v>
      </c>
      <c r="J158" s="4" t="s">
        <v>7</v>
      </c>
      <c r="K158" s="7" t="s">
        <v>293</v>
      </c>
    </row>
    <row r="159" spans="1:11" ht="23.1" customHeight="1" x14ac:dyDescent="0.25">
      <c r="A159" s="29" t="s">
        <v>278</v>
      </c>
      <c r="B159" s="30">
        <v>6761</v>
      </c>
      <c r="C159" s="30" t="s">
        <v>68</v>
      </c>
      <c r="D159" s="30" t="s">
        <v>27</v>
      </c>
      <c r="E159" s="30" t="s">
        <v>121</v>
      </c>
      <c r="F159" s="30"/>
      <c r="G159" s="30"/>
      <c r="H159" s="31">
        <f>395/100</f>
        <v>3.95</v>
      </c>
      <c r="I159" s="30" t="s">
        <v>28</v>
      </c>
      <c r="J159" s="30" t="s">
        <v>18</v>
      </c>
      <c r="K159" s="29" t="s">
        <v>293</v>
      </c>
    </row>
    <row r="160" spans="1:11" ht="23.1" customHeight="1" x14ac:dyDescent="0.25">
      <c r="A160" s="3" t="s">
        <v>278</v>
      </c>
      <c r="B160" s="4">
        <v>6763</v>
      </c>
      <c r="C160" s="4" t="s">
        <v>68</v>
      </c>
      <c r="D160" s="4" t="s">
        <v>155</v>
      </c>
      <c r="E160" s="4" t="s">
        <v>117</v>
      </c>
      <c r="F160" s="4"/>
      <c r="G160" s="4"/>
      <c r="H160" s="5">
        <f>2555/100</f>
        <v>25.55</v>
      </c>
      <c r="I160" s="4" t="s">
        <v>16</v>
      </c>
      <c r="J160" s="4" t="s">
        <v>7</v>
      </c>
      <c r="K160" s="7" t="s">
        <v>295</v>
      </c>
    </row>
    <row r="161" spans="1:11" ht="23.1" customHeight="1" x14ac:dyDescent="0.25">
      <c r="A161" s="10" t="s">
        <v>278</v>
      </c>
      <c r="B161" s="11">
        <v>6560</v>
      </c>
      <c r="C161" s="11" t="s">
        <v>66</v>
      </c>
      <c r="D161" s="11" t="s">
        <v>17</v>
      </c>
      <c r="E161" s="11" t="s">
        <v>119</v>
      </c>
      <c r="F161" s="11"/>
      <c r="G161" s="11"/>
      <c r="H161" s="12">
        <f>888/100</f>
        <v>8.8800000000000008</v>
      </c>
      <c r="I161" s="11" t="s">
        <v>12</v>
      </c>
      <c r="J161" s="11" t="s">
        <v>152</v>
      </c>
      <c r="K161" s="10" t="s">
        <v>203</v>
      </c>
    </row>
    <row r="162" spans="1:11" ht="23.1" customHeight="1" x14ac:dyDescent="0.25">
      <c r="A162" s="3" t="s">
        <v>278</v>
      </c>
      <c r="B162" s="4">
        <v>6757</v>
      </c>
      <c r="C162" s="4" t="s">
        <v>68</v>
      </c>
      <c r="D162" s="4" t="s">
        <v>25</v>
      </c>
      <c r="E162" s="4" t="s">
        <v>120</v>
      </c>
      <c r="F162" s="4"/>
      <c r="G162" s="4"/>
      <c r="H162" s="5">
        <f>626/100</f>
        <v>6.26</v>
      </c>
      <c r="I162" s="4" t="s">
        <v>26</v>
      </c>
      <c r="J162" s="4" t="s">
        <v>7</v>
      </c>
      <c r="K162" s="7" t="s">
        <v>203</v>
      </c>
    </row>
    <row r="163" spans="1:11" ht="23.1" customHeight="1" x14ac:dyDescent="0.25">
      <c r="A163" s="3" t="s">
        <v>278</v>
      </c>
      <c r="B163" s="4">
        <v>6758</v>
      </c>
      <c r="C163" s="4" t="s">
        <v>68</v>
      </c>
      <c r="D163" s="4" t="s">
        <v>25</v>
      </c>
      <c r="E163" s="4" t="s">
        <v>120</v>
      </c>
      <c r="F163" s="4"/>
      <c r="G163" s="4"/>
      <c r="H163" s="5">
        <f>599/100</f>
        <v>5.99</v>
      </c>
      <c r="I163" s="4" t="s">
        <v>26</v>
      </c>
      <c r="J163" s="4" t="s">
        <v>7</v>
      </c>
      <c r="K163" s="7" t="s">
        <v>203</v>
      </c>
    </row>
    <row r="164" spans="1:11" ht="23.1" customHeight="1" x14ac:dyDescent="0.25">
      <c r="A164" s="3" t="s">
        <v>278</v>
      </c>
      <c r="B164" s="4">
        <v>6759</v>
      </c>
      <c r="C164" s="4" t="s">
        <v>68</v>
      </c>
      <c r="D164" s="4" t="s">
        <v>25</v>
      </c>
      <c r="E164" s="4" t="s">
        <v>120</v>
      </c>
      <c r="F164" s="4"/>
      <c r="G164" s="4"/>
      <c r="H164" s="5">
        <f>577/100</f>
        <v>5.77</v>
      </c>
      <c r="I164" s="4" t="s">
        <v>26</v>
      </c>
      <c r="J164" s="4" t="s">
        <v>7</v>
      </c>
      <c r="K164" s="7" t="s">
        <v>203</v>
      </c>
    </row>
    <row r="165" spans="1:11" ht="23.1" customHeight="1" x14ac:dyDescent="0.25">
      <c r="A165" s="3"/>
      <c r="B165" s="4" t="s">
        <v>196</v>
      </c>
      <c r="C165" s="4" t="s">
        <v>159</v>
      </c>
      <c r="D165" s="4"/>
      <c r="E165" s="4"/>
      <c r="F165" s="4"/>
      <c r="G165" s="4"/>
      <c r="H165" s="5"/>
      <c r="I165" s="4"/>
      <c r="J165" s="4"/>
      <c r="K165" s="7"/>
    </row>
    <row r="166" spans="1:11" ht="23.1" customHeight="1" x14ac:dyDescent="0.25">
      <c r="A166" s="3"/>
      <c r="B166" s="4" t="s">
        <v>197</v>
      </c>
      <c r="C166" s="4" t="s">
        <v>159</v>
      </c>
      <c r="D166" s="4"/>
      <c r="E166" s="4"/>
      <c r="F166" s="4"/>
      <c r="G166" s="4"/>
      <c r="H166" s="8"/>
      <c r="I166" s="4"/>
      <c r="J166" s="4"/>
      <c r="K166" s="7"/>
    </row>
    <row r="167" spans="1:11" ht="23.1" customHeight="1" x14ac:dyDescent="0.25">
      <c r="A167" s="3"/>
      <c r="B167" s="4" t="s">
        <v>281</v>
      </c>
      <c r="C167" s="4" t="s">
        <v>159</v>
      </c>
      <c r="D167" s="4"/>
      <c r="E167" s="4"/>
      <c r="F167" s="4"/>
      <c r="G167" s="4"/>
      <c r="H167" s="5"/>
      <c r="I167" s="4"/>
      <c r="J167" s="4"/>
      <c r="K167" s="7"/>
    </row>
    <row r="168" spans="1:11" ht="23.1" customHeight="1" x14ac:dyDescent="0.25">
      <c r="A168" s="3"/>
      <c r="B168" s="4"/>
      <c r="C168" s="4"/>
      <c r="D168" s="4"/>
      <c r="E168" s="4"/>
      <c r="F168" s="4"/>
      <c r="G168" s="4"/>
      <c r="H168" s="5"/>
      <c r="I168" s="4"/>
      <c r="J168" s="4"/>
      <c r="K168" s="7"/>
    </row>
    <row r="169" spans="1:11" ht="23.1" customHeight="1" x14ac:dyDescent="0.25">
      <c r="A169" s="3"/>
      <c r="B169" s="4" t="s">
        <v>198</v>
      </c>
      <c r="C169" s="4" t="s">
        <v>159</v>
      </c>
      <c r="D169" s="4"/>
      <c r="E169" s="4"/>
      <c r="F169" s="4"/>
      <c r="G169" s="4"/>
      <c r="H169" s="5"/>
      <c r="I169" s="4"/>
      <c r="J169" s="4"/>
      <c r="K169" s="7"/>
    </row>
    <row r="170" spans="1:11" ht="23.1" customHeight="1" x14ac:dyDescent="0.25">
      <c r="A170" s="3"/>
      <c r="B170" s="4" t="s">
        <v>199</v>
      </c>
      <c r="C170" s="4" t="s">
        <v>159</v>
      </c>
      <c r="D170" s="4"/>
      <c r="E170" s="4"/>
      <c r="F170" s="4"/>
      <c r="G170" s="4"/>
      <c r="H170" s="5"/>
      <c r="I170" s="4"/>
      <c r="J170" s="4"/>
      <c r="K170" s="7"/>
    </row>
    <row r="171" spans="1:11" ht="23.1" customHeight="1" x14ac:dyDescent="0.25">
      <c r="A171" s="3"/>
      <c r="B171" s="4" t="s">
        <v>194</v>
      </c>
      <c r="C171" s="4" t="s">
        <v>159</v>
      </c>
      <c r="D171" s="4"/>
      <c r="E171" s="4"/>
      <c r="F171" s="4"/>
      <c r="G171" s="4"/>
      <c r="H171" s="5"/>
      <c r="I171" s="4"/>
      <c r="J171" s="4"/>
      <c r="K171" s="7"/>
    </row>
    <row r="172" spans="1:11" ht="23.1" customHeight="1" x14ac:dyDescent="0.25">
      <c r="A172" s="40"/>
      <c r="B172" s="41" t="s">
        <v>195</v>
      </c>
      <c r="C172" s="41" t="s">
        <v>159</v>
      </c>
      <c r="D172" s="41"/>
      <c r="E172" s="41"/>
      <c r="F172" s="41"/>
      <c r="G172" s="41"/>
      <c r="H172" s="42"/>
      <c r="I172" s="41"/>
      <c r="J172" s="41"/>
      <c r="K172" s="43"/>
    </row>
    <row r="173" spans="1:11" ht="23.1" customHeight="1" x14ac:dyDescent="0.25">
      <c r="A173" s="3"/>
      <c r="B173" s="28"/>
      <c r="H173" s="28"/>
      <c r="K173" s="7"/>
    </row>
    <row r="174" spans="1:11" ht="23.1" customHeight="1" x14ac:dyDescent="0.25">
      <c r="A174" s="3"/>
      <c r="H174" s="28"/>
      <c r="K174" s="7"/>
    </row>
    <row r="175" spans="1:11" ht="23.1" customHeight="1" x14ac:dyDescent="0.25">
      <c r="A175" s="3"/>
      <c r="H175" s="28"/>
      <c r="K175" s="7"/>
    </row>
    <row r="176" spans="1:11" ht="23.1" customHeight="1" x14ac:dyDescent="0.25">
      <c r="A176" s="3"/>
      <c r="B176" s="4"/>
      <c r="C176" s="4"/>
      <c r="D176" s="4"/>
      <c r="E176" s="4"/>
      <c r="F176" s="4"/>
      <c r="G176" s="4"/>
      <c r="H176" s="5"/>
      <c r="I176" s="4"/>
      <c r="J176" s="4"/>
      <c r="K176" s="7"/>
    </row>
    <row r="177" spans="1:11" ht="23.1" customHeight="1" x14ac:dyDescent="0.25">
      <c r="A177" s="3"/>
      <c r="B177" s="4"/>
      <c r="C177" s="4"/>
      <c r="D177" s="4"/>
      <c r="E177" s="4"/>
      <c r="F177" s="4"/>
      <c r="G177" s="4"/>
      <c r="H177" s="8"/>
      <c r="I177" s="4"/>
      <c r="J177" s="4"/>
      <c r="K177" s="7"/>
    </row>
    <row r="178" spans="1:11" ht="23.1" customHeight="1" x14ac:dyDescent="0.25">
      <c r="A178" s="17"/>
      <c r="B178" s="16"/>
      <c r="C178" s="4"/>
      <c r="D178" s="4"/>
      <c r="E178" s="4"/>
      <c r="F178" s="4"/>
      <c r="G178" s="4"/>
      <c r="H178" s="5"/>
      <c r="I178" s="4"/>
      <c r="J178" s="4"/>
      <c r="K178" s="7"/>
    </row>
    <row r="179" spans="1:11" ht="23.1" customHeight="1" x14ac:dyDescent="0.25">
      <c r="A179" s="3"/>
      <c r="B179" s="4"/>
      <c r="C179" s="4"/>
      <c r="D179" s="4"/>
      <c r="E179" s="4"/>
      <c r="F179" s="4"/>
      <c r="G179" s="4"/>
      <c r="H179" s="5"/>
      <c r="I179" s="4"/>
      <c r="J179" s="4"/>
      <c r="K179" s="7"/>
    </row>
    <row r="180" spans="1:11" s="1" customFormat="1" x14ac:dyDescent="0.25">
      <c r="A180" s="17"/>
      <c r="B180" s="16"/>
      <c r="C180" s="16"/>
      <c r="D180" s="16"/>
      <c r="E180" s="16"/>
      <c r="F180" s="16"/>
      <c r="G180" s="16"/>
      <c r="H180" s="23"/>
      <c r="I180" s="16"/>
      <c r="J180" s="16"/>
      <c r="K180" s="19"/>
    </row>
    <row r="181" spans="1:11" s="1" customFormat="1" x14ac:dyDescent="0.25">
      <c r="A181" s="17"/>
      <c r="B181" s="16"/>
      <c r="C181" s="16"/>
      <c r="D181" s="16"/>
      <c r="E181" s="16"/>
      <c r="F181" s="16"/>
      <c r="G181" s="16"/>
      <c r="H181" s="23"/>
      <c r="I181" s="16"/>
      <c r="J181" s="16"/>
      <c r="K181" s="19"/>
    </row>
    <row r="182" spans="1:11" s="1" customFormat="1" x14ac:dyDescent="0.25">
      <c r="A182" s="17"/>
      <c r="B182" s="16"/>
      <c r="C182" s="16"/>
      <c r="D182" s="16"/>
      <c r="E182" s="16"/>
      <c r="F182" s="16"/>
      <c r="G182" s="16"/>
      <c r="H182" s="23"/>
      <c r="I182" s="16"/>
      <c r="J182" s="16"/>
      <c r="K182" s="19"/>
    </row>
    <row r="183" spans="1:11" s="1" customFormat="1" x14ac:dyDescent="0.25">
      <c r="A183" s="17"/>
      <c r="B183" s="17"/>
      <c r="C183" s="17"/>
      <c r="D183" s="17"/>
      <c r="E183" s="16"/>
      <c r="F183" s="16"/>
      <c r="G183" s="16"/>
      <c r="H183" s="18"/>
      <c r="I183" s="17"/>
      <c r="J183" s="17"/>
      <c r="K183" s="19"/>
    </row>
    <row r="184" spans="1:11" s="1" customForma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9"/>
    </row>
    <row r="185" spans="1:11" s="1" customForma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9"/>
    </row>
    <row r="186" spans="1:11" s="1" customForma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9"/>
    </row>
    <row r="187" spans="1:11" s="1" customForma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9"/>
    </row>
    <row r="188" spans="1:11" s="1" customFormat="1" x14ac:dyDescent="0.25">
      <c r="A188" s="16"/>
      <c r="B188" s="16"/>
      <c r="C188" s="17"/>
      <c r="D188" s="16"/>
      <c r="E188" s="16" t="s">
        <v>4</v>
      </c>
      <c r="F188" s="16"/>
      <c r="G188" s="16"/>
      <c r="H188" s="16" t="s">
        <v>4</v>
      </c>
      <c r="I188" s="17"/>
      <c r="J188" s="17"/>
      <c r="K188" s="19"/>
    </row>
    <row r="189" spans="1:11" s="1" customForma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9"/>
    </row>
    <row r="190" spans="1:11" s="1" customForma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9"/>
    </row>
    <row r="191" spans="1:11" s="1" customForma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9"/>
    </row>
    <row r="192" spans="1:11" s="1" customForma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9"/>
    </row>
    <row r="193" spans="1:11" s="1" customForma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9"/>
    </row>
    <row r="194" spans="1:11" s="1" customForma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9"/>
    </row>
    <row r="195" spans="1:11" s="1" customForma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9"/>
    </row>
    <row r="196" spans="1:11" s="1" customForma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9"/>
    </row>
    <row r="197" spans="1:11" s="1" customForma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9"/>
    </row>
    <row r="198" spans="1:11" s="1" customForma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9"/>
    </row>
    <row r="199" spans="1:11" s="1" customForma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9"/>
    </row>
    <row r="200" spans="1:11" s="1" customForma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9"/>
    </row>
    <row r="201" spans="1:11" s="1" customForma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9"/>
    </row>
    <row r="202" spans="1:11" s="1" customForma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9"/>
    </row>
    <row r="203" spans="1:11" s="1" customForma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9"/>
    </row>
    <row r="204" spans="1:11" s="1" customForma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9"/>
    </row>
    <row r="205" spans="1:11" s="1" customForma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9"/>
    </row>
    <row r="206" spans="1:11" s="1" customForma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9"/>
    </row>
    <row r="207" spans="1:11" s="1" customForma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9"/>
    </row>
    <row r="208" spans="1:11" s="1" customForma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9"/>
    </row>
    <row r="209" spans="1:11" s="1" customForma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9"/>
    </row>
    <row r="210" spans="1:11" s="1" customForma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9"/>
    </row>
    <row r="211" spans="1:11" s="1" customForma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9"/>
    </row>
    <row r="212" spans="1:11" s="1" customForma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9"/>
    </row>
    <row r="213" spans="1:11" s="1" customForma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9"/>
    </row>
    <row r="214" spans="1:11" s="1" customForma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9"/>
    </row>
    <row r="215" spans="1:11" s="1" customForma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9"/>
    </row>
    <row r="216" spans="1:11" s="1" customForma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9"/>
    </row>
    <row r="217" spans="1:11" s="1" customForma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9"/>
    </row>
    <row r="218" spans="1:11" s="1" customForma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9"/>
    </row>
    <row r="219" spans="1:11" s="1" customForma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9"/>
    </row>
    <row r="220" spans="1:11" s="1" customForma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9"/>
    </row>
    <row r="221" spans="1:11" s="1" customForma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9"/>
    </row>
    <row r="222" spans="1:11" s="1" customForma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9"/>
    </row>
    <row r="223" spans="1:11" s="1" customForma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9"/>
    </row>
    <row r="224" spans="1:11" s="1" customForma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9"/>
    </row>
    <row r="225" spans="1:11" s="1" customForma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9"/>
    </row>
    <row r="226" spans="1:11" s="1" customForma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9"/>
    </row>
    <row r="227" spans="1:11" s="1" customForma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9"/>
    </row>
    <row r="228" spans="1:11" s="1" customForma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9"/>
    </row>
    <row r="229" spans="1:11" s="1" customForma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9"/>
    </row>
    <row r="230" spans="1:11" s="1" customForma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9"/>
    </row>
    <row r="231" spans="1:11" s="1" customForma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9"/>
    </row>
    <row r="232" spans="1:11" s="1" customForma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9"/>
    </row>
    <row r="233" spans="1:11" s="1" customForma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9"/>
    </row>
    <row r="234" spans="1:11" s="1" customForma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9"/>
    </row>
    <row r="235" spans="1:11" s="1" customForma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9"/>
    </row>
    <row r="236" spans="1:11" s="1" customForma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9"/>
    </row>
    <row r="237" spans="1:11" s="1" customForma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9"/>
    </row>
    <row r="238" spans="1:11" s="1" customForma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9"/>
    </row>
    <row r="239" spans="1:11" s="1" customForma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9"/>
    </row>
    <row r="240" spans="1:11" s="1" customForma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9"/>
    </row>
    <row r="241" spans="1:11" s="1" customForma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9"/>
    </row>
    <row r="242" spans="1:11" s="1" customForma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9"/>
    </row>
    <row r="243" spans="1:11" s="1" customForma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9"/>
    </row>
    <row r="244" spans="1:11" s="1" customForma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9"/>
    </row>
    <row r="245" spans="1:11" s="1" customForma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9"/>
    </row>
    <row r="246" spans="1:11" s="1" customForma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9"/>
    </row>
    <row r="247" spans="1:11" s="1" customForma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9"/>
    </row>
    <row r="248" spans="1:11" s="1" customForma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9"/>
    </row>
    <row r="249" spans="1:11" s="1" customForma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9"/>
    </row>
    <row r="250" spans="1:11" s="1" customForma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9"/>
    </row>
    <row r="251" spans="1:11" s="1" customForma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9"/>
    </row>
    <row r="252" spans="1:11" s="1" customForma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9"/>
    </row>
    <row r="253" spans="1:11" s="1" customForma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9"/>
    </row>
    <row r="254" spans="1:11" s="1" customForma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9"/>
    </row>
    <row r="255" spans="1:11" s="1" customForma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9"/>
    </row>
    <row r="256" spans="1:11" s="1" customForma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9"/>
    </row>
    <row r="257" spans="1:11" s="1" customForma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9"/>
    </row>
    <row r="258" spans="1:11" s="1" customForma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9"/>
    </row>
    <row r="259" spans="1:11" s="1" customForma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9"/>
    </row>
    <row r="260" spans="1:11" s="1" customForma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9"/>
    </row>
    <row r="261" spans="1:11" s="1" customForma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9"/>
    </row>
    <row r="262" spans="1:11" s="1" customForma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9"/>
    </row>
    <row r="263" spans="1:11" s="1" customForma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9"/>
    </row>
    <row r="264" spans="1:11" s="1" customForma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9"/>
    </row>
    <row r="265" spans="1:11" s="1" customForma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9"/>
    </row>
    <row r="266" spans="1:11" s="1" customForma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9"/>
    </row>
    <row r="267" spans="1:11" s="1" customForma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9"/>
    </row>
    <row r="268" spans="1:11" s="1" customForma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9"/>
    </row>
    <row r="269" spans="1:11" s="1" customForma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9"/>
    </row>
    <row r="270" spans="1:11" s="1" customForma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9"/>
    </row>
    <row r="271" spans="1:11" s="1" customForma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9"/>
    </row>
    <row r="272" spans="1:11" s="1" customForma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9"/>
    </row>
    <row r="273" spans="1:11" s="1" customForma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9"/>
    </row>
    <row r="274" spans="1:11" s="1" customForma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9"/>
    </row>
    <row r="275" spans="1:11" s="1" customForma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9"/>
    </row>
    <row r="276" spans="1:11" s="1" customForma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9"/>
    </row>
    <row r="277" spans="1:11" s="1" customForma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9"/>
    </row>
    <row r="278" spans="1:11" s="1" customForma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9"/>
    </row>
    <row r="279" spans="1:11" s="1" customForma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9"/>
    </row>
    <row r="280" spans="1:11" s="1" customForma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9"/>
    </row>
    <row r="281" spans="1:11" s="1" customForma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9"/>
    </row>
    <row r="282" spans="1:11" s="1" customForma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9"/>
    </row>
    <row r="283" spans="1:11" s="1" customForma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9"/>
    </row>
    <row r="284" spans="1:11" s="1" customForma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9"/>
    </row>
    <row r="285" spans="1:11" s="1" customForma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9"/>
    </row>
    <row r="286" spans="1:11" s="1" customForma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9"/>
    </row>
    <row r="287" spans="1:11" s="1" customForma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9"/>
    </row>
    <row r="288" spans="1:11" s="1" customForma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9"/>
    </row>
    <row r="289" spans="1:11" s="1" customForma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9"/>
    </row>
    <row r="290" spans="1:11" s="1" customForma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9"/>
    </row>
    <row r="291" spans="1:11" s="1" customForma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9"/>
    </row>
    <row r="292" spans="1:11" s="1" customForma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9"/>
    </row>
    <row r="293" spans="1:11" s="1" customForma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9"/>
    </row>
    <row r="294" spans="1:11" s="1" customForma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9"/>
    </row>
    <row r="295" spans="1:11" s="1" customForma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9"/>
    </row>
    <row r="296" spans="1:11" s="1" customForma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9"/>
    </row>
    <row r="297" spans="1:11" s="1" customForma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9"/>
    </row>
    <row r="298" spans="1:11" s="1" customForma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9"/>
    </row>
    <row r="299" spans="1:11" s="1" customForma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9"/>
    </row>
    <row r="300" spans="1:11" s="1" customForma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9"/>
    </row>
    <row r="301" spans="1:11" s="1" customForma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9"/>
    </row>
    <row r="302" spans="1:11" s="1" customForma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9"/>
    </row>
    <row r="303" spans="1:11" s="1" customForma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9"/>
    </row>
    <row r="304" spans="1:11" s="1" customForma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9"/>
    </row>
    <row r="305" spans="1:11" s="1" customForma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9"/>
    </row>
    <row r="306" spans="1:11" s="1" customForma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9"/>
    </row>
    <row r="307" spans="1:11" s="1" customForma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9"/>
    </row>
    <row r="308" spans="1:11" s="1" customForma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9"/>
    </row>
    <row r="309" spans="1:11" s="1" customForma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9"/>
    </row>
    <row r="310" spans="1:11" s="1" customForma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9"/>
    </row>
    <row r="311" spans="1:11" s="1" customForma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9"/>
    </row>
    <row r="312" spans="1:11" s="1" customForma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9"/>
    </row>
    <row r="313" spans="1:11" s="1" customForma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9"/>
    </row>
    <row r="314" spans="1:11" s="1" customForma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9"/>
    </row>
    <row r="315" spans="1:11" s="1" customForma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9"/>
    </row>
    <row r="316" spans="1:11" s="1" customForma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9"/>
    </row>
    <row r="317" spans="1:11" s="1" customForma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9"/>
    </row>
    <row r="318" spans="1:11" s="1" customForma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9"/>
    </row>
    <row r="319" spans="1:11" s="1" customForma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9"/>
    </row>
    <row r="320" spans="1:11" s="1" customForma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9"/>
    </row>
    <row r="321" spans="1:11" s="1" customForma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9"/>
    </row>
    <row r="322" spans="1:11" s="1" customForma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9"/>
    </row>
    <row r="323" spans="1:11" s="1" customForma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9"/>
    </row>
    <row r="324" spans="1:11" s="1" customForma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9"/>
    </row>
    <row r="325" spans="1:11" s="1" customForma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9"/>
    </row>
    <row r="326" spans="1:11" s="1" customForma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9"/>
    </row>
    <row r="327" spans="1:11" s="1" customForma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9"/>
    </row>
    <row r="328" spans="1:11" s="1" customForma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9"/>
    </row>
    <row r="329" spans="1:11" s="1" customForma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9"/>
    </row>
    <row r="330" spans="1:11" s="1" customForma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9"/>
    </row>
    <row r="331" spans="1:11" s="1" customForma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9"/>
    </row>
    <row r="332" spans="1:11" s="1" customForma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9"/>
    </row>
    <row r="333" spans="1:11" s="1" customForma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9"/>
    </row>
    <row r="334" spans="1:11" s="1" customForma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9"/>
    </row>
    <row r="335" spans="1:11" s="1" customForma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9"/>
    </row>
    <row r="336" spans="1:11" s="1" customForma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9"/>
    </row>
    <row r="337" spans="1:11" s="1" customForma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9"/>
    </row>
    <row r="338" spans="1:11" s="1" customForma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9"/>
    </row>
    <row r="339" spans="1:11" s="1" customForma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9"/>
    </row>
    <row r="340" spans="1:11" s="1" customForma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9"/>
    </row>
    <row r="341" spans="1:11" s="1" customForma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9"/>
    </row>
    <row r="342" spans="1:11" s="1" customForma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9"/>
    </row>
    <row r="343" spans="1:11" s="1" customForma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9"/>
    </row>
    <row r="344" spans="1:11" s="1" customForma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9"/>
    </row>
    <row r="345" spans="1:11" s="1" customForma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9"/>
    </row>
    <row r="346" spans="1:11" s="1" customForma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9"/>
    </row>
    <row r="347" spans="1:11" s="1" customForma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9"/>
    </row>
    <row r="348" spans="1:11" s="1" customForma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9"/>
    </row>
    <row r="349" spans="1:11" s="1" customForma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9"/>
    </row>
    <row r="350" spans="1:11" s="1" customForma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9"/>
    </row>
    <row r="351" spans="1:11" s="1" customForma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9"/>
    </row>
    <row r="352" spans="1:11" s="1" customForma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9"/>
    </row>
    <row r="353" spans="1:11" s="1" customForma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9"/>
    </row>
    <row r="354" spans="1:11" s="1" customForma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9"/>
    </row>
    <row r="355" spans="1:11" s="1" customForma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9"/>
    </row>
    <row r="356" spans="1:11" s="1" customForma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9"/>
    </row>
    <row r="357" spans="1:11" s="1" customForma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9"/>
    </row>
    <row r="358" spans="1:11" s="1" customForma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9"/>
    </row>
    <row r="359" spans="1:11" s="1" customForma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9"/>
    </row>
    <row r="360" spans="1:11" s="1" customForma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9"/>
    </row>
    <row r="361" spans="1:11" s="1" customForma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9"/>
    </row>
    <row r="362" spans="1:11" s="1" customForma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9"/>
    </row>
    <row r="363" spans="1:11" s="1" customForma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9"/>
    </row>
    <row r="364" spans="1:11" s="1" customForma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9"/>
    </row>
    <row r="365" spans="1:11" s="1" customForma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9"/>
    </row>
    <row r="366" spans="1:11" s="1" customForma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9"/>
    </row>
    <row r="367" spans="1:11" s="1" customForma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9"/>
    </row>
    <row r="368" spans="1:11" s="1" customForma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9"/>
    </row>
    <row r="369" spans="1:11" s="1" customForma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9"/>
    </row>
    <row r="370" spans="1:11" s="1" customForma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9"/>
    </row>
    <row r="371" spans="1:11" s="1" customForma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9"/>
    </row>
    <row r="372" spans="1:11" s="1" customForma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9"/>
    </row>
    <row r="373" spans="1:11" s="1" customForma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9"/>
    </row>
    <row r="374" spans="1:11" s="1" customForma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9"/>
    </row>
    <row r="375" spans="1:11" s="1" customForma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9"/>
    </row>
    <row r="376" spans="1:11" s="1" customForma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9"/>
    </row>
    <row r="377" spans="1:11" s="1" customForma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9"/>
    </row>
    <row r="378" spans="1:11" s="1" customForma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9"/>
    </row>
    <row r="379" spans="1:11" s="1" customForma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9"/>
    </row>
    <row r="380" spans="1:11" s="1" customForma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9"/>
    </row>
    <row r="381" spans="1:11" s="1" customForma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9"/>
    </row>
    <row r="382" spans="1:11" s="1" customForma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9"/>
    </row>
    <row r="383" spans="1:11" s="1" customForma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9"/>
    </row>
    <row r="384" spans="1:11" s="1" customForma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9"/>
    </row>
    <row r="385" spans="1:11" s="1" customForma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9"/>
    </row>
    <row r="386" spans="1:11" s="1" customForma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9"/>
    </row>
    <row r="387" spans="1:11" s="1" customForma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9"/>
    </row>
    <row r="388" spans="1:11" s="1" customForma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9"/>
    </row>
    <row r="389" spans="1:11" s="1" customForma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9"/>
    </row>
    <row r="390" spans="1:11" s="1" customForma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9"/>
    </row>
    <row r="391" spans="1:11" s="1" customForma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9"/>
    </row>
    <row r="392" spans="1:11" s="1" customForma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9"/>
    </row>
    <row r="393" spans="1:11" s="1" customForma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9"/>
    </row>
    <row r="394" spans="1:11" s="1" customForma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9"/>
    </row>
    <row r="395" spans="1:11" s="1" customForma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9"/>
    </row>
    <row r="396" spans="1:11" s="1" customForma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9"/>
    </row>
    <row r="397" spans="1:11" s="1" customForma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9"/>
    </row>
    <row r="398" spans="1:11" s="1" customForma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9"/>
    </row>
    <row r="399" spans="1:11" s="1" customForma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9"/>
    </row>
    <row r="400" spans="1:11" s="1" customForma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9"/>
    </row>
    <row r="401" spans="1:11" s="1" customForma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9"/>
    </row>
    <row r="402" spans="1:11" s="1" customForma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9"/>
    </row>
    <row r="403" spans="1:11" s="1" customForma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9"/>
    </row>
    <row r="404" spans="1:11" s="1" customForma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9"/>
    </row>
    <row r="405" spans="1:11" s="1" customForma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9"/>
    </row>
    <row r="406" spans="1:11" s="1" customForma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9"/>
    </row>
    <row r="407" spans="1:11" s="1" customForma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9"/>
    </row>
    <row r="408" spans="1:11" s="1" customForma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9"/>
    </row>
    <row r="409" spans="1:11" s="1" customForma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9"/>
    </row>
    <row r="410" spans="1:11" s="1" customForma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9"/>
    </row>
    <row r="411" spans="1:11" s="1" customForma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9"/>
    </row>
    <row r="412" spans="1:11" s="1" customForma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9"/>
    </row>
    <row r="413" spans="1:11" s="1" customForma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9"/>
    </row>
    <row r="414" spans="1:11" s="1" customForma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9"/>
    </row>
    <row r="415" spans="1:11" s="1" customForma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9"/>
    </row>
    <row r="416" spans="1:11" s="1" customForma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9"/>
    </row>
    <row r="417" spans="1:11" s="1" customForma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9"/>
    </row>
    <row r="418" spans="1:11" s="1" customForma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9"/>
    </row>
    <row r="419" spans="1:11" s="1" customForma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9"/>
    </row>
    <row r="420" spans="1:11" s="1" customForma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9"/>
    </row>
    <row r="421" spans="1:11" s="1" customForma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9"/>
    </row>
    <row r="422" spans="1:11" s="1" customForma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9"/>
    </row>
    <row r="423" spans="1:11" s="1" customForma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9"/>
    </row>
    <row r="424" spans="1:11" s="1" customForma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9"/>
    </row>
    <row r="425" spans="1:11" s="1" customForma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9"/>
    </row>
    <row r="426" spans="1:11" s="1" customForma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9"/>
    </row>
    <row r="427" spans="1:11" s="1" customForma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9"/>
    </row>
    <row r="428" spans="1:11" s="1" customForma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9"/>
    </row>
    <row r="429" spans="1:11" s="1" customForma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9"/>
    </row>
    <row r="430" spans="1:11" s="1" customForma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9"/>
    </row>
    <row r="431" spans="1:11" s="1" customForma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9"/>
    </row>
    <row r="432" spans="1:11" s="1" customForma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9"/>
    </row>
    <row r="433" spans="1:11" s="1" customForma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9"/>
    </row>
    <row r="434" spans="1:11" s="1" customForma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9"/>
    </row>
    <row r="435" spans="1:11" s="1" customForma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9"/>
    </row>
    <row r="436" spans="1:11" s="1" customForma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9"/>
    </row>
    <row r="437" spans="1:11" s="1" customForma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9"/>
    </row>
    <row r="438" spans="1:11" s="1" customForma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9"/>
    </row>
    <row r="439" spans="1:11" s="1" customForma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9"/>
    </row>
    <row r="440" spans="1:11" s="1" customForma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9"/>
    </row>
    <row r="441" spans="1:11" s="1" customForma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9"/>
    </row>
    <row r="442" spans="1:11" s="1" customForma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9"/>
    </row>
    <row r="443" spans="1:11" s="1" customForma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9"/>
    </row>
    <row r="444" spans="1:11" s="1" customForma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9"/>
    </row>
    <row r="445" spans="1:11" s="1" customForma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9"/>
    </row>
    <row r="446" spans="1:11" s="1" customForma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9"/>
    </row>
    <row r="447" spans="1:11" s="1" customForma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9"/>
    </row>
    <row r="448" spans="1:11" s="1" customForma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9"/>
    </row>
    <row r="449" spans="1:11" s="1" customForma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9"/>
    </row>
    <row r="450" spans="1:11" s="1" customForma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9"/>
    </row>
    <row r="451" spans="1:11" s="1" customForma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9"/>
    </row>
    <row r="452" spans="1:11" s="1" customForma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9"/>
    </row>
    <row r="453" spans="1:11" s="1" customForma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9"/>
    </row>
    <row r="454" spans="1:11" s="1" customForma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9"/>
    </row>
    <row r="455" spans="1:11" s="1" customForma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9"/>
    </row>
    <row r="456" spans="1:11" s="1" customForma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9"/>
    </row>
    <row r="457" spans="1:11" s="1" customForma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9"/>
    </row>
    <row r="458" spans="1:11" s="1" customForma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9"/>
    </row>
    <row r="459" spans="1:11" s="1" customForma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9"/>
    </row>
    <row r="460" spans="1:11" s="1" customForma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9"/>
    </row>
    <row r="461" spans="1:11" s="1" customForma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9"/>
    </row>
    <row r="462" spans="1:11" s="1" customForma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9"/>
    </row>
    <row r="463" spans="1:11" s="1" customForma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9"/>
    </row>
    <row r="464" spans="1:11" s="1" customForma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9"/>
    </row>
    <row r="465" spans="1:11" s="1" customForma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9"/>
    </row>
    <row r="466" spans="1:11" s="1" customForma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9"/>
    </row>
    <row r="467" spans="1:11" s="1" customForma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9"/>
    </row>
    <row r="468" spans="1:11" s="1" customForma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9"/>
    </row>
    <row r="469" spans="1:11" s="1" customForma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9"/>
    </row>
    <row r="470" spans="1:11" s="1" customForma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9"/>
    </row>
    <row r="471" spans="1:11" s="1" customForma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9"/>
    </row>
    <row r="472" spans="1:11" s="1" customForma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9"/>
    </row>
    <row r="473" spans="1:11" s="1" customForma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9"/>
    </row>
    <row r="474" spans="1:11" s="1" customForma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9"/>
    </row>
    <row r="475" spans="1:11" s="1" customForma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9"/>
    </row>
    <row r="476" spans="1:11" s="1" customForma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9"/>
    </row>
    <row r="477" spans="1:11" s="1" customForma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9"/>
    </row>
    <row r="478" spans="1:11" s="1" customForma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9"/>
    </row>
    <row r="479" spans="1:11" s="1" customForma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9"/>
    </row>
    <row r="480" spans="1:11" s="1" customForma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9"/>
    </row>
    <row r="481" spans="1:11" s="1" customForma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9"/>
    </row>
    <row r="482" spans="1:11" s="1" customForma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9"/>
    </row>
    <row r="483" spans="1:11" s="1" customForma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9"/>
    </row>
    <row r="484" spans="1:11" s="1" customForma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9"/>
    </row>
    <row r="485" spans="1:11" s="1" customForma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9"/>
    </row>
    <row r="486" spans="1:11" s="1" customForma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9"/>
    </row>
    <row r="487" spans="1:11" s="1" customForma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9"/>
    </row>
    <row r="488" spans="1:11" s="1" customForma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9"/>
    </row>
    <row r="489" spans="1:11" s="1" customForma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9"/>
    </row>
    <row r="490" spans="1:11" s="1" customForma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9"/>
    </row>
    <row r="491" spans="1:11" s="1" customForma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9"/>
    </row>
    <row r="492" spans="1:11" s="1" customForma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9"/>
    </row>
    <row r="493" spans="1:11" s="1" customForma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9"/>
    </row>
    <row r="494" spans="1:11" s="1" customForma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9"/>
    </row>
    <row r="495" spans="1:11" s="1" customForma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9"/>
    </row>
    <row r="496" spans="1:11" s="1" customForma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9"/>
    </row>
    <row r="497" spans="1:11" s="1" customForma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9"/>
    </row>
    <row r="498" spans="1:11" s="1" customForma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9"/>
    </row>
    <row r="499" spans="1:11" s="1" customForma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9"/>
    </row>
    <row r="500" spans="1:11" s="1" customForma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9"/>
    </row>
    <row r="501" spans="1:11" s="1" customForma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9"/>
    </row>
    <row r="502" spans="1:11" s="1" customForma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9"/>
    </row>
    <row r="503" spans="1:11" s="1" customForma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9"/>
    </row>
    <row r="504" spans="1:11" s="1" customForma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9"/>
    </row>
    <row r="505" spans="1:11" s="1" customForma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9"/>
    </row>
    <row r="506" spans="1:11" s="1" customForma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9"/>
    </row>
    <row r="507" spans="1:11" s="1" customForma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9"/>
    </row>
    <row r="508" spans="1:11" s="1" customForma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9"/>
    </row>
    <row r="509" spans="1:11" s="1" customForma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9"/>
    </row>
    <row r="510" spans="1:11" s="1" customForma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9"/>
    </row>
    <row r="511" spans="1:11" s="1" customForma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9"/>
    </row>
    <row r="512" spans="1:11" s="1" customForma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9"/>
    </row>
    <row r="513" spans="1:11" s="1" customForma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9"/>
    </row>
  </sheetData>
  <pageMargins left="0" right="0" top="0" bottom="0" header="0" footer="0"/>
  <pageSetup scale="32" orientation="landscape" r:id="rId1"/>
  <rowBreaks count="5" manualBreakCount="5">
    <brk id="30" max="16383" man="1"/>
    <brk id="60" max="16383" man="1"/>
    <brk id="94" max="16383" man="1"/>
    <brk id="129" max="16383" man="1"/>
    <brk id="157" max="16383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BC2259CDA9B84EACBB7A382236E336" ma:contentTypeVersion="8" ma:contentTypeDescription="Ein neues Dokument erstellen." ma:contentTypeScope="" ma:versionID="3623d9c4488407d0f663f2f2ecc977cb">
  <xsd:schema xmlns:xsd="http://www.w3.org/2001/XMLSchema" xmlns:xs="http://www.w3.org/2001/XMLSchema" xmlns:p="http://schemas.microsoft.com/office/2006/metadata/properties" xmlns:ns2="7c83e8fb-393c-4f65-b532-0faf95b5d372" xmlns:ns3="ea6d7d8a-69c8-425c-a225-0ac7c76aabbf" targetNamespace="http://schemas.microsoft.com/office/2006/metadata/properties" ma:root="true" ma:fieldsID="71f5d39377d0384cca433b0c24376416" ns2:_="" ns3:_="">
    <xsd:import namespace="7c83e8fb-393c-4f65-b532-0faf95b5d372"/>
    <xsd:import namespace="ea6d7d8a-69c8-425c-a225-0ac7c76aa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83e8fb-393c-4f65-b532-0faf95b5d3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d7d8a-69c8-425c-a225-0ac7c76aabb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8FA6C2-FA4F-493B-9A59-66D02CFE9267}">
  <ds:schemaRefs>
    <ds:schemaRef ds:uri="http://schemas.microsoft.com/office/2006/metadata/properties"/>
    <ds:schemaRef ds:uri="http://purl.org/dc/elements/1.1/"/>
    <ds:schemaRef ds:uri="7c83e8fb-393c-4f65-b532-0faf95b5d372"/>
    <ds:schemaRef ds:uri="http://purl.org/dc/terms/"/>
    <ds:schemaRef ds:uri="http://schemas.microsoft.com/office/infopath/2007/PartnerControls"/>
    <ds:schemaRef ds:uri="ea6d7d8a-69c8-425c-a225-0ac7c76aabbf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7DCE12-BEDB-4C89-BD1F-F68C0EB89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63D2DF-3A38-451C-A292-672949FE23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83e8fb-393c-4f65-b532-0faf95b5d372"/>
    <ds:schemaRef ds:uri="ea6d7d8a-69c8-425c-a225-0ac7c76aa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Flaeche Stammsatz</vt:lpstr>
      <vt:lpstr>'Flaeche Stammsatz'!Druckbereich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2017-10-10T13:09:20Z</dcterms:created>
  <dcterms:modified xsi:type="dcterms:W3CDTF">2019-02-12T06:09:14Z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0x010100E0BC2259CDA9B84EACBB7A382236E336</vt:lpwstr>
  </property>
</Properties>
</file>