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vadia\Desktop\"/>
    </mc:Choice>
  </mc:AlternateContent>
  <xr:revisionPtr revIDLastSave="0" documentId="13_ncr:1_{5680E1C2-C50F-4E93-971F-1B0E223AC0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34" i="1" l="1"/>
  <c r="AQ17" i="1"/>
  <c r="AR17" i="1" s="1"/>
  <c r="AS17" i="1" s="1"/>
  <c r="AT17" i="1" s="1"/>
  <c r="AV34" i="1"/>
  <c r="AZ34" i="1" s="1"/>
  <c r="BD34" i="1" s="1"/>
  <c r="AT34" i="1"/>
  <c r="AX34" i="1" s="1"/>
  <c r="BB34" i="1" s="1"/>
  <c r="BF34" i="1" s="1"/>
  <c r="AU34" i="1"/>
  <c r="AY34" i="1" s="1"/>
  <c r="BC34" i="1" s="1"/>
  <c r="BG34" i="1" s="1"/>
  <c r="AL20" i="1"/>
  <c r="AO20" i="1"/>
  <c r="AO17" i="1"/>
  <c r="AN17" i="1"/>
  <c r="AM13" i="1"/>
  <c r="AM17" i="1"/>
  <c r="Z46" i="1"/>
  <c r="Z36" i="1"/>
  <c r="AN27" i="1"/>
  <c r="Z39" i="1"/>
  <c r="Y40" i="1"/>
  <c r="Z29" i="1"/>
  <c r="Z32" i="1"/>
  <c r="Y53" i="1"/>
  <c r="W77" i="1"/>
  <c r="Z79" i="1"/>
  <c r="Z30" i="1"/>
  <c r="Z38" i="1"/>
  <c r="Z31" i="1"/>
  <c r="Z45" i="1"/>
  <c r="AO11" i="1"/>
  <c r="AN11" i="1"/>
  <c r="AM11" i="1"/>
  <c r="AL11" i="1"/>
  <c r="AK11" i="1"/>
  <c r="AJ11" i="1"/>
  <c r="AI11" i="1"/>
  <c r="AH11" i="1"/>
  <c r="Y46" i="1"/>
  <c r="AK31" i="1"/>
  <c r="AK33" i="1" s="1"/>
  <c r="AL31" i="1"/>
  <c r="AL35" i="1" s="1"/>
  <c r="AM31" i="1"/>
  <c r="AM33" i="1" s="1"/>
  <c r="AJ31" i="1"/>
  <c r="AJ35" i="1" s="1"/>
  <c r="Z37" i="1"/>
  <c r="X35" i="1"/>
  <c r="AU17" i="1" l="1"/>
  <c r="AS35" i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AL27" i="1"/>
  <c r="Z40" i="1"/>
  <c r="Z63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7" i="1"/>
  <c r="Z7" i="1"/>
  <c r="AA7" i="1"/>
  <c r="AG31" i="1"/>
  <c r="AH30" i="1"/>
  <c r="AH31" i="1" s="1"/>
  <c r="AI31" i="1"/>
  <c r="AN31" i="1"/>
  <c r="AN35" i="1" s="1"/>
  <c r="AO31" i="1"/>
  <c r="AS31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5" i="1"/>
  <c r="AC5" i="1"/>
  <c r="U28" i="1"/>
  <c r="W28" i="1"/>
  <c r="H21" i="1"/>
  <c r="I21" i="1" s="1"/>
  <c r="G21" i="1"/>
  <c r="F21" i="1"/>
  <c r="E21" i="1"/>
  <c r="H20" i="1"/>
  <c r="G20" i="1"/>
  <c r="G4" i="1" s="1"/>
  <c r="F20" i="1"/>
  <c r="E20" i="1"/>
  <c r="C14" i="1"/>
  <c r="B14" i="1"/>
  <c r="F4" i="1"/>
  <c r="F6" i="1" s="1"/>
  <c r="E4" i="1"/>
  <c r="D4" i="1"/>
  <c r="C4" i="1"/>
  <c r="B4" i="1"/>
  <c r="B6" i="1" s="1"/>
  <c r="Y27" i="1"/>
  <c r="Z27" i="1" s="1"/>
  <c r="AT36" i="1" l="1"/>
  <c r="AT37" i="1" s="1"/>
  <c r="AV17" i="1"/>
  <c r="AU36" i="1"/>
  <c r="AU37" i="1" s="1"/>
  <c r="Z71" i="1"/>
  <c r="AN28" i="1"/>
  <c r="H4" i="1"/>
  <c r="U13" i="1"/>
  <c r="V13" i="1" s="1"/>
  <c r="W13" i="1" s="1"/>
  <c r="X13" i="1" s="1"/>
  <c r="Y13" i="1" s="1"/>
  <c r="Z13" i="1" s="1"/>
  <c r="AC8" i="1"/>
  <c r="AF31" i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S34" i="1" s="1"/>
  <c r="AW34" i="1" s="1"/>
  <c r="BA34" i="1" s="1"/>
  <c r="BE34" i="1" s="1"/>
  <c r="I20" i="1"/>
  <c r="J20" i="1" s="1"/>
  <c r="K20" i="1" s="1"/>
  <c r="D6" i="1"/>
  <c r="D9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C6" i="1"/>
  <c r="C9" i="1" s="1"/>
  <c r="AF30" i="1"/>
  <c r="V26" i="1"/>
  <c r="B9" i="1"/>
  <c r="B11" i="1"/>
  <c r="H6" i="1"/>
  <c r="H9" i="1" s="1"/>
  <c r="E6" i="1"/>
  <c r="E9" i="1" s="1"/>
  <c r="G6" i="1"/>
  <c r="G9" i="1" s="1"/>
  <c r="F11" i="1"/>
  <c r="F9" i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W17" i="1" l="1"/>
  <c r="AV36" i="1"/>
  <c r="AV37" i="1" s="1"/>
  <c r="AF33" i="1"/>
  <c r="AH21" i="1"/>
  <c r="AI21" i="1" s="1"/>
  <c r="AJ21" i="1" s="1"/>
  <c r="AK21" i="1" s="1"/>
  <c r="AL21" i="1" s="1"/>
  <c r="AM21" i="1" s="1"/>
  <c r="I4" i="1"/>
  <c r="I6" i="1" s="1"/>
  <c r="I9" i="1" s="1"/>
  <c r="D11" i="1"/>
  <c r="X4" i="1"/>
  <c r="X6" i="1" s="1"/>
  <c r="X9" i="1" s="1"/>
  <c r="W4" i="1"/>
  <c r="W6" i="1" s="1"/>
  <c r="Y4" i="1"/>
  <c r="Y6" i="1" s="1"/>
  <c r="C11" i="1"/>
  <c r="J4" i="1"/>
  <c r="L20" i="1"/>
  <c r="K4" i="1"/>
  <c r="E11" i="1"/>
  <c r="G11" i="1"/>
  <c r="H11" i="1"/>
  <c r="AA13" i="1"/>
  <c r="Z4" i="1"/>
  <c r="Z6" i="1" s="1"/>
  <c r="Z9" i="1" s="1"/>
  <c r="AX17" i="1" l="1"/>
  <c r="AW36" i="1"/>
  <c r="AW37" i="1" s="1"/>
  <c r="AS36" i="1"/>
  <c r="AS37" i="1" s="1"/>
  <c r="AN21" i="1"/>
  <c r="AO21" i="1" s="1"/>
  <c r="AP21" i="1" s="1"/>
  <c r="AQ21" i="1" s="1"/>
  <c r="AR21" i="1" s="1"/>
  <c r="AS21" i="1" s="1"/>
  <c r="I11" i="1"/>
  <c r="Z11" i="1"/>
  <c r="X11" i="1"/>
  <c r="Y11" i="1"/>
  <c r="Y9" i="1"/>
  <c r="W11" i="1"/>
  <c r="W9" i="1"/>
  <c r="J6" i="1"/>
  <c r="J9" i="1" s="1"/>
  <c r="K6" i="1"/>
  <c r="K9" i="1" s="1"/>
  <c r="AB13" i="1"/>
  <c r="AA4" i="1"/>
  <c r="L4" i="1"/>
  <c r="M20" i="1"/>
  <c r="AY17" i="1" l="1"/>
  <c r="AX36" i="1"/>
  <c r="AX37" i="1" s="1"/>
  <c r="AC13" i="1"/>
  <c r="AB4" i="1"/>
  <c r="L6" i="1"/>
  <c r="L9" i="1" s="1"/>
  <c r="K11" i="1"/>
  <c r="AA6" i="1"/>
  <c r="AA9" i="1" s="1"/>
  <c r="J11" i="1"/>
  <c r="M4" i="1"/>
  <c r="N20" i="1"/>
  <c r="AZ17" i="1" l="1"/>
  <c r="AY36" i="1"/>
  <c r="AY37" i="1" s="1"/>
  <c r="AA11" i="1"/>
  <c r="L11" i="1"/>
  <c r="AB6" i="1"/>
  <c r="AB9" i="1" s="1"/>
  <c r="O20" i="1"/>
  <c r="N4" i="1"/>
  <c r="M6" i="1"/>
  <c r="M9" i="1" s="1"/>
  <c r="AD13" i="1"/>
  <c r="AC4" i="1"/>
  <c r="M11" i="1" l="1"/>
  <c r="BA17" i="1"/>
  <c r="AZ36" i="1"/>
  <c r="AZ37" i="1" s="1"/>
  <c r="AC6" i="1"/>
  <c r="AC9" i="1" s="1"/>
  <c r="O4" i="1"/>
  <c r="P20" i="1"/>
  <c r="N6" i="1"/>
  <c r="N9" i="1" s="1"/>
  <c r="AE13" i="1"/>
  <c r="AD4" i="1"/>
  <c r="AB11" i="1"/>
  <c r="BB17" i="1" l="1"/>
  <c r="BA36" i="1"/>
  <c r="BA37" i="1" s="1"/>
  <c r="AC11" i="1"/>
  <c r="AD6" i="1"/>
  <c r="AD9" i="1" s="1"/>
  <c r="Q20" i="1"/>
  <c r="P4" i="1"/>
  <c r="AF13" i="1"/>
  <c r="AG13" i="1" s="1"/>
  <c r="AE4" i="1"/>
  <c r="O6" i="1"/>
  <c r="O9" i="1" s="1"/>
  <c r="N11" i="1"/>
  <c r="BC17" i="1" l="1"/>
  <c r="BB36" i="1"/>
  <c r="BB37" i="1" s="1"/>
  <c r="AG17" i="1"/>
  <c r="AF14" i="1"/>
  <c r="AF4" i="1" s="1"/>
  <c r="AH13" i="1"/>
  <c r="R20" i="1"/>
  <c r="Q4" i="1"/>
  <c r="P6" i="1"/>
  <c r="P9" i="1" s="1"/>
  <c r="O11" i="1"/>
  <c r="AE6" i="1"/>
  <c r="AE9" i="1" s="1"/>
  <c r="AD11" i="1"/>
  <c r="BD17" i="1" l="1"/>
  <c r="BC36" i="1"/>
  <c r="BC37" i="1" s="1"/>
  <c r="P11" i="1"/>
  <c r="AI13" i="1"/>
  <c r="AH17" i="1"/>
  <c r="AE11" i="1"/>
  <c r="AG4" i="1"/>
  <c r="Q6" i="1"/>
  <c r="Q9" i="1" s="1"/>
  <c r="AF6" i="1"/>
  <c r="S20" i="1"/>
  <c r="R4" i="1"/>
  <c r="BE17" i="1" l="1"/>
  <c r="BD36" i="1"/>
  <c r="BD37" i="1" s="1"/>
  <c r="AF9" i="1"/>
  <c r="AG6" i="1"/>
  <c r="AH6" i="1" s="1"/>
  <c r="AJ13" i="1"/>
  <c r="AK13" i="1" s="1"/>
  <c r="AL13" i="1" s="1"/>
  <c r="AI17" i="1"/>
  <c r="R6" i="1"/>
  <c r="R9" i="1" s="1"/>
  <c r="Q11" i="1"/>
  <c r="T20" i="1"/>
  <c r="S4" i="1"/>
  <c r="AF11" i="1"/>
  <c r="AH4" i="1"/>
  <c r="BF17" i="1" l="1"/>
  <c r="BE36" i="1"/>
  <c r="BE37" i="1" s="1"/>
  <c r="R11" i="1"/>
  <c r="AH9" i="1"/>
  <c r="AI6" i="1"/>
  <c r="AG9" i="1"/>
  <c r="AJ17" i="1"/>
  <c r="AG11" i="1"/>
  <c r="S6" i="1"/>
  <c r="S9" i="1" s="1"/>
  <c r="U20" i="1"/>
  <c r="T4" i="1"/>
  <c r="AI4" i="1"/>
  <c r="BF36" i="1" l="1"/>
  <c r="BF37" i="1" s="1"/>
  <c r="BG17" i="1"/>
  <c r="AJ6" i="1"/>
  <c r="AI9" i="1"/>
  <c r="AK17" i="1"/>
  <c r="S11" i="1"/>
  <c r="AJ4" i="1"/>
  <c r="T6" i="1"/>
  <c r="T9" i="1" s="1"/>
  <c r="U4" i="1"/>
  <c r="V20" i="1"/>
  <c r="BH17" i="1" l="1"/>
  <c r="BG36" i="1"/>
  <c r="BG37" i="1" s="1"/>
  <c r="T11" i="1"/>
  <c r="AK6" i="1"/>
  <c r="AJ9" i="1"/>
  <c r="AL17" i="1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V4" i="1"/>
  <c r="U6" i="1"/>
  <c r="U9" i="1" s="1"/>
  <c r="AK4" i="1"/>
  <c r="BH36" i="1" l="1"/>
  <c r="BH37" i="1" s="1"/>
  <c r="BI17" i="1"/>
  <c r="AP20" i="1"/>
  <c r="AL6" i="1"/>
  <c r="AK9" i="1"/>
  <c r="U11" i="1"/>
  <c r="AO13" i="1"/>
  <c r="AP13" i="1" s="1"/>
  <c r="AQ13" i="1" s="1"/>
  <c r="AR13" i="1" s="1"/>
  <c r="AL4" i="1"/>
  <c r="V6" i="1"/>
  <c r="V9" i="1" s="1"/>
  <c r="AQ20" i="1" l="1"/>
  <c r="AP36" i="1"/>
  <c r="AM6" i="1"/>
  <c r="AL9" i="1"/>
  <c r="AM4" i="1"/>
  <c r="V11" i="1"/>
  <c r="AR20" i="1" l="1"/>
  <c r="AQ36" i="1"/>
  <c r="AN6" i="1"/>
  <c r="AN9" i="1" s="1"/>
  <c r="AM9" i="1"/>
  <c r="AN4" i="1"/>
  <c r="AS20" i="1" l="1"/>
  <c r="AR36" i="1"/>
  <c r="AO4" i="1"/>
  <c r="V68" i="1" l="1"/>
  <c r="AO6" i="1"/>
  <c r="AO9" i="1" s="1"/>
  <c r="AP4" i="1"/>
  <c r="AP6" i="1" l="1"/>
  <c r="AP9" i="1" s="1"/>
  <c r="AQ4" i="1"/>
  <c r="AP11" i="1" l="1"/>
  <c r="AR4" i="1"/>
  <c r="AQ6" i="1"/>
  <c r="AQ9" i="1" s="1"/>
  <c r="AQ11" i="1" l="1"/>
  <c r="AS4" i="1"/>
  <c r="AR6" i="1"/>
  <c r="AR9" i="1" s="1"/>
  <c r="AR11" i="1" l="1"/>
  <c r="AS6" i="1"/>
  <c r="AS9" i="1" s="1"/>
  <c r="AS11" i="1" l="1"/>
</calcChain>
</file>

<file path=xl/sharedStrings.xml><?xml version="1.0" encoding="utf-8"?>
<sst xmlns="http://schemas.openxmlformats.org/spreadsheetml/2006/main" count="255" uniqueCount="205">
  <si>
    <t>1.6.19</t>
  </si>
  <si>
    <t>1.7.19</t>
  </si>
  <si>
    <t>1.8.19</t>
  </si>
  <si>
    <t>1.9.19</t>
  </si>
  <si>
    <t>1.10.20</t>
  </si>
  <si>
    <t>1.11.19</t>
  </si>
  <si>
    <t>1.12.19</t>
  </si>
  <si>
    <t>1.1.20</t>
  </si>
  <si>
    <t>1.2.20</t>
  </si>
  <si>
    <t>1.3.20</t>
  </si>
  <si>
    <t>1.4.20</t>
  </si>
  <si>
    <t>1.5.20</t>
  </si>
  <si>
    <t>1.6.20</t>
  </si>
  <si>
    <t>1.7.20</t>
  </si>
  <si>
    <t>1.8.20</t>
  </si>
  <si>
    <t>1.9.20</t>
  </si>
  <si>
    <t>1.11.20</t>
  </si>
  <si>
    <t>1.12.20</t>
  </si>
  <si>
    <t>1.1.21</t>
  </si>
  <si>
    <t>1.2.21</t>
  </si>
  <si>
    <t>1.3.21</t>
  </si>
  <si>
    <t>1.4.21</t>
  </si>
  <si>
    <t>1.5.21</t>
  </si>
  <si>
    <t>1.6.21</t>
  </si>
  <si>
    <t>1.7.21</t>
  </si>
  <si>
    <t>1.8.21</t>
  </si>
  <si>
    <t>1.9.21</t>
  </si>
  <si>
    <t>1.10.21</t>
  </si>
  <si>
    <t>1.11.21</t>
  </si>
  <si>
    <t>1.12.21</t>
  </si>
  <si>
    <t>1.1.22</t>
  </si>
  <si>
    <t>1.2.22</t>
  </si>
  <si>
    <t>1.3.22</t>
  </si>
  <si>
    <t>1.4.22</t>
  </si>
  <si>
    <t>1.5.22</t>
  </si>
  <si>
    <t>1.6.22</t>
  </si>
  <si>
    <t>1.7.22</t>
  </si>
  <si>
    <t>1.8.22</t>
  </si>
  <si>
    <t>1.9.22</t>
  </si>
  <si>
    <t>1.10.22</t>
  </si>
  <si>
    <t>1.11.22</t>
  </si>
  <si>
    <t>1.12.22</t>
  </si>
  <si>
    <t>1.1.23</t>
  </si>
  <si>
    <t>גמל</t>
  </si>
  <si>
    <t>חסכון</t>
  </si>
  <si>
    <t>סך הכל</t>
  </si>
  <si>
    <t>משכנתא</t>
  </si>
  <si>
    <t>החזר</t>
  </si>
  <si>
    <t>ערך דירה</t>
  </si>
  <si>
    <t>הפרשה ממשכורת מיטל</t>
  </si>
  <si>
    <t>הלוואה</t>
  </si>
  <si>
    <t>ביטוח מנהלים</t>
  </si>
  <si>
    <t>שווי בית</t>
  </si>
  <si>
    <t>פיצויים נטו</t>
  </si>
  <si>
    <t>סך הכל תוספות</t>
  </si>
  <si>
    <t>עורך דין</t>
  </si>
  <si>
    <t>מתווך</t>
  </si>
  <si>
    <t>שמאי</t>
  </si>
  <si>
    <t>העברת דירה</t>
  </si>
  <si>
    <t>חידושים</t>
  </si>
  <si>
    <t>סך הכל הוצאות נוספות</t>
  </si>
  <si>
    <t>הוט</t>
  </si>
  <si>
    <t>מובייל</t>
  </si>
  <si>
    <t>ארנונה</t>
  </si>
  <si>
    <t>חשמל</t>
  </si>
  <si>
    <t>מים</t>
  </si>
  <si>
    <t>אוכל</t>
  </si>
  <si>
    <t>בלתמים</t>
  </si>
  <si>
    <t>ביגוד</t>
  </si>
  <si>
    <t>לימודים</t>
  </si>
  <si>
    <t>דלק</t>
  </si>
  <si>
    <t>אוטובוסים</t>
  </si>
  <si>
    <t>אחסון ענן</t>
  </si>
  <si>
    <t>חידושים (טלוויזיה מייבש וכו)</t>
  </si>
  <si>
    <t>אירוח</t>
  </si>
  <si>
    <t>פירות</t>
  </si>
  <si>
    <t>ספרים</t>
  </si>
  <si>
    <t>ביטוחים</t>
  </si>
  <si>
    <t>מכולת</t>
  </si>
  <si>
    <t>בילויים ומסעדות</t>
  </si>
  <si>
    <t>תרופות</t>
  </si>
  <si>
    <t>צהרונים</t>
  </si>
  <si>
    <t>הוצאות</t>
  </si>
  <si>
    <t>הכנסות</t>
  </si>
  <si>
    <t>5.11.21</t>
  </si>
  <si>
    <t>5.6.22</t>
  </si>
  <si>
    <t>5.7.22</t>
  </si>
  <si>
    <t>5.8.22</t>
  </si>
  <si>
    <t>5.9.22</t>
  </si>
  <si>
    <t>5.10.22</t>
  </si>
  <si>
    <t>5.11.22</t>
  </si>
  <si>
    <t>5.12.22</t>
  </si>
  <si>
    <t>5.1.23</t>
  </si>
  <si>
    <t>הלוואה מהפנסיה</t>
  </si>
  <si>
    <t>מקרן</t>
  </si>
  <si>
    <t>חוגים</t>
  </si>
  <si>
    <t>יועץ משכהתאות</t>
  </si>
  <si>
    <t>שאריות שכירות</t>
  </si>
  <si>
    <t>15.12.21</t>
  </si>
  <si>
    <t>15.1.22</t>
  </si>
  <si>
    <t>15.2.22</t>
  </si>
  <si>
    <t>15.3.22</t>
  </si>
  <si>
    <t>15.4.22</t>
  </si>
  <si>
    <t>15.5.22</t>
  </si>
  <si>
    <t>מזגן</t>
  </si>
  <si>
    <t>מחמם מים על גז</t>
  </si>
  <si>
    <t>מקרר</t>
  </si>
  <si>
    <t>ארונות הזזה</t>
  </si>
  <si>
    <t>הובלה הרכבה התקנה</t>
  </si>
  <si>
    <t>מחיר</t>
  </si>
  <si>
    <t>קולט אדים</t>
  </si>
  <si>
    <t>שולחן מטבח</t>
  </si>
  <si>
    <t>שולחן מחשב</t>
  </si>
  <si>
    <t>שטיח</t>
  </si>
  <si>
    <t>לשלם</t>
  </si>
  <si>
    <t>שולם</t>
  </si>
  <si>
    <t>פתיחת תיק</t>
  </si>
  <si>
    <t>הלוואה רכב</t>
  </si>
  <si>
    <t>רישום בטאבו</t>
  </si>
  <si>
    <t>עורכת דין קבלן</t>
  </si>
  <si>
    <t>מחיצה למקלחת</t>
  </si>
  <si>
    <t>סורגים</t>
  </si>
  <si>
    <t>מדיח</t>
  </si>
  <si>
    <t>ארון אמבטיה</t>
  </si>
  <si>
    <t>מחיצה לפינת עבודה</t>
  </si>
  <si>
    <t>כורסא</t>
  </si>
  <si>
    <t>מעמד תכשיטים ומראה</t>
  </si>
  <si>
    <t>זרוע למחשב</t>
  </si>
  <si>
    <t>ספה</t>
  </si>
  <si>
    <t>שולחן</t>
  </si>
  <si>
    <t>סלון גבס כולל דמוי אח</t>
  </si>
  <si>
    <t>https://bshare-group.co.il/tables/coffee-tables/est4394/</t>
  </si>
  <si>
    <t>https://www.tzabar-express.co.il/items/2217404</t>
  </si>
  <si>
    <t>https://www.argotech.co.il/product-details.aspx?proid=53222</t>
  </si>
  <si>
    <t>http://pages.soragit.co.il/transp?ref=transp&amp;gclid=CjwKCAiA55mPBhBOEiwANmzoQuDN9ZtLyUf70YcHkbLXHGYxRV27cHmibi2zem8Z_d0-J2WCUz-gKBoC3VgQAvD_BwE</t>
  </si>
  <si>
    <t>https://www.tranquilo.co.il/p/%D7%A1%D7%95%D7%9B%D7%9A-%D7%9E%D7%A1%D7%9A-%D7%95%D7%9B%D7%9B%D7%99-%D7%9E%D7%A1%D7%99%D7%9C%D7%95%D7%AA</t>
  </si>
  <si>
    <t>https://firstprice.co.il/product/%e2%80%8f%d7%9e%d7%96%d7%92%d7%9f-%d7%a2%d7%99%d7%9c%d7%99-pro-wifi-11-%d7%a9%d7%a0%d7%aa-2020-haier-%e2%80%8f1-0-%e2%80%8f%d7%9b%d7%a1-%d7%94%d7%90%d7%99%d7%99%d7%a8/</t>
  </si>
  <si>
    <t>https://www.virtualchashmal.co.il/product/12916/</t>
  </si>
  <si>
    <t>https://home-pro.co.il/product/%D7%90%D7%A8%D7%95%D7%9F-family-%D7%A9%D7%AA%D7%99-%D7%93%D7%9C%D7%AA%D7%95%D7%AA-%D7%92%D7%91%D7%95%D7%94-l-68x-p37x-h-169/?utm_source=Google%20Shopping&amp;utm_campaign=product%20feed&amp;utm_medium=cpc&amp;utm_term=5503/?campaignid=14061334480&amp;adgroupid=122120849181&amp;creative=536148520441&amp;network=u&amp;device=c&amp;devicmodel=&amp;gclid=CjwKCAiA55mPBhBOEiwANmzoQtiitH4vMgUF_CcJbPrHHunqpsywOADdugD7boVgguZhggjuvm3AyxoC4XwQAvD_BwE&amp;placement=&amp;target=&amp;random=4269874097536048240&amp;keyword=&amp;serarchterm={searchterm}&amp;lm_supplier=34790&amp;gclid=CjwKCAiA55mPBhBOEiwANmzoQtiitH4vMgUF_CcJbPrHHunqpsywOADdugD7boVgguZhggjuvm3AyxoC4XwQAvD_BwE</t>
  </si>
  <si>
    <t>http://www.shviro.glass/Product.aspx?pid=734</t>
  </si>
  <si>
    <t>https://www.m-sshop.co.il/items/2284575?gclid=CjwKCAiA55mPBhBOEiwANmzoQohDHJPicvnY76IIt1YxBvkmPCxfq_zGknVrx1VHegWe-HWT1jl3ZBoC_4gQAvD_BwE</t>
  </si>
  <si>
    <t>https://www.ace.co.il/5700993.html?ref=shoppingads&amp;gclid=CjwKCAiA55mPBhBOEiwANmzoQpEEIcGTnGzeSJpSi3_DXS4InyNJXD0RhhbUKepOajkoUdpejdoSmBoCNSkQAvD_BwE</t>
  </si>
  <si>
    <t>https://www.ace.co.il/5701355.html?ref=shoppingads&amp;gclid=CjwKCAiA55mPBhBOEiwANmzoQrk-Qx-L7Gy5M8Yd-gu8PCBydRzRqg8FtSHSmcpbPCJkVX4BV7JH1RoCUJ8QAvD_BwE</t>
  </si>
  <si>
    <t>https://www.ace.co.il/5773969.html?ref=shoppingads&amp;gclid=CjwKCAiA55mPBhBOEiwANmzoQgx7RiSGkDFRbmbJGEjT2G49kr4ao_kdecAprFG72tvX3FkI5WYHORoCHlEQAvD_BwE</t>
  </si>
  <si>
    <t>https://edepot.co.il/items/2904083</t>
  </si>
  <si>
    <t>https://shtihim-online.co.il/product/%D7%A9%D7%98%D7%99%D7%97-%D7%A9%D7%90%D7%92%D7%99-%D7%93%D7%92%D7%9D-cosy-%D7%90%D7%A4%D7%95%D7%A8-%D7%91%D7%94%D7%99%D7%A8/?gclid=CjwKCAiA55mPBhBOEiwANmzoQmaTsQRNYW3I8tqpRwNOtQ-m3PUDT4dnfJjXFVoE1n80-mgg3h5dvRoC3EMQAvD_BwE</t>
  </si>
  <si>
    <t>https://bathline.co.il</t>
  </si>
  <si>
    <t>שידות לחדר שינה</t>
  </si>
  <si>
    <t>בדק בית</t>
  </si>
  <si>
    <t>https://www.payngo.co.il/243092.html</t>
  </si>
  <si>
    <t>מיטה זוגית</t>
  </si>
  <si>
    <t xml:space="preserve">מגירות למיטה זוגות </t>
  </si>
  <si>
    <t>מזרון מושחת</t>
  </si>
  <si>
    <t>https://www.dr-gav.co.il/212dcacfb8</t>
  </si>
  <si>
    <t>https://www.clickandbuy.co.il/category/%D7%9E%D7%99%D7%98%D7%AA-%D7%9E%D7%AA%D7%9B%D7%AA</t>
  </si>
  <si>
    <t>קומודה + מיטה + מגירות+שידות + משלוח 4000</t>
  </si>
  <si>
    <t>https://www.clickandbuy.co.il/product/sandy-%D7%97%D7%93%D7%A8-%D7%A9%D7%99%D7%A0%D7%94-%D7%A7%D7%95%D7%9E%D7%A4%D7%9C%D7%98-bradex-%D7%91%D7%A8%D7%93%D7%A7%D7%A1</t>
  </si>
  <si>
    <t>https://www.sbaby.co.il/product/%D7%9E%D7%92%D7%99%D7%A8%D7%AA-%D7%90%D7%97%D7%A1%D7%95%D7%9F-%D7%9E%D7%97%D7%95%D7%9C%D7%A7%D7%AA-%D7%9E%D7%AA%D7%97%D7%AA-%D7%9C%D7%9E%D7%99%D7%98%D7%94---%D7%A8%D7%94%D7%99%D7%98%D7%99-%D7%A1%D7%92%D7%9C?aff=GoogleMerchant</t>
  </si>
  <si>
    <t>https://www.take-it.co.il/product/%D7%A9%D7%99%D7%93%D7%AA-%D7%A6%D7%93-%D7%9E%D7%A2%D7%95%D7%A6%D7%91%D7%AA-%D7%95%D7%90%D7%99%D7%9B%D7%95%D7%AA%D7%99%D7%AA-%D7%93%D7%92%D7%9D-4112</t>
  </si>
  <si>
    <t>מזרן</t>
  </si>
  <si>
    <t>עדיף ללכת לחנות פיסית ולהרגיש את הספה- אולי בראשון?</t>
  </si>
  <si>
    <t>https://www.ikea.com/il/he/p/brimnes-rvn-sprym-lbn-90301225/</t>
  </si>
  <si>
    <t>https://www.ikea.com/il/he/p/brimnes-shydt-3-mgyrvt-lbn-zkvkyt-khlbyt-00392041/</t>
  </si>
  <si>
    <t>https://www.ikea.com/il/he/p/billy-ykhydt-hgbhh-lbn-40263853/</t>
  </si>
  <si>
    <t>https://www.zap.co.il/model.aspx?modelid=975548</t>
  </si>
  <si>
    <t>https://www.ikea.com/il/he/p/tornviken-kitchen-island-off-white-oak-40391657/</t>
  </si>
  <si>
    <t>החזר מס?</t>
  </si>
  <si>
    <t>חניה?</t>
  </si>
  <si>
    <t>Luxor LUX NF535SG</t>
  </si>
  <si>
    <t>https://www.atonline.co.il/product/%D7%A7%D7%9E%D7%99%D7%9F-%D7%A4%D7%A8%D7%95%D7%91%D7%A0%D7%A1-%D7%A2%D7%93%D7%99%D7%9F-%D7%93%D7%92%D7%9D-577</t>
  </si>
  <si>
    <t>הלוואה הוספת?</t>
  </si>
  <si>
    <t>https://www.ikea.com/il/he/p/bror-work-bench-black-pine-plywood-30333286/</t>
  </si>
  <si>
    <t>https://www.cwc.co.il/product/%D7%9E%D7%A7%D7%A8%D7%A8-4-%D7%93%D7%9C%D7%AA%D7%95%D7%AA-%D7%96%D7%9B%D7%95%D7%9B%D7%99%D7%AA-%D7%A9%D7%97%D7%95%D7%A8%D7%94-%D7%9C%D7%95%D7%A7%D7%A1%D7%95%D7%A8-lux-nf535bg</t>
  </si>
  <si>
    <t>https://www.azrieli.com/o/8278f5fe-8ccb-47ab-b4e4-991c6100cb4c</t>
  </si>
  <si>
    <t>ali</t>
  </si>
  <si>
    <t>https://www.ace.co.il/5789908</t>
  </si>
  <si>
    <t>5.2.23</t>
  </si>
  <si>
    <t>12.3.23</t>
  </si>
  <si>
    <t>12.4.23</t>
  </si>
  <si>
    <t>12.5.23</t>
  </si>
  <si>
    <t>12.6.23</t>
  </si>
  <si>
    <t>12.7.23</t>
  </si>
  <si>
    <t>12.8.23</t>
  </si>
  <si>
    <t>12.9.23</t>
  </si>
  <si>
    <t>12.10.23</t>
  </si>
  <si>
    <t>12.11.03</t>
  </si>
  <si>
    <t>12.12.23</t>
  </si>
  <si>
    <t>12.1.24</t>
  </si>
  <si>
    <t>12.1.25</t>
  </si>
  <si>
    <t>12.1.26</t>
  </si>
  <si>
    <t>12.1.27</t>
  </si>
  <si>
    <t>12.1.23</t>
  </si>
  <si>
    <t>12.2.23</t>
  </si>
  <si>
    <t>12.11.23</t>
  </si>
  <si>
    <t>12.2.24</t>
  </si>
  <si>
    <t>12.3.24</t>
  </si>
  <si>
    <t>12.4.24</t>
  </si>
  <si>
    <t>תאריך</t>
  </si>
  <si>
    <t>אחוז</t>
  </si>
  <si>
    <t>תשלום</t>
  </si>
  <si>
    <t>כולל תשומות</t>
  </si>
  <si>
    <t>תשומות</t>
  </si>
  <si>
    <t>יתרה</t>
  </si>
  <si>
    <t>שארית</t>
  </si>
  <si>
    <t>כולל חניה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</si>
</sst>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</font>
    <font>
      <sz val="11"/>
      <color theme="1"/>
      <name val="Calibri"/>
    </font>
    <font>
      <b/>
      <sz val="11"/>
      <color rgb="FF1E74B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AECF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1" fillId="4" borderId="1" xfId="0" applyFont="1" applyFill="1" applyBorder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0" fillId="2" borderId="1" xfId="0" applyNumberFormat="1" applyFont="1" applyFill="1" applyBorder="1"/>
    <xf numFmtId="0" fontId="1" fillId="0" borderId="0" xfId="0" applyNumberFormat="1" applyFont="1"/>
    <xf numFmtId="0" fontId="2" fillId="0" borderId="2" xfId="0" applyNumberFormat="1" applyFont="1" applyBorder="1" applyAlignment="1"/>
    <xf numFmtId="0" fontId="2" fillId="0" borderId="2" xfId="0" applyNumberFormat="1" applyFont="1" applyBorder="1"/>
    <xf numFmtId="0" fontId="0" fillId="0" borderId="0" xfId="0" applyNumberFormat="1" applyFont="1" applyAlignment="1"/>
    <xf numFmtId="0" fontId="3" fillId="0" borderId="0" xfId="0" applyFont="1" applyAlignment="1"/>
    <xf numFmtId="0" fontId="0" fillId="0" borderId="0" xfId="0" applyNumberFormat="1" applyFont="1"/>
    <xf numFmtId="0" fontId="4" fillId="5" borderId="0" xfId="1" applyAlignment="1"/>
    <xf numFmtId="2" fontId="0" fillId="0" borderId="0" xfId="0" applyNumberFormat="1" applyFont="1" applyAlignment="1"/>
    <xf numFmtId="10" fontId="0" fillId="0" borderId="0" xfId="0" applyNumberFormat="1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0" fontId="0" fillId="0" borderId="9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0" fontId="6" fillId="0" borderId="0" xfId="2" applyAlignment="1"/>
    <xf numFmtId="0" fontId="7" fillId="6" borderId="11" xfId="0" applyFont="1" applyFill="1" applyBorder="1"/>
    <xf numFmtId="0" fontId="7" fillId="0" borderId="11" xfId="0" applyFont="1" applyBorder="1"/>
    <xf numFmtId="4" fontId="8" fillId="7" borderId="0" xfId="0" applyNumberFormat="1" applyFont="1" applyFill="1" applyAlignment="1">
      <alignment horizontal="right" vertical="center" wrapText="1"/>
    </xf>
  </cellXfs>
  <cellStyles count="3">
    <cellStyle name="Normal" xfId="0" builtinId="0"/>
    <cellStyle name="היפר-קישור" xfId="2" builtinId="8"/>
    <cellStyle name="רע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0B22E-FD43-4B9A-BB15-A8A98D810634}" name="טבלה3" displayName="טבלה3" ref="AF29:AR37" headerRowCount="0" totalsRowShown="0">
  <tableColumns count="13">
    <tableColumn id="1" xr3:uid="{0EB6277E-E171-47E7-8BDF-B90846222B89}" name="עמודה1"/>
    <tableColumn id="2" xr3:uid="{60AA0678-7DE9-4E37-8C00-00BAF1D25AEB}" name="עמודה2"/>
    <tableColumn id="3" xr3:uid="{0CED7C62-1B79-4D63-9FE3-77728A0592E4}" name="עמודה3"/>
    <tableColumn id="4" xr3:uid="{CEA79150-C30B-45E9-B737-E011E211C7D0}" name="עמודה4"/>
    <tableColumn id="5" xr3:uid="{1AC6C98E-E426-4BB0-A4DC-DECA4DC6AA25}" name="עמודה5"/>
    <tableColumn id="6" xr3:uid="{4FDBBC08-F365-4E48-9F20-23B3737B0BD1}" name="עמודה6"/>
    <tableColumn id="7" xr3:uid="{6F75566B-8EB1-4B42-888B-221E9890A7D9}" name="עמודה7"/>
    <tableColumn id="8" xr3:uid="{C46D3B54-B07B-4706-8272-8C2C157A7967}" name="עמודה8"/>
    <tableColumn id="9" xr3:uid="{AF63CC6E-9EA2-4EB1-92EC-96C21B067FBE}" name="עמודה9"/>
    <tableColumn id="10" xr3:uid="{87B8DAD0-5B02-4215-8A09-238A604ADB90}" name="עמודה10"/>
    <tableColumn id="11" xr3:uid="{1C8283FD-57DD-452F-A19C-58B78BE5905C}" name="עמודה11"/>
    <tableColumn id="12" xr3:uid="{BF1F3D3D-E6BE-470D-9DA4-21A9D7F843DC}" name="עמודה12"/>
    <tableColumn id="13" xr3:uid="{31DA632F-74DE-4F95-B032-4B190EC5759A}" name="עמודה1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ages.soragit.co.il/transp?ref=transp&amp;gclid=CjwKCAiA55mPBhBOEiwANmzoQuDN9ZtLyUf70YcHkbLXHGYxRV27cHmibi2zem8Z_d0-J2WCUz-gKBoC3VgQAvD_BwE" TargetMode="External"/><Relationship Id="rId13" Type="http://schemas.openxmlformats.org/officeDocument/2006/relationships/hyperlink" Target="https://www.atonline.co.il/product/%D7%A7%D7%9E%D7%99%D7%9F-%D7%A4%D7%A8%D7%95%D7%91%D7%A0%D7%A1-%D7%A2%D7%93%D7%99%D7%9F-%D7%93%D7%92%D7%9D-577" TargetMode="External"/><Relationship Id="rId18" Type="http://schemas.openxmlformats.org/officeDocument/2006/relationships/hyperlink" Target="https://www.zap.co.il/model.aspx?modelid=97554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bathline.co.il/" TargetMode="External"/><Relationship Id="rId21" Type="http://schemas.openxmlformats.org/officeDocument/2006/relationships/hyperlink" Target="https://www.cwc.co.il/product/%D7%9E%D7%A7%D7%A8%D7%A8-4-%D7%93%D7%9C%D7%AA%D7%95%D7%AA-%D7%96%D7%9B%D7%95%D7%9B%D7%99%D7%AA-%D7%A9%D7%97%D7%95%D7%A8%D7%94-%D7%9C%D7%95%D7%A7%D7%A1%D7%95%D7%A8-lux-nf535bg" TargetMode="External"/><Relationship Id="rId7" Type="http://schemas.openxmlformats.org/officeDocument/2006/relationships/hyperlink" Target="https://www.tzabar-express.co.il/items/2217404" TargetMode="External"/><Relationship Id="rId12" Type="http://schemas.openxmlformats.org/officeDocument/2006/relationships/hyperlink" Target="https://www.payngo.co.il/243092.html" TargetMode="External"/><Relationship Id="rId17" Type="http://schemas.openxmlformats.org/officeDocument/2006/relationships/hyperlink" Target="https://www.virtualchashmal.co.il/product/12916/" TargetMode="External"/><Relationship Id="rId25" Type="http://schemas.openxmlformats.org/officeDocument/2006/relationships/hyperlink" Target="https://www.dr-gav.co.il/212dcacfb8" TargetMode="External"/><Relationship Id="rId2" Type="http://schemas.openxmlformats.org/officeDocument/2006/relationships/hyperlink" Target="https://firstprice.co.il/product/%e2%80%8f%d7%9e%d7%96%d7%92%d7%9f-%d7%a2%d7%99%d7%9c%d7%99-pro-wifi-11-%d7%a9%d7%a0%d7%aa-2020-haier-%e2%80%8f1-0-%e2%80%8f%d7%9b%d7%a1-%d7%94%d7%90%d7%99%d7%99%d7%a8/" TargetMode="External"/><Relationship Id="rId16" Type="http://schemas.openxmlformats.org/officeDocument/2006/relationships/hyperlink" Target="https://shtihim-online.co.il/product/%D7%A9%D7%98%D7%99%D7%97-%D7%A9%D7%90%D7%92%D7%99-%D7%93%D7%92%D7%9D-cosy-%D7%90%D7%A4%D7%95%D7%A8-%D7%91%D7%94%D7%99%D7%A8/?gclid=CjwKCAiA55mPBhBOEiwANmzoQmaTsQRNYW3I8tqpRwNOtQ-m3PUDT4dnfJjXFVoE1n80-mgg3h5dvRoC3EMQAvD_BwE" TargetMode="External"/><Relationship Id="rId20" Type="http://schemas.openxmlformats.org/officeDocument/2006/relationships/hyperlink" Target="https://edepot.co.il/items/2904083" TargetMode="External"/><Relationship Id="rId1" Type="http://schemas.openxmlformats.org/officeDocument/2006/relationships/hyperlink" Target="https://www.tranquilo.co.il/p/%D7%A1%D7%95%D7%9B%D7%9A-%D7%9E%D7%A1%D7%9A-%D7%95%D7%9B%D7%9B%D7%99-%D7%9E%D7%A1%D7%99%D7%9C%D7%95%D7%AA" TargetMode="External"/><Relationship Id="rId6" Type="http://schemas.openxmlformats.org/officeDocument/2006/relationships/hyperlink" Target="https://bshare-group.co.il/tables/coffee-tables/est4394/" TargetMode="External"/><Relationship Id="rId11" Type="http://schemas.openxmlformats.org/officeDocument/2006/relationships/hyperlink" Target="http://www.shviro.glass/Product.aspx?pid=734" TargetMode="External"/><Relationship Id="rId24" Type="http://schemas.openxmlformats.org/officeDocument/2006/relationships/hyperlink" Target="https://www.ikea.com/il/he/p/bror-work-bench-black-pine-plywood-30333286/" TargetMode="External"/><Relationship Id="rId5" Type="http://schemas.openxmlformats.org/officeDocument/2006/relationships/hyperlink" Target="https://www.ace.co.il/5700993.html?ref=shoppingads&amp;gclid=CjwKCAiA55mPBhBOEiwANmzoQpEEIcGTnGzeSJpSi3_DXS4InyNJXD0RhhbUKepOajkoUdpejdoSmBoCNSkQAvD_BwE" TargetMode="External"/><Relationship Id="rId15" Type="http://schemas.openxmlformats.org/officeDocument/2006/relationships/hyperlink" Target="https://www.clickandbuy.co.il/product/sandy-%D7%97%D7%93%D7%A8-%D7%A9%D7%99%D7%A0%D7%94-%D7%A7%D7%95%D7%9E%D7%A4%D7%9C%D7%98-bradex-%D7%91%D7%A8%D7%93%D7%A7%D7%A1" TargetMode="External"/><Relationship Id="rId23" Type="http://schemas.openxmlformats.org/officeDocument/2006/relationships/hyperlink" Target="https://www.ikea.com/il/he/p/brimnes-rvn-sprym-lbn-90301225/" TargetMode="External"/><Relationship Id="rId10" Type="http://schemas.openxmlformats.org/officeDocument/2006/relationships/hyperlink" Target="https://www.ace.co.il/5701355.html?ref=shoppingads&amp;gclid=CjwKCAiA55mPBhBOEiwANmzoQrk-Qx-L7Gy5M8Yd-gu8PCBydRzRqg8FtSHSmcpbPCJkVX4BV7JH1RoCUJ8QAvD_BwE" TargetMode="External"/><Relationship Id="rId19" Type="http://schemas.openxmlformats.org/officeDocument/2006/relationships/hyperlink" Target="https://www.argotech.co.il/product-details.aspx?proid=53222" TargetMode="External"/><Relationship Id="rId4" Type="http://schemas.openxmlformats.org/officeDocument/2006/relationships/hyperlink" Target="https://shtihim-online.co.il/product/%D7%A9%D7%98%D7%99%D7%97-%D7%A9%D7%90%D7%92%D7%99-%D7%93%D7%92%D7%9D-cosy-%D7%90%D7%A4%D7%95%D7%A8-%D7%91%D7%94%D7%99%D7%A8/?gclid=CjwKCAiA55mPBhBOEiwANmzoQmaTsQRNYW3I8tqpRwNOtQ-m3PUDT4dnfJjXFVoE1n80-mgg3h5dvRoC3EMQAvD_BwE" TargetMode="External"/><Relationship Id="rId9" Type="http://schemas.openxmlformats.org/officeDocument/2006/relationships/hyperlink" Target="https://www.ace.co.il/5773969.html?ref=shoppingads&amp;gclid=CjwKCAiA55mPBhBOEiwANmzoQgx7RiSGkDFRbmbJGEjT2G49kr4ao_kdecAprFG72tvX3FkI5WYHORoCHlEQAvD_BwE" TargetMode="External"/><Relationship Id="rId14" Type="http://schemas.openxmlformats.org/officeDocument/2006/relationships/hyperlink" Target="https://www.clickandbuy.co.il/category/%D7%9E%D7%99%D7%98%D7%AA-%D7%9E%D7%AA%D7%9B%D7%AA" TargetMode="External"/><Relationship Id="rId22" Type="http://schemas.openxmlformats.org/officeDocument/2006/relationships/hyperlink" Target="https://www.ikea.com/il/he/p/tornviken-kitchen-island-off-white-oak-4039165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00"/>
  <sheetViews>
    <sheetView tabSelected="1" topLeftCell="AB15" workbookViewId="0">
      <selection activeCell="AV23" sqref="AV23"/>
    </sheetView>
  </sheetViews>
  <sheetFormatPr defaultColWidth="14.42578125" defaultRowHeight="15" customHeight="1" x14ac:dyDescent="0.25"/>
  <cols>
    <col min="1" max="2" width="8.7109375" customWidth="1"/>
    <col min="3" max="4" width="7.140625" customWidth="1"/>
    <col min="5" max="5" width="7.7109375" customWidth="1"/>
    <col min="6" max="8" width="8.7109375" customWidth="1"/>
    <col min="9" max="9" width="8" bestFit="1" customWidth="1"/>
    <col min="10" max="19" width="12.5703125" bestFit="1" customWidth="1"/>
    <col min="20" max="20" width="13.140625" customWidth="1"/>
    <col min="21" max="21" width="12.42578125" customWidth="1"/>
    <col min="22" max="25" width="8.7109375" customWidth="1"/>
    <col min="26" max="26" width="15.28515625" customWidth="1"/>
    <col min="27" max="29" width="8.7109375" customWidth="1"/>
    <col min="30" max="32" width="9.140625" customWidth="1"/>
    <col min="33" max="33" width="11.5703125" customWidth="1"/>
    <col min="34" max="34" width="13.140625" customWidth="1"/>
    <col min="35" max="35" width="9.140625" customWidth="1"/>
    <col min="36" max="37" width="12" customWidth="1"/>
    <col min="38" max="38" width="9.140625" customWidth="1"/>
    <col min="39" max="44" width="10.140625" customWidth="1"/>
    <col min="45" max="45" width="12.140625" customWidth="1"/>
    <col min="46" max="77" width="10.140625" customWidth="1"/>
    <col min="78" max="80" width="8.7109375" customWidth="1"/>
  </cols>
  <sheetData>
    <row r="1" spans="1:1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14" t="s">
        <v>26</v>
      </c>
      <c r="AD1" s="3" t="s">
        <v>27</v>
      </c>
      <c r="AE1" s="3" t="s">
        <v>84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102</v>
      </c>
      <c r="AK1" s="3" t="s">
        <v>103</v>
      </c>
      <c r="AL1" s="3" t="s">
        <v>85</v>
      </c>
      <c r="AM1" s="3" t="s">
        <v>86</v>
      </c>
      <c r="AN1" s="3" t="s">
        <v>87</v>
      </c>
      <c r="AO1" s="3" t="s">
        <v>88</v>
      </c>
      <c r="AP1" s="12" t="s">
        <v>89</v>
      </c>
      <c r="AQ1" s="12" t="s">
        <v>90</v>
      </c>
      <c r="AR1" s="12" t="s">
        <v>91</v>
      </c>
      <c r="AS1" s="12" t="s">
        <v>92</v>
      </c>
      <c r="AT1" s="12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</row>
    <row r="2" spans="1:111" x14ac:dyDescent="0.25">
      <c r="A2" s="4" t="s">
        <v>43</v>
      </c>
      <c r="B2">
        <v>0</v>
      </c>
      <c r="D2">
        <v>101637</v>
      </c>
      <c r="E2">
        <v>2030</v>
      </c>
      <c r="F2">
        <v>2030</v>
      </c>
      <c r="G2">
        <v>2030</v>
      </c>
      <c r="H2">
        <v>2030</v>
      </c>
      <c r="I2">
        <v>2030</v>
      </c>
      <c r="J2">
        <v>2190</v>
      </c>
      <c r="K2">
        <v>2190</v>
      </c>
      <c r="L2">
        <v>2190</v>
      </c>
      <c r="M2">
        <v>2190</v>
      </c>
      <c r="N2">
        <v>2190</v>
      </c>
      <c r="O2">
        <v>2619</v>
      </c>
      <c r="P2">
        <v>2561</v>
      </c>
      <c r="Q2">
        <v>2561</v>
      </c>
      <c r="R2">
        <v>2350</v>
      </c>
      <c r="S2">
        <v>2350</v>
      </c>
      <c r="T2">
        <v>2350</v>
      </c>
      <c r="U2">
        <v>2350</v>
      </c>
      <c r="V2" s="5">
        <v>2425</v>
      </c>
      <c r="W2" s="5">
        <v>2425</v>
      </c>
      <c r="X2" s="5">
        <v>2425</v>
      </c>
      <c r="Y2" s="5">
        <v>2425</v>
      </c>
      <c r="Z2" s="5">
        <v>2425</v>
      </c>
      <c r="AA2" s="5">
        <v>2857</v>
      </c>
      <c r="AB2" s="5">
        <v>2714</v>
      </c>
      <c r="AC2" s="5">
        <v>2500</v>
      </c>
      <c r="AD2" s="5">
        <v>2500</v>
      </c>
      <c r="AE2" s="5">
        <v>2500</v>
      </c>
      <c r="AF2" s="5">
        <v>2500</v>
      </c>
      <c r="AG2" s="5">
        <v>2500</v>
      </c>
      <c r="AH2" s="5">
        <v>2650</v>
      </c>
      <c r="AI2" s="5">
        <v>2650</v>
      </c>
      <c r="AJ2" s="5">
        <v>2650</v>
      </c>
      <c r="AK2" s="5">
        <v>2650</v>
      </c>
      <c r="AL2" s="5">
        <v>2650</v>
      </c>
      <c r="AM2" s="5">
        <v>2650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11" x14ac:dyDescent="0.25">
      <c r="A3" s="4" t="s">
        <v>44</v>
      </c>
      <c r="B3">
        <v>9403</v>
      </c>
      <c r="C3">
        <v>-500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2250</v>
      </c>
      <c r="P3">
        <v>2250</v>
      </c>
      <c r="Q3">
        <v>2250</v>
      </c>
      <c r="R3">
        <v>250</v>
      </c>
      <c r="S3">
        <v>250</v>
      </c>
      <c r="T3">
        <v>250</v>
      </c>
      <c r="U3" s="5">
        <v>1250</v>
      </c>
      <c r="V3" s="5">
        <v>1250</v>
      </c>
      <c r="W3" s="5">
        <v>1500</v>
      </c>
      <c r="X3" s="5">
        <v>1500</v>
      </c>
      <c r="Y3" s="5">
        <v>1500</v>
      </c>
      <c r="Z3" s="5">
        <v>1500</v>
      </c>
      <c r="AA3" s="5">
        <v>1500</v>
      </c>
      <c r="AB3" s="5">
        <v>1500</v>
      </c>
      <c r="AC3" s="5">
        <v>1500</v>
      </c>
      <c r="AD3" s="5">
        <v>500</v>
      </c>
      <c r="AE3" s="5">
        <v>500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111" x14ac:dyDescent="0.25">
      <c r="A4" s="4" t="s">
        <v>45</v>
      </c>
      <c r="B4" s="1">
        <f>SUM($B2:B3)+SUM($B16:B16)</f>
        <v>9403</v>
      </c>
      <c r="C4" s="1">
        <f>SUM($B2:C3)+SUM($B16:C16)</f>
        <v>8903</v>
      </c>
      <c r="D4" s="1">
        <f>SUM($B2:D3)+SUM($B16:D16)</f>
        <v>112040</v>
      </c>
      <c r="E4" s="1">
        <f>SUM($B2:E3)+SUM($B16:AS16)</f>
        <v>115570</v>
      </c>
      <c r="F4" s="1">
        <f>SUM($B2:F3)+SUM($B16:F16)</f>
        <v>119100</v>
      </c>
      <c r="G4" s="1">
        <f t="shared" ref="G4:V4" si="0">G20+G21</f>
        <v>122630</v>
      </c>
      <c r="H4" s="1">
        <f t="shared" si="0"/>
        <v>126275</v>
      </c>
      <c r="I4" s="1">
        <f t="shared" si="0"/>
        <v>137875</v>
      </c>
      <c r="J4" s="7">
        <f t="shared" si="0"/>
        <v>141382</v>
      </c>
      <c r="K4" s="7">
        <f t="shared" si="0"/>
        <v>145072</v>
      </c>
      <c r="L4" s="7">
        <f t="shared" si="0"/>
        <v>130359</v>
      </c>
      <c r="M4" s="7">
        <f t="shared" si="0"/>
        <v>143506</v>
      </c>
      <c r="N4" s="7">
        <f t="shared" si="0"/>
        <v>149770</v>
      </c>
      <c r="O4" s="7">
        <f t="shared" si="0"/>
        <v>153739</v>
      </c>
      <c r="P4" s="7">
        <f t="shared" si="0"/>
        <v>162215</v>
      </c>
      <c r="Q4" s="7">
        <f t="shared" si="0"/>
        <v>169547</v>
      </c>
      <c r="R4" s="7">
        <f t="shared" si="0"/>
        <v>170664</v>
      </c>
      <c r="S4" s="7">
        <f t="shared" si="0"/>
        <v>175623</v>
      </c>
      <c r="T4" s="7">
        <f t="shared" si="0"/>
        <v>184636</v>
      </c>
      <c r="U4" s="7">
        <f t="shared" si="0"/>
        <v>190345</v>
      </c>
      <c r="V4" s="7">
        <f t="shared" si="0"/>
        <v>196163</v>
      </c>
      <c r="W4" s="7">
        <f t="shared" ref="W4:AS4" si="1">W13+W14+$Y27</f>
        <v>205468</v>
      </c>
      <c r="X4" s="7">
        <f t="shared" si="1"/>
        <v>212912</v>
      </c>
      <c r="Y4" s="7">
        <f t="shared" si="1"/>
        <v>220121</v>
      </c>
      <c r="Z4" s="7">
        <f t="shared" si="1"/>
        <v>226769</v>
      </c>
      <c r="AA4" s="7">
        <f t="shared" si="1"/>
        <v>233311</v>
      </c>
      <c r="AB4" s="7">
        <f t="shared" si="1"/>
        <v>240067</v>
      </c>
      <c r="AC4" s="7">
        <f t="shared" si="1"/>
        <v>236985</v>
      </c>
      <c r="AD4" s="7">
        <f t="shared" si="1"/>
        <v>239928</v>
      </c>
      <c r="AE4" s="7">
        <f t="shared" si="1"/>
        <v>256083</v>
      </c>
      <c r="AF4" s="7">
        <f t="shared" si="1"/>
        <v>442500</v>
      </c>
      <c r="AG4" s="7">
        <f t="shared" si="1"/>
        <v>198788</v>
      </c>
      <c r="AH4" s="7">
        <f t="shared" si="1"/>
        <v>198441</v>
      </c>
      <c r="AI4" s="7">
        <f t="shared" si="1"/>
        <v>201364</v>
      </c>
      <c r="AJ4" s="7">
        <f t="shared" si="1"/>
        <v>205493</v>
      </c>
      <c r="AK4" s="7">
        <f t="shared" si="1"/>
        <v>201543</v>
      </c>
      <c r="AL4" s="7">
        <f t="shared" si="1"/>
        <v>202193</v>
      </c>
      <c r="AM4" s="7">
        <f t="shared" si="1"/>
        <v>200485.53</v>
      </c>
      <c r="AN4" s="7">
        <f t="shared" si="1"/>
        <v>209297</v>
      </c>
      <c r="AO4" s="7">
        <f t="shared" si="1"/>
        <v>209297</v>
      </c>
      <c r="AP4" s="7">
        <f t="shared" si="1"/>
        <v>209297</v>
      </c>
      <c r="AQ4" s="7">
        <f t="shared" si="1"/>
        <v>209297</v>
      </c>
      <c r="AR4" s="7">
        <f t="shared" si="1"/>
        <v>209297</v>
      </c>
      <c r="AS4" s="7">
        <f t="shared" si="1"/>
        <v>0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111" s="11" customFormat="1" x14ac:dyDescent="0.25">
      <c r="H5" s="11">
        <v>115</v>
      </c>
      <c r="I5" s="11">
        <v>7100</v>
      </c>
      <c r="J5" s="13">
        <v>-192</v>
      </c>
      <c r="L5" s="11">
        <v>-3280</v>
      </c>
      <c r="M5" s="11">
        <v>1628</v>
      </c>
      <c r="N5" s="11">
        <v>914</v>
      </c>
      <c r="O5" s="11">
        <v>63</v>
      </c>
      <c r="P5" s="11">
        <v>932</v>
      </c>
      <c r="Q5" s="11">
        <f>193-585</f>
        <v>-392</v>
      </c>
      <c r="R5" s="11">
        <v>558</v>
      </c>
      <c r="S5" s="8">
        <v>1892</v>
      </c>
      <c r="T5" s="8">
        <v>92</v>
      </c>
      <c r="U5" s="13">
        <v>1881</v>
      </c>
      <c r="V5" s="11">
        <v>588</v>
      </c>
      <c r="W5" s="11">
        <v>348</v>
      </c>
      <c r="X5" s="11">
        <v>943</v>
      </c>
      <c r="Y5" s="11">
        <v>187</v>
      </c>
      <c r="Z5" s="11">
        <v>843</v>
      </c>
      <c r="AA5" s="11">
        <v>222</v>
      </c>
      <c r="AB5" s="11">
        <v>39</v>
      </c>
      <c r="AC5" s="11">
        <f>1064-8000</f>
        <v>-6936</v>
      </c>
      <c r="AD5" s="11">
        <v>2</v>
      </c>
      <c r="AE5" s="11">
        <v>11652</v>
      </c>
      <c r="AH5" s="13"/>
      <c r="AS5" s="13"/>
    </row>
    <row r="6" spans="1:111" x14ac:dyDescent="0.25">
      <c r="A6" s="4" t="s">
        <v>46</v>
      </c>
      <c r="B6">
        <f>(B4 + B5)*3</f>
        <v>28209</v>
      </c>
      <c r="C6">
        <f t="shared" ref="C6:AD6" si="2">C4*3</f>
        <v>26709</v>
      </c>
      <c r="D6">
        <f t="shared" si="2"/>
        <v>336120</v>
      </c>
      <c r="E6">
        <f t="shared" si="2"/>
        <v>346710</v>
      </c>
      <c r="F6">
        <f t="shared" si="2"/>
        <v>357300</v>
      </c>
      <c r="G6">
        <f t="shared" si="2"/>
        <v>367890</v>
      </c>
      <c r="H6">
        <f t="shared" si="2"/>
        <v>378825</v>
      </c>
      <c r="I6">
        <f t="shared" si="2"/>
        <v>413625</v>
      </c>
      <c r="J6">
        <f t="shared" si="2"/>
        <v>424146</v>
      </c>
      <c r="K6">
        <f t="shared" si="2"/>
        <v>435216</v>
      </c>
      <c r="L6">
        <f t="shared" si="2"/>
        <v>391077</v>
      </c>
      <c r="M6">
        <f t="shared" si="2"/>
        <v>430518</v>
      </c>
      <c r="N6">
        <f t="shared" si="2"/>
        <v>449310</v>
      </c>
      <c r="O6">
        <f t="shared" si="2"/>
        <v>461217</v>
      </c>
      <c r="P6">
        <f t="shared" si="2"/>
        <v>486645</v>
      </c>
      <c r="Q6">
        <f t="shared" si="2"/>
        <v>508641</v>
      </c>
      <c r="R6">
        <f t="shared" si="2"/>
        <v>511992</v>
      </c>
      <c r="S6">
        <f t="shared" si="2"/>
        <v>526869</v>
      </c>
      <c r="T6">
        <f t="shared" si="2"/>
        <v>553908</v>
      </c>
      <c r="U6">
        <f t="shared" si="2"/>
        <v>571035</v>
      </c>
      <c r="V6">
        <f t="shared" si="2"/>
        <v>588489</v>
      </c>
      <c r="W6">
        <f>W4*3</f>
        <v>616404</v>
      </c>
      <c r="X6">
        <f t="shared" si="2"/>
        <v>638736</v>
      </c>
      <c r="Y6">
        <f t="shared" si="2"/>
        <v>660363</v>
      </c>
      <c r="Z6">
        <f>Z4*3</f>
        <v>680307</v>
      </c>
      <c r="AA6">
        <f t="shared" si="2"/>
        <v>699933</v>
      </c>
      <c r="AB6">
        <f t="shared" si="2"/>
        <v>720201</v>
      </c>
      <c r="AC6">
        <f t="shared" si="2"/>
        <v>710955</v>
      </c>
      <c r="AD6">
        <f t="shared" si="2"/>
        <v>719784</v>
      </c>
      <c r="AE6">
        <f>$AD26-AE4</f>
        <v>1513917</v>
      </c>
      <c r="AF6">
        <f t="shared" ref="AF6" si="3">$AD26-AF4</f>
        <v>1327500</v>
      </c>
      <c r="AG6">
        <f>AF6</f>
        <v>1327500</v>
      </c>
      <c r="AH6">
        <f t="shared" ref="AH6:AN6" si="4">AG6</f>
        <v>1327500</v>
      </c>
      <c r="AI6">
        <f t="shared" si="4"/>
        <v>1327500</v>
      </c>
      <c r="AJ6">
        <f t="shared" si="4"/>
        <v>1327500</v>
      </c>
      <c r="AK6">
        <f t="shared" si="4"/>
        <v>1327500</v>
      </c>
      <c r="AL6">
        <f t="shared" si="4"/>
        <v>1327500</v>
      </c>
      <c r="AM6">
        <f t="shared" si="4"/>
        <v>1327500</v>
      </c>
      <c r="AN6">
        <f t="shared" si="4"/>
        <v>1327500</v>
      </c>
      <c r="AO6">
        <f t="shared" ref="AO6:AS6" si="5">$AD26-AO4</f>
        <v>1560703</v>
      </c>
      <c r="AP6">
        <f t="shared" si="5"/>
        <v>1560703</v>
      </c>
      <c r="AQ6">
        <f t="shared" si="5"/>
        <v>1560703</v>
      </c>
      <c r="AR6">
        <f t="shared" si="5"/>
        <v>1560703</v>
      </c>
      <c r="AS6">
        <f t="shared" si="5"/>
        <v>1770000</v>
      </c>
    </row>
    <row r="7" spans="1:111" x14ac:dyDescent="0.25">
      <c r="I7">
        <v>970</v>
      </c>
      <c r="J7">
        <v>9</v>
      </c>
      <c r="L7">
        <v>-15123</v>
      </c>
      <c r="M7">
        <v>7829</v>
      </c>
      <c r="N7">
        <v>1660</v>
      </c>
      <c r="O7">
        <v>-963</v>
      </c>
      <c r="P7">
        <v>2733</v>
      </c>
      <c r="Q7">
        <v>2913</v>
      </c>
      <c r="R7">
        <v>-2041</v>
      </c>
      <c r="S7">
        <v>467</v>
      </c>
      <c r="T7" s="5">
        <v>6321</v>
      </c>
      <c r="U7">
        <f>228</f>
        <v>228</v>
      </c>
      <c r="V7">
        <v>1555</v>
      </c>
      <c r="W7" s="5">
        <v>3486</v>
      </c>
      <c r="X7" s="5">
        <v>2576</v>
      </c>
      <c r="Y7" s="5">
        <v>3097</v>
      </c>
      <c r="Z7" s="5">
        <f>1880</f>
        <v>1880</v>
      </c>
      <c r="AA7" s="4">
        <f>1963</f>
        <v>1963</v>
      </c>
      <c r="AB7" s="4">
        <v>2503</v>
      </c>
      <c r="AC7" s="4">
        <v>-146</v>
      </c>
      <c r="AD7" s="4">
        <v>-59</v>
      </c>
      <c r="AE7" s="4">
        <v>1503</v>
      </c>
      <c r="AF7" s="4">
        <v>188</v>
      </c>
      <c r="AG7" s="4">
        <v>3619</v>
      </c>
      <c r="AH7" s="4">
        <v>-2997</v>
      </c>
      <c r="AI7" s="4">
        <v>273</v>
      </c>
      <c r="AJ7" s="4">
        <v>1479</v>
      </c>
      <c r="AK7" s="5">
        <v>-6600</v>
      </c>
      <c r="AL7" s="5">
        <v>-2000</v>
      </c>
      <c r="AM7" s="4">
        <v>-4147</v>
      </c>
      <c r="AN7" s="15"/>
      <c r="AT7">
        <v>0</v>
      </c>
      <c r="AU7">
        <v>5000</v>
      </c>
      <c r="AV7">
        <v>5000</v>
      </c>
      <c r="AW7">
        <v>5000</v>
      </c>
      <c r="AX7">
        <v>5000</v>
      </c>
      <c r="AY7">
        <v>6250</v>
      </c>
      <c r="AZ7">
        <v>6250</v>
      </c>
      <c r="BA7">
        <v>6250</v>
      </c>
      <c r="BB7">
        <v>6250</v>
      </c>
      <c r="BC7">
        <v>6250</v>
      </c>
      <c r="BD7">
        <v>6250</v>
      </c>
      <c r="BE7">
        <v>7500</v>
      </c>
      <c r="BF7">
        <v>7500</v>
      </c>
      <c r="BG7">
        <v>7500</v>
      </c>
      <c r="BH7">
        <v>7500</v>
      </c>
    </row>
    <row r="8" spans="1:111" x14ac:dyDescent="0.25">
      <c r="W8" s="5"/>
      <c r="X8" s="5"/>
      <c r="Y8" s="5"/>
      <c r="AA8" s="12"/>
      <c r="AC8">
        <f>SUM(U7:AC7)</f>
        <v>17142</v>
      </c>
      <c r="AK8" s="5"/>
      <c r="AL8" s="5"/>
    </row>
    <row r="9" spans="1:111" x14ac:dyDescent="0.25">
      <c r="A9" s="4" t="s">
        <v>47</v>
      </c>
      <c r="B9">
        <f t="shared" ref="B9:AA9" si="6">B6/100000*600</f>
        <v>169.25399999999999</v>
      </c>
      <c r="C9">
        <f t="shared" si="6"/>
        <v>160.25399999999999</v>
      </c>
      <c r="D9">
        <f t="shared" si="6"/>
        <v>2016.72</v>
      </c>
      <c r="E9">
        <f t="shared" si="6"/>
        <v>2080.2599999999998</v>
      </c>
      <c r="F9">
        <f t="shared" si="6"/>
        <v>2143.8000000000002</v>
      </c>
      <c r="G9">
        <f t="shared" si="6"/>
        <v>2207.34</v>
      </c>
      <c r="H9">
        <f t="shared" si="6"/>
        <v>2272.9500000000003</v>
      </c>
      <c r="I9">
        <f t="shared" si="6"/>
        <v>2481.7500000000005</v>
      </c>
      <c r="J9">
        <f t="shared" si="6"/>
        <v>2544.8760000000002</v>
      </c>
      <c r="K9">
        <f t="shared" si="6"/>
        <v>2611.2959999999998</v>
      </c>
      <c r="L9">
        <f t="shared" si="6"/>
        <v>2346.462</v>
      </c>
      <c r="M9">
        <f t="shared" si="6"/>
        <v>2583.1080000000002</v>
      </c>
      <c r="N9">
        <f t="shared" si="6"/>
        <v>2695.86</v>
      </c>
      <c r="O9">
        <f t="shared" si="6"/>
        <v>2767.3020000000001</v>
      </c>
      <c r="P9">
        <f t="shared" si="6"/>
        <v>2919.8700000000003</v>
      </c>
      <c r="Q9">
        <f t="shared" si="6"/>
        <v>3051.846</v>
      </c>
      <c r="R9">
        <f t="shared" si="6"/>
        <v>3071.9519999999998</v>
      </c>
      <c r="S9">
        <f t="shared" si="6"/>
        <v>3161.2140000000004</v>
      </c>
      <c r="T9">
        <f t="shared" si="6"/>
        <v>3323.4480000000003</v>
      </c>
      <c r="U9">
        <f t="shared" si="6"/>
        <v>3426.21</v>
      </c>
      <c r="V9">
        <f t="shared" si="6"/>
        <v>3530.9340000000002</v>
      </c>
      <c r="W9">
        <f t="shared" si="6"/>
        <v>3698.424</v>
      </c>
      <c r="X9">
        <f t="shared" si="6"/>
        <v>3832.4160000000002</v>
      </c>
      <c r="Y9">
        <f t="shared" si="6"/>
        <v>3962.1779999999999</v>
      </c>
      <c r="Z9">
        <f t="shared" si="6"/>
        <v>4081.8420000000001</v>
      </c>
      <c r="AA9">
        <f t="shared" si="6"/>
        <v>4199.598</v>
      </c>
      <c r="AB9">
        <f>AB6/100000*500</f>
        <v>3601.0049999999997</v>
      </c>
      <c r="AC9">
        <f>AC6/100000*500</f>
        <v>3554.7749999999996</v>
      </c>
      <c r="AD9">
        <f t="shared" ref="AD9:AS9" si="7">AD6/100000*500</f>
        <v>3598.92</v>
      </c>
      <c r="AE9">
        <f t="shared" si="7"/>
        <v>7569.585</v>
      </c>
      <c r="AF9">
        <f t="shared" si="7"/>
        <v>6637.5</v>
      </c>
      <c r="AG9">
        <f t="shared" si="7"/>
        <v>6637.5</v>
      </c>
      <c r="AH9">
        <f>AH6/100000*450</f>
        <v>5973.75</v>
      </c>
      <c r="AI9">
        <f t="shared" ref="AI9:AN9" si="8">AI6/100000*450</f>
        <v>5973.75</v>
      </c>
      <c r="AJ9">
        <f t="shared" si="8"/>
        <v>5973.75</v>
      </c>
      <c r="AK9">
        <f t="shared" si="8"/>
        <v>5973.75</v>
      </c>
      <c r="AL9">
        <f t="shared" si="8"/>
        <v>5973.75</v>
      </c>
      <c r="AM9">
        <f t="shared" si="8"/>
        <v>5973.75</v>
      </c>
      <c r="AN9">
        <f t="shared" si="8"/>
        <v>5973.75</v>
      </c>
      <c r="AO9">
        <f t="shared" si="7"/>
        <v>7803.5150000000003</v>
      </c>
      <c r="AP9">
        <f t="shared" si="7"/>
        <v>7803.5150000000003</v>
      </c>
      <c r="AQ9">
        <f t="shared" si="7"/>
        <v>7803.5150000000003</v>
      </c>
      <c r="AR9">
        <f t="shared" si="7"/>
        <v>7803.5150000000003</v>
      </c>
      <c r="AS9">
        <f t="shared" si="7"/>
        <v>8850</v>
      </c>
    </row>
    <row r="11" spans="1:111" s="11" customFormat="1" x14ac:dyDescent="0.25">
      <c r="A11" s="9" t="s">
        <v>48</v>
      </c>
      <c r="B11" s="10">
        <f t="shared" ref="B11:AR11" si="9">B4+B6</f>
        <v>37612</v>
      </c>
      <c r="C11" s="10">
        <f t="shared" si="9"/>
        <v>35612</v>
      </c>
      <c r="D11" s="10">
        <f t="shared" si="9"/>
        <v>448160</v>
      </c>
      <c r="E11" s="10">
        <f t="shared" si="9"/>
        <v>462280</v>
      </c>
      <c r="F11" s="10">
        <f t="shared" si="9"/>
        <v>476400</v>
      </c>
      <c r="G11" s="10">
        <f t="shared" si="9"/>
        <v>490520</v>
      </c>
      <c r="H11" s="10">
        <f t="shared" si="9"/>
        <v>505100</v>
      </c>
      <c r="I11" s="10">
        <f t="shared" si="9"/>
        <v>551500</v>
      </c>
      <c r="J11" s="10">
        <f t="shared" si="9"/>
        <v>565528</v>
      </c>
      <c r="K11" s="10">
        <f t="shared" si="9"/>
        <v>580288</v>
      </c>
      <c r="L11" s="10">
        <f t="shared" si="9"/>
        <v>521436</v>
      </c>
      <c r="M11" s="10">
        <f t="shared" si="9"/>
        <v>574024</v>
      </c>
      <c r="N11" s="10">
        <f t="shared" si="9"/>
        <v>599080</v>
      </c>
      <c r="O11" s="10">
        <f t="shared" si="9"/>
        <v>614956</v>
      </c>
      <c r="P11" s="10">
        <f t="shared" si="9"/>
        <v>648860</v>
      </c>
      <c r="Q11" s="10">
        <f t="shared" si="9"/>
        <v>678188</v>
      </c>
      <c r="R11" s="10">
        <f t="shared" si="9"/>
        <v>682656</v>
      </c>
      <c r="S11" s="10">
        <f t="shared" si="9"/>
        <v>702492</v>
      </c>
      <c r="T11" s="10">
        <f t="shared" si="9"/>
        <v>738544</v>
      </c>
      <c r="U11" s="10">
        <f t="shared" si="9"/>
        <v>761380</v>
      </c>
      <c r="V11" s="10">
        <f t="shared" si="9"/>
        <v>784652</v>
      </c>
      <c r="W11" s="10">
        <f t="shared" si="9"/>
        <v>821872</v>
      </c>
      <c r="X11" s="10">
        <f t="shared" si="9"/>
        <v>851648</v>
      </c>
      <c r="Y11" s="10">
        <f t="shared" si="9"/>
        <v>880484</v>
      </c>
      <c r="Z11" s="10">
        <f t="shared" si="9"/>
        <v>907076</v>
      </c>
      <c r="AA11" s="10">
        <f t="shared" si="9"/>
        <v>933244</v>
      </c>
      <c r="AB11" s="10">
        <f t="shared" si="9"/>
        <v>960268</v>
      </c>
      <c r="AC11" s="10">
        <f t="shared" si="9"/>
        <v>947940</v>
      </c>
      <c r="AD11" s="10">
        <f t="shared" si="9"/>
        <v>959712</v>
      </c>
      <c r="AE11" s="10">
        <f t="shared" si="9"/>
        <v>1770000</v>
      </c>
      <c r="AF11" s="10">
        <f t="shared" si="9"/>
        <v>1770000</v>
      </c>
      <c r="AG11" s="10">
        <f t="shared" si="9"/>
        <v>1526288</v>
      </c>
      <c r="AH11" s="10">
        <f>AD26</f>
        <v>1770000</v>
      </c>
      <c r="AI11" s="10">
        <f>AD26</f>
        <v>1770000</v>
      </c>
      <c r="AJ11" s="10">
        <f>AD26</f>
        <v>1770000</v>
      </c>
      <c r="AK11" s="10">
        <f>AD26</f>
        <v>1770000</v>
      </c>
      <c r="AL11" s="10">
        <f>AD26</f>
        <v>1770000</v>
      </c>
      <c r="AM11" s="10">
        <f>AD26</f>
        <v>1770000</v>
      </c>
      <c r="AN11" s="10">
        <f>AD26</f>
        <v>1770000</v>
      </c>
      <c r="AO11" s="10">
        <f>AD26</f>
        <v>1770000</v>
      </c>
      <c r="AP11" s="10">
        <f t="shared" si="9"/>
        <v>1770000</v>
      </c>
      <c r="AQ11" s="10">
        <f t="shared" si="9"/>
        <v>1770000</v>
      </c>
      <c r="AR11" s="10">
        <f t="shared" si="9"/>
        <v>1770000</v>
      </c>
      <c r="AS11" s="10">
        <f>AS4+AS6</f>
        <v>1770000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</row>
    <row r="13" spans="1:111" x14ac:dyDescent="0.25">
      <c r="B13">
        <f t="shared" ref="B13:S13" si="10">A13+B2</f>
        <v>0</v>
      </c>
      <c r="C13">
        <f t="shared" si="10"/>
        <v>0</v>
      </c>
      <c r="D13">
        <f t="shared" si="10"/>
        <v>101637</v>
      </c>
      <c r="E13">
        <f t="shared" si="10"/>
        <v>103667</v>
      </c>
      <c r="F13">
        <f t="shared" si="10"/>
        <v>105697</v>
      </c>
      <c r="G13">
        <f t="shared" si="10"/>
        <v>107727</v>
      </c>
      <c r="H13">
        <f t="shared" si="10"/>
        <v>109757</v>
      </c>
      <c r="I13">
        <f t="shared" si="10"/>
        <v>111787</v>
      </c>
      <c r="J13">
        <f t="shared" si="10"/>
        <v>113977</v>
      </c>
      <c r="K13">
        <f t="shared" si="10"/>
        <v>116167</v>
      </c>
      <c r="L13">
        <f t="shared" si="10"/>
        <v>118357</v>
      </c>
      <c r="M13">
        <f t="shared" si="10"/>
        <v>120547</v>
      </c>
      <c r="N13">
        <f t="shared" si="10"/>
        <v>122737</v>
      </c>
      <c r="O13">
        <f t="shared" si="10"/>
        <v>125356</v>
      </c>
      <c r="P13">
        <f t="shared" si="10"/>
        <v>127917</v>
      </c>
      <c r="Q13">
        <f t="shared" si="10"/>
        <v>130478</v>
      </c>
      <c r="R13">
        <f t="shared" si="10"/>
        <v>132828</v>
      </c>
      <c r="S13">
        <f t="shared" si="10"/>
        <v>135178</v>
      </c>
      <c r="T13">
        <f>S13+T2+T7</f>
        <v>143849</v>
      </c>
      <c r="U13">
        <f>T13+U2+U7</f>
        <v>146427</v>
      </c>
      <c r="V13">
        <f t="shared" ref="V13:AR13" si="11">U13+V2+V7</f>
        <v>150407</v>
      </c>
      <c r="W13">
        <f t="shared" si="11"/>
        <v>156318</v>
      </c>
      <c r="X13">
        <f t="shared" si="11"/>
        <v>161319</v>
      </c>
      <c r="Y13">
        <f t="shared" si="11"/>
        <v>166841</v>
      </c>
      <c r="Z13">
        <f t="shared" si="11"/>
        <v>171146</v>
      </c>
      <c r="AA13">
        <f t="shared" si="11"/>
        <v>175966</v>
      </c>
      <c r="AB13">
        <f t="shared" si="11"/>
        <v>181183</v>
      </c>
      <c r="AC13">
        <f t="shared" si="11"/>
        <v>183537</v>
      </c>
      <c r="AD13">
        <f t="shared" si="11"/>
        <v>185978</v>
      </c>
      <c r="AE13">
        <f>AD13+AE2+AE7</f>
        <v>189981</v>
      </c>
      <c r="AF13">
        <f t="shared" si="11"/>
        <v>192669</v>
      </c>
      <c r="AG13">
        <f>AF13+AG2+AG7</f>
        <v>198788</v>
      </c>
      <c r="AH13">
        <f t="shared" si="11"/>
        <v>198441</v>
      </c>
      <c r="AI13">
        <f t="shared" si="11"/>
        <v>201364</v>
      </c>
      <c r="AJ13">
        <f t="shared" si="11"/>
        <v>205493</v>
      </c>
      <c r="AK13">
        <f>AJ13+AK2+AK7</f>
        <v>201543</v>
      </c>
      <c r="AL13">
        <f>AK13+AL2+AL7</f>
        <v>202193</v>
      </c>
      <c r="AM13">
        <f>AM20</f>
        <v>200485.53</v>
      </c>
      <c r="AN13">
        <v>209297</v>
      </c>
      <c r="AO13">
        <f t="shared" si="11"/>
        <v>209297</v>
      </c>
      <c r="AP13">
        <f t="shared" si="11"/>
        <v>209297</v>
      </c>
      <c r="AQ13">
        <f t="shared" si="11"/>
        <v>209297</v>
      </c>
      <c r="AR13">
        <f t="shared" si="11"/>
        <v>209297</v>
      </c>
      <c r="AS13">
        <v>0</v>
      </c>
    </row>
    <row r="14" spans="1:111" x14ac:dyDescent="0.25">
      <c r="B14">
        <f>SUM($B3:B3)</f>
        <v>9403</v>
      </c>
      <c r="C14">
        <f>SUM($B3:C3)</f>
        <v>8903</v>
      </c>
      <c r="D14">
        <f>SUM($B3:D3)</f>
        <v>10403</v>
      </c>
      <c r="E14">
        <f>D14+E3</f>
        <v>11903</v>
      </c>
      <c r="F14">
        <f>E14+F3</f>
        <v>13403</v>
      </c>
      <c r="G14">
        <f>F14+G3</f>
        <v>14903</v>
      </c>
      <c r="H14">
        <f t="shared" ref="H14:T14" si="12">G14+H3+H5</f>
        <v>16518</v>
      </c>
      <c r="I14">
        <f t="shared" si="12"/>
        <v>25118</v>
      </c>
      <c r="J14">
        <f t="shared" si="12"/>
        <v>26426</v>
      </c>
      <c r="K14">
        <f t="shared" si="12"/>
        <v>27926</v>
      </c>
      <c r="L14">
        <f t="shared" si="12"/>
        <v>26146</v>
      </c>
      <c r="M14">
        <f t="shared" si="12"/>
        <v>29274</v>
      </c>
      <c r="N14">
        <f t="shared" si="12"/>
        <v>31688</v>
      </c>
      <c r="O14">
        <f t="shared" si="12"/>
        <v>34001</v>
      </c>
      <c r="P14">
        <f t="shared" si="12"/>
        <v>37183</v>
      </c>
      <c r="Q14">
        <f t="shared" si="12"/>
        <v>39041</v>
      </c>
      <c r="R14">
        <f t="shared" si="12"/>
        <v>39849</v>
      </c>
      <c r="S14">
        <f t="shared" si="12"/>
        <v>41991</v>
      </c>
      <c r="T14">
        <f t="shared" si="12"/>
        <v>42333</v>
      </c>
      <c r="U14">
        <f>T14+U3+U5</f>
        <v>45464</v>
      </c>
      <c r="V14">
        <f t="shared" ref="V14:AC14" si="13">U14+V3+V5</f>
        <v>47302</v>
      </c>
      <c r="W14">
        <f t="shared" si="13"/>
        <v>49150</v>
      </c>
      <c r="X14">
        <f t="shared" si="13"/>
        <v>51593</v>
      </c>
      <c r="Y14">
        <f t="shared" si="13"/>
        <v>53280</v>
      </c>
      <c r="Z14">
        <f t="shared" si="13"/>
        <v>55623</v>
      </c>
      <c r="AA14">
        <f t="shared" si="13"/>
        <v>57345</v>
      </c>
      <c r="AB14">
        <f t="shared" si="13"/>
        <v>58884</v>
      </c>
      <c r="AC14">
        <f t="shared" si="13"/>
        <v>53448</v>
      </c>
      <c r="AD14">
        <f>AC14+AD3+AD5</f>
        <v>53950</v>
      </c>
      <c r="AE14">
        <f>AD14+AE3+AE5</f>
        <v>66102</v>
      </c>
      <c r="AF14">
        <f>442500-AF13</f>
        <v>249831</v>
      </c>
    </row>
    <row r="15" spans="1:111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4</v>
      </c>
      <c r="S15" t="s">
        <v>16</v>
      </c>
      <c r="T15" t="s">
        <v>17</v>
      </c>
      <c r="U15" t="s">
        <v>18</v>
      </c>
      <c r="V15" t="s">
        <v>19</v>
      </c>
      <c r="W15" t="s">
        <v>20</v>
      </c>
      <c r="X15" t="s">
        <v>21</v>
      </c>
      <c r="Y15" t="s">
        <v>22</v>
      </c>
      <c r="Z15" t="s">
        <v>23</v>
      </c>
      <c r="AA15" t="s">
        <v>24</v>
      </c>
      <c r="AB15" t="s">
        <v>25</v>
      </c>
      <c r="AC15" t="s">
        <v>26</v>
      </c>
      <c r="AD15" t="s">
        <v>27</v>
      </c>
      <c r="AE15" t="s">
        <v>28</v>
      </c>
      <c r="AF15" t="s">
        <v>29</v>
      </c>
      <c r="AG15" t="s">
        <v>30</v>
      </c>
      <c r="AH15" t="s">
        <v>31</v>
      </c>
      <c r="AI15" t="s">
        <v>32</v>
      </c>
      <c r="AJ15" t="s">
        <v>33</v>
      </c>
      <c r="AK15" t="s">
        <v>34</v>
      </c>
      <c r="AL15" t="s">
        <v>35</v>
      </c>
      <c r="AM15" t="s">
        <v>36</v>
      </c>
      <c r="AN15" t="s">
        <v>37</v>
      </c>
      <c r="AO15" t="s">
        <v>38</v>
      </c>
      <c r="AP15" t="s">
        <v>39</v>
      </c>
      <c r="AQ15" t="s">
        <v>40</v>
      </c>
      <c r="AR15" t="s">
        <v>41</v>
      </c>
      <c r="AS15" t="s">
        <v>42</v>
      </c>
    </row>
    <row r="16" spans="1:111" x14ac:dyDescent="0.25">
      <c r="A16" s="4" t="s">
        <v>49</v>
      </c>
    </row>
    <row r="17" spans="5:80" ht="15" customHeight="1" x14ac:dyDescent="0.25">
      <c r="AG17">
        <f>AG13-150000</f>
        <v>48788</v>
      </c>
      <c r="AH17">
        <f t="shared" ref="AH17:AL17" si="14">AH13-150000</f>
        <v>48441</v>
      </c>
      <c r="AI17">
        <f t="shared" si="14"/>
        <v>51364</v>
      </c>
      <c r="AJ17">
        <f t="shared" si="14"/>
        <v>55493</v>
      </c>
      <c r="AK17">
        <f t="shared" si="14"/>
        <v>51543</v>
      </c>
      <c r="AL17">
        <f t="shared" si="14"/>
        <v>52193</v>
      </c>
      <c r="AM17">
        <f>AM20-150000</f>
        <v>50485.53</v>
      </c>
      <c r="AN17">
        <f t="shared" ref="AN17" si="15">AN20-150000</f>
        <v>59297.53</v>
      </c>
      <c r="AO17">
        <f>AO20-150000</f>
        <v>59488.53</v>
      </c>
      <c r="AP17">
        <v>75030</v>
      </c>
      <c r="AQ17">
        <f>AP17+30</f>
        <v>75060</v>
      </c>
      <c r="AR17">
        <f t="shared" ref="AR17:BI17" si="16">AQ17+30</f>
        <v>75090</v>
      </c>
      <c r="AS17">
        <f t="shared" si="16"/>
        <v>75120</v>
      </c>
      <c r="AT17">
        <f t="shared" si="16"/>
        <v>75150</v>
      </c>
      <c r="AU17">
        <f t="shared" si="16"/>
        <v>75180</v>
      </c>
      <c r="AV17">
        <f t="shared" si="16"/>
        <v>75210</v>
      </c>
      <c r="AW17">
        <f t="shared" si="16"/>
        <v>75240</v>
      </c>
      <c r="AX17">
        <f t="shared" si="16"/>
        <v>75270</v>
      </c>
      <c r="AY17">
        <f t="shared" si="16"/>
        <v>75300</v>
      </c>
      <c r="AZ17">
        <f t="shared" si="16"/>
        <v>75330</v>
      </c>
      <c r="BA17">
        <f t="shared" si="16"/>
        <v>75360</v>
      </c>
      <c r="BB17">
        <f t="shared" si="16"/>
        <v>75390</v>
      </c>
      <c r="BC17">
        <f t="shared" si="16"/>
        <v>75420</v>
      </c>
      <c r="BD17">
        <f t="shared" si="16"/>
        <v>75450</v>
      </c>
      <c r="BE17">
        <f t="shared" si="16"/>
        <v>75480</v>
      </c>
      <c r="BF17">
        <f t="shared" si="16"/>
        <v>75510</v>
      </c>
      <c r="BG17">
        <f t="shared" si="16"/>
        <v>75540</v>
      </c>
      <c r="BH17">
        <f t="shared" si="16"/>
        <v>75570</v>
      </c>
      <c r="BI17">
        <f t="shared" si="16"/>
        <v>75600</v>
      </c>
    </row>
    <row r="20" spans="5:80" x14ac:dyDescent="0.25">
      <c r="E20">
        <f>SUM($D2:E2)</f>
        <v>103667</v>
      </c>
      <c r="F20">
        <f>SUM($D2:F2)</f>
        <v>105697</v>
      </c>
      <c r="G20">
        <f>SUM($D2:G2)</f>
        <v>107727</v>
      </c>
      <c r="H20">
        <f>SUM($D2:H2)</f>
        <v>109757</v>
      </c>
      <c r="I20">
        <f t="shared" ref="I20:AB20" si="17">H20+I2+I7</f>
        <v>112757</v>
      </c>
      <c r="J20">
        <f t="shared" si="17"/>
        <v>114956</v>
      </c>
      <c r="K20">
        <f t="shared" si="17"/>
        <v>117146</v>
      </c>
      <c r="L20">
        <f t="shared" si="17"/>
        <v>104213</v>
      </c>
      <c r="M20">
        <f t="shared" si="17"/>
        <v>114232</v>
      </c>
      <c r="N20">
        <f t="shared" si="17"/>
        <v>118082</v>
      </c>
      <c r="O20">
        <f t="shared" si="17"/>
        <v>119738</v>
      </c>
      <c r="P20">
        <f t="shared" si="17"/>
        <v>125032</v>
      </c>
      <c r="Q20">
        <f t="shared" si="17"/>
        <v>130506</v>
      </c>
      <c r="R20">
        <f t="shared" si="17"/>
        <v>130815</v>
      </c>
      <c r="S20">
        <f t="shared" si="17"/>
        <v>133632</v>
      </c>
      <c r="T20">
        <f>S20+T2+T7</f>
        <v>142303</v>
      </c>
      <c r="U20">
        <f t="shared" si="17"/>
        <v>144881</v>
      </c>
      <c r="V20">
        <f>U20+V2+V7</f>
        <v>148861</v>
      </c>
      <c r="W20">
        <f t="shared" si="17"/>
        <v>154772</v>
      </c>
      <c r="X20">
        <f t="shared" si="17"/>
        <v>159773</v>
      </c>
      <c r="Y20">
        <f t="shared" si="17"/>
        <v>165295</v>
      </c>
      <c r="Z20">
        <f>Y20+Z2+Z7</f>
        <v>169600</v>
      </c>
      <c r="AA20">
        <f>Z20+AA2+AA7</f>
        <v>174420</v>
      </c>
      <c r="AB20">
        <f t="shared" si="17"/>
        <v>179637</v>
      </c>
      <c r="AC20">
        <f t="shared" ref="AC20:AS20" si="18">AB20+AC2+AC7</f>
        <v>181991</v>
      </c>
      <c r="AD20">
        <f t="shared" si="18"/>
        <v>184432</v>
      </c>
      <c r="AE20">
        <f>AD20+AE2+AE7</f>
        <v>188435</v>
      </c>
      <c r="AF20">
        <f t="shared" si="18"/>
        <v>191123</v>
      </c>
      <c r="AG20">
        <f t="shared" si="18"/>
        <v>197242</v>
      </c>
      <c r="AH20">
        <f t="shared" si="18"/>
        <v>196895</v>
      </c>
      <c r="AI20">
        <f t="shared" si="18"/>
        <v>199818</v>
      </c>
      <c r="AJ20">
        <f t="shared" si="18"/>
        <v>203947</v>
      </c>
      <c r="AK20">
        <v>203982</v>
      </c>
      <c r="AL20">
        <f>AK20+AL2+AL7</f>
        <v>204632</v>
      </c>
      <c r="AM20">
        <v>200485.53</v>
      </c>
      <c r="AN20">
        <v>209297.53</v>
      </c>
      <c r="AO20">
        <f>209488.53</f>
        <v>209488.53</v>
      </c>
      <c r="AP20">
        <f t="shared" si="18"/>
        <v>209488.53</v>
      </c>
      <c r="AQ20">
        <f t="shared" si="18"/>
        <v>209488.53</v>
      </c>
      <c r="AR20">
        <f t="shared" si="18"/>
        <v>209488.53</v>
      </c>
      <c r="AS20">
        <f t="shared" si="18"/>
        <v>209488.53</v>
      </c>
    </row>
    <row r="21" spans="5:80" ht="15.75" customHeight="1" x14ac:dyDescent="0.25">
      <c r="E21">
        <f>SUM($A3:E3)</f>
        <v>11903</v>
      </c>
      <c r="F21">
        <f>SUM($A3:F3)</f>
        <v>13403</v>
      </c>
      <c r="G21">
        <f>SUM($A3:G3)</f>
        <v>14903</v>
      </c>
      <c r="H21">
        <f>SUM($A3:H3)+H5</f>
        <v>16518</v>
      </c>
      <c r="I21">
        <f t="shared" ref="I21:AS21" si="19">H21+I3+I5</f>
        <v>25118</v>
      </c>
      <c r="J21" s="8">
        <f t="shared" si="19"/>
        <v>26426</v>
      </c>
      <c r="K21" s="8">
        <f t="shared" si="19"/>
        <v>27926</v>
      </c>
      <c r="L21" s="8">
        <f t="shared" si="19"/>
        <v>26146</v>
      </c>
      <c r="M21" s="8">
        <f t="shared" si="19"/>
        <v>29274</v>
      </c>
      <c r="N21" s="8">
        <f t="shared" si="19"/>
        <v>31688</v>
      </c>
      <c r="O21" s="8">
        <f t="shared" si="19"/>
        <v>34001</v>
      </c>
      <c r="P21" s="8">
        <f t="shared" si="19"/>
        <v>37183</v>
      </c>
      <c r="Q21" s="8">
        <f t="shared" si="19"/>
        <v>39041</v>
      </c>
      <c r="R21" s="8">
        <f t="shared" si="19"/>
        <v>39849</v>
      </c>
      <c r="S21" s="8">
        <f t="shared" si="19"/>
        <v>41991</v>
      </c>
      <c r="T21" s="8">
        <f t="shared" si="19"/>
        <v>42333</v>
      </c>
      <c r="U21" s="8">
        <f t="shared" si="19"/>
        <v>45464</v>
      </c>
      <c r="V21" s="8">
        <f t="shared" si="19"/>
        <v>47302</v>
      </c>
      <c r="W21" s="8">
        <f t="shared" si="19"/>
        <v>49150</v>
      </c>
      <c r="X21" s="8">
        <f t="shared" si="19"/>
        <v>51593</v>
      </c>
      <c r="Y21" s="8">
        <f t="shared" si="19"/>
        <v>53280</v>
      </c>
      <c r="Z21" s="8">
        <f t="shared" si="19"/>
        <v>55623</v>
      </c>
      <c r="AA21" s="8">
        <f t="shared" si="19"/>
        <v>57345</v>
      </c>
      <c r="AB21" s="8">
        <f t="shared" si="19"/>
        <v>58884</v>
      </c>
      <c r="AC21" s="8">
        <f>AB21+AC3+AC5</f>
        <v>53448</v>
      </c>
      <c r="AD21" s="8">
        <f t="shared" si="19"/>
        <v>53950</v>
      </c>
      <c r="AE21" s="8">
        <f t="shared" si="19"/>
        <v>66102</v>
      </c>
      <c r="AF21" s="8">
        <f t="shared" si="19"/>
        <v>66102</v>
      </c>
      <c r="AG21" s="8">
        <f t="shared" si="19"/>
        <v>66102</v>
      </c>
      <c r="AH21" s="8">
        <f>AG21+AH3+AH5</f>
        <v>66102</v>
      </c>
      <c r="AI21" s="8">
        <f>AH21+AI3+AI5</f>
        <v>66102</v>
      </c>
      <c r="AJ21" s="8">
        <f t="shared" si="19"/>
        <v>66102</v>
      </c>
      <c r="AK21" s="8">
        <f t="shared" si="19"/>
        <v>66102</v>
      </c>
      <c r="AL21" s="8">
        <f t="shared" si="19"/>
        <v>66102</v>
      </c>
      <c r="AM21" s="8">
        <f t="shared" si="19"/>
        <v>66102</v>
      </c>
      <c r="AN21" s="8">
        <f>AM21+AN3+AN5</f>
        <v>66102</v>
      </c>
      <c r="AO21" s="8">
        <f t="shared" si="19"/>
        <v>66102</v>
      </c>
      <c r="AP21" s="8">
        <f t="shared" si="19"/>
        <v>66102</v>
      </c>
      <c r="AQ21" s="8">
        <f t="shared" si="19"/>
        <v>66102</v>
      </c>
      <c r="AR21" s="8">
        <f t="shared" si="19"/>
        <v>66102</v>
      </c>
      <c r="AS21" s="8">
        <f t="shared" si="19"/>
        <v>66102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6"/>
      <c r="BW21" s="6"/>
      <c r="BX21" s="6"/>
      <c r="BY21" s="6"/>
      <c r="BZ21" s="6"/>
      <c r="CA21" s="6"/>
      <c r="CB21" s="6"/>
    </row>
    <row r="22" spans="5:80" ht="15.75" customHeight="1" x14ac:dyDescent="0.25"/>
    <row r="23" spans="5:80" ht="15.75" customHeight="1" x14ac:dyDescent="0.25">
      <c r="L23">
        <v>55190</v>
      </c>
      <c r="M23">
        <v>56349</v>
      </c>
      <c r="AA23" t="s">
        <v>94</v>
      </c>
      <c r="AB23" s="12" t="s">
        <v>93</v>
      </c>
      <c r="AD23" t="s">
        <v>51</v>
      </c>
      <c r="AG23" t="s">
        <v>53</v>
      </c>
    </row>
    <row r="24" spans="5:80" ht="15.75" customHeight="1" x14ac:dyDescent="0.25">
      <c r="AB24" s="5"/>
      <c r="AC24" s="5"/>
      <c r="AG24">
        <v>38550</v>
      </c>
    </row>
    <row r="25" spans="5:80" ht="15.75" customHeight="1" x14ac:dyDescent="0.25">
      <c r="AA25" t="s">
        <v>50</v>
      </c>
      <c r="AB25" s="5"/>
      <c r="AD25" t="s">
        <v>52</v>
      </c>
    </row>
    <row r="26" spans="5:80" ht="15.75" customHeight="1" x14ac:dyDescent="0.25">
      <c r="T26" s="17"/>
      <c r="U26" s="18"/>
      <c r="V26" s="18">
        <f>U28-W28</f>
        <v>1239</v>
      </c>
      <c r="W26" s="19"/>
      <c r="Z26" t="s">
        <v>54</v>
      </c>
      <c r="AD26">
        <v>1770000</v>
      </c>
      <c r="AG26" s="12"/>
    </row>
    <row r="27" spans="5:80" ht="15.75" customHeight="1" x14ac:dyDescent="0.25">
      <c r="T27" s="20"/>
      <c r="U27" s="21" t="s">
        <v>83</v>
      </c>
      <c r="V27" s="21"/>
      <c r="W27" s="22" t="s">
        <v>82</v>
      </c>
      <c r="Y27">
        <f>AD24+AB24+AA26</f>
        <v>0</v>
      </c>
      <c r="Z27">
        <f>Y27</f>
        <v>0</v>
      </c>
      <c r="AL27" s="30">
        <f>AL31*(1+AH32/100+AI32/100)</f>
        <v>358601.99999999994</v>
      </c>
      <c r="AN27" s="30">
        <f>AN25-AN23</f>
        <v>0</v>
      </c>
    </row>
    <row r="28" spans="5:80" ht="15.75" customHeight="1" x14ac:dyDescent="0.25">
      <c r="T28" s="20">
        <v>16000</v>
      </c>
      <c r="U28" s="21">
        <f>T28+T29+T30</f>
        <v>18221</v>
      </c>
      <c r="V28" s="21"/>
      <c r="W28" s="22">
        <f>SUM(W30:W69)</f>
        <v>16982</v>
      </c>
      <c r="Y28" t="s">
        <v>115</v>
      </c>
      <c r="Z28" t="s">
        <v>114</v>
      </c>
      <c r="AB28" s="21"/>
      <c r="AC28" s="21"/>
      <c r="AN28">
        <f>AN31+AL31+AJ31</f>
        <v>973500</v>
      </c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</row>
    <row r="29" spans="5:80" ht="15.75" customHeight="1" x14ac:dyDescent="0.25">
      <c r="T29" s="20">
        <v>2000</v>
      </c>
      <c r="U29" s="21"/>
      <c r="V29" s="21"/>
      <c r="W29" s="22"/>
      <c r="Y29">
        <v>6435</v>
      </c>
      <c r="Z29">
        <f>5500*1.17-Y29</f>
        <v>0</v>
      </c>
      <c r="AA29" t="s">
        <v>96</v>
      </c>
      <c r="AB29" s="21"/>
      <c r="AC29" s="21"/>
      <c r="AE29" t="s">
        <v>197</v>
      </c>
      <c r="AG29">
        <v>1.1000000000000001</v>
      </c>
      <c r="AH29">
        <v>1.2</v>
      </c>
      <c r="AI29">
        <v>1.3</v>
      </c>
      <c r="AJ29">
        <v>1.4</v>
      </c>
      <c r="AK29">
        <v>1.5</v>
      </c>
      <c r="AL29">
        <v>1.6</v>
      </c>
      <c r="AM29">
        <v>1.7</v>
      </c>
      <c r="AN29">
        <v>1.8</v>
      </c>
      <c r="AO29">
        <v>1.9</v>
      </c>
      <c r="AS29" s="30" t="s">
        <v>191</v>
      </c>
      <c r="AT29" s="30" t="s">
        <v>192</v>
      </c>
      <c r="AU29" s="30" t="s">
        <v>177</v>
      </c>
      <c r="AV29" s="30" t="s">
        <v>178</v>
      </c>
      <c r="AW29" s="30" t="s">
        <v>179</v>
      </c>
      <c r="AX29" s="30" t="s">
        <v>180</v>
      </c>
      <c r="AY29" s="30" t="s">
        <v>181</v>
      </c>
      <c r="AZ29" s="30" t="s">
        <v>182</v>
      </c>
      <c r="BA29" s="30" t="s">
        <v>183</v>
      </c>
      <c r="BB29" s="30" t="s">
        <v>184</v>
      </c>
      <c r="BC29" s="30" t="s">
        <v>193</v>
      </c>
      <c r="BD29" s="30" t="s">
        <v>186</v>
      </c>
      <c r="BE29" s="30" t="s">
        <v>187</v>
      </c>
      <c r="BF29" s="30" t="s">
        <v>194</v>
      </c>
      <c r="BG29" s="30" t="s">
        <v>195</v>
      </c>
      <c r="BH29" s="30" t="s">
        <v>196</v>
      </c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9"/>
    </row>
    <row r="30" spans="5:80" ht="15.75" customHeight="1" x14ac:dyDescent="0.25">
      <c r="T30" s="20">
        <v>221</v>
      </c>
      <c r="U30" s="21"/>
      <c r="V30" s="21" t="s">
        <v>61</v>
      </c>
      <c r="W30" s="22">
        <v>200</v>
      </c>
      <c r="Y30">
        <v>5200</v>
      </c>
      <c r="Z30">
        <f>5200-Y30</f>
        <v>0</v>
      </c>
      <c r="AA30" s="12" t="s">
        <v>55</v>
      </c>
      <c r="AB30" s="21"/>
      <c r="AC30" s="21"/>
      <c r="AE30" t="s">
        <v>198</v>
      </c>
      <c r="AF30">
        <f>SUM(AG30:AS30)</f>
        <v>1</v>
      </c>
      <c r="AG30">
        <v>0.25</v>
      </c>
      <c r="AH30">
        <f>0</f>
        <v>0</v>
      </c>
      <c r="AJ30">
        <v>0.2</v>
      </c>
      <c r="AL30">
        <v>0.2</v>
      </c>
      <c r="AN30">
        <v>0.15</v>
      </c>
      <c r="AS30" s="31">
        <v>0.2</v>
      </c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5"/>
    </row>
    <row r="31" spans="5:80" ht="15.75" customHeight="1" x14ac:dyDescent="0.25">
      <c r="T31" s="20"/>
      <c r="U31" s="21"/>
      <c r="V31" s="21" t="s">
        <v>62</v>
      </c>
      <c r="W31" s="22">
        <v>87</v>
      </c>
      <c r="Y31">
        <v>31000</v>
      </c>
      <c r="Z31">
        <f>31000-Y31</f>
        <v>0</v>
      </c>
      <c r="AA31" s="12" t="s">
        <v>56</v>
      </c>
      <c r="AB31" s="21"/>
      <c r="AC31" s="21"/>
      <c r="AE31" t="s">
        <v>199</v>
      </c>
      <c r="AF31">
        <f>SUM(AG31:AS31)</f>
        <v>1770000</v>
      </c>
      <c r="AG31">
        <f t="shared" ref="AG31:AO31" si="20">$AD$26*AG30</f>
        <v>442500</v>
      </c>
      <c r="AH31">
        <f t="shared" si="20"/>
        <v>0</v>
      </c>
      <c r="AI31">
        <f t="shared" si="20"/>
        <v>0</v>
      </c>
      <c r="AJ31">
        <f>$AD$26*AJ30</f>
        <v>354000</v>
      </c>
      <c r="AK31">
        <f t="shared" ref="AK31:AM31" si="21">$AD$26*AK30</f>
        <v>0</v>
      </c>
      <c r="AL31">
        <f t="shared" si="21"/>
        <v>354000</v>
      </c>
      <c r="AM31">
        <f t="shared" si="21"/>
        <v>0</v>
      </c>
      <c r="AN31">
        <f t="shared" si="20"/>
        <v>265500</v>
      </c>
      <c r="AO31">
        <f t="shared" si="20"/>
        <v>0</v>
      </c>
      <c r="AS31" s="30">
        <f>$AD$26*AS30</f>
        <v>354000</v>
      </c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9"/>
    </row>
    <row r="32" spans="5:80" ht="15.75" customHeight="1" x14ac:dyDescent="0.25">
      <c r="T32" s="20"/>
      <c r="U32" s="21"/>
      <c r="V32" s="21" t="s">
        <v>63</v>
      </c>
      <c r="W32" s="22">
        <v>500</v>
      </c>
      <c r="Y32">
        <v>3800</v>
      </c>
      <c r="Z32">
        <f>3800-Y32</f>
        <v>0</v>
      </c>
      <c r="AA32" s="12" t="s">
        <v>57</v>
      </c>
      <c r="AB32" s="21"/>
      <c r="AC32" s="21"/>
      <c r="AH32">
        <v>0.8</v>
      </c>
      <c r="AI32">
        <v>0.5</v>
      </c>
      <c r="AJ32">
        <v>1</v>
      </c>
      <c r="AK32">
        <v>1</v>
      </c>
      <c r="AL32">
        <v>0.5</v>
      </c>
      <c r="AM32">
        <v>1</v>
      </c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</row>
    <row r="33" spans="20:76" ht="15.75" customHeight="1" x14ac:dyDescent="0.25">
      <c r="T33" s="20"/>
      <c r="U33" s="21"/>
      <c r="V33" s="21" t="s">
        <v>64</v>
      </c>
      <c r="W33" s="22">
        <v>550</v>
      </c>
      <c r="Z33">
        <v>7000</v>
      </c>
      <c r="AA33" s="12" t="s">
        <v>58</v>
      </c>
      <c r="AE33" t="s">
        <v>200</v>
      </c>
      <c r="AF33">
        <f>טבלה3[[#This Row],[עמודה5]]+טבלה3[[#This Row],[עמודה7]]+טבלה3[[#This Row],[עמודה9]]+AG31+AS31</f>
        <v>1797897.53</v>
      </c>
      <c r="AJ33">
        <v>358661.73</v>
      </c>
      <c r="AK33">
        <f t="shared" ref="AK33" si="22">AK31*(1+AI32/100+AJ32/100)</f>
        <v>0</v>
      </c>
      <c r="AL33">
        <v>365654.32</v>
      </c>
      <c r="AM33">
        <f>AM31*(1+AK32/100+AL32/100)</f>
        <v>0</v>
      </c>
      <c r="AN33">
        <v>277081.48</v>
      </c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</row>
    <row r="34" spans="20:76" ht="15.75" customHeight="1" x14ac:dyDescent="0.25">
      <c r="T34" s="20"/>
      <c r="U34" s="21"/>
      <c r="V34" s="21" t="s">
        <v>65</v>
      </c>
      <c r="W34" s="22">
        <v>300</v>
      </c>
      <c r="AA34" s="12" t="s">
        <v>59</v>
      </c>
      <c r="AE34" t="s">
        <v>201</v>
      </c>
      <c r="AF34">
        <f>AF31</f>
        <v>1770000</v>
      </c>
      <c r="AG34">
        <f>AF34-AG31</f>
        <v>1327500</v>
      </c>
      <c r="AH34">
        <f t="shared" ref="AH34:AO34" si="23">AG34-AH31</f>
        <v>1327500</v>
      </c>
      <c r="AI34">
        <f t="shared" si="23"/>
        <v>1327500</v>
      </c>
      <c r="AJ34">
        <f t="shared" si="23"/>
        <v>973500</v>
      </c>
      <c r="AK34">
        <f t="shared" si="23"/>
        <v>973500</v>
      </c>
      <c r="AL34">
        <f t="shared" si="23"/>
        <v>619500</v>
      </c>
      <c r="AM34">
        <f t="shared" si="23"/>
        <v>619500</v>
      </c>
      <c r="AN34">
        <f t="shared" si="23"/>
        <v>354000</v>
      </c>
      <c r="AO34">
        <f t="shared" si="23"/>
        <v>354000</v>
      </c>
      <c r="AS34" s="31">
        <f>AO34-AS31</f>
        <v>0</v>
      </c>
      <c r="AT34" s="31">
        <f t="shared" ref="AT34:BE34" si="24">AP34-AT31</f>
        <v>0</v>
      </c>
      <c r="AU34" s="31">
        <f t="shared" si="24"/>
        <v>0</v>
      </c>
      <c r="AV34" s="31">
        <f t="shared" si="24"/>
        <v>0</v>
      </c>
      <c r="AW34" s="31">
        <f t="shared" si="24"/>
        <v>0</v>
      </c>
      <c r="AX34" s="31">
        <f t="shared" si="24"/>
        <v>0</v>
      </c>
      <c r="AY34" s="31">
        <f t="shared" si="24"/>
        <v>0</v>
      </c>
      <c r="AZ34" s="31">
        <f t="shared" si="24"/>
        <v>0</v>
      </c>
      <c r="BA34" s="31">
        <f t="shared" si="24"/>
        <v>0</v>
      </c>
      <c r="BB34" s="31">
        <f t="shared" si="24"/>
        <v>0</v>
      </c>
      <c r="BC34" s="31">
        <f t="shared" si="24"/>
        <v>0</v>
      </c>
      <c r="BD34" s="31">
        <f t="shared" si="24"/>
        <v>0</v>
      </c>
      <c r="BE34" s="31">
        <f t="shared" si="24"/>
        <v>0</v>
      </c>
      <c r="BF34" s="31">
        <f t="shared" ref="BF34" si="25">BB34-BF31</f>
        <v>0</v>
      </c>
      <c r="BG34" s="31">
        <f t="shared" ref="BG34" si="26">BC34-BG31</f>
        <v>0</v>
      </c>
      <c r="BH34" s="31">
        <f t="shared" ref="BH34" si="27">BD34-BH31</f>
        <v>0</v>
      </c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0:76" ht="15.75" customHeight="1" x14ac:dyDescent="0.25">
      <c r="T35" s="20"/>
      <c r="U35" s="21"/>
      <c r="V35" s="21" t="s">
        <v>66</v>
      </c>
      <c r="W35" s="22">
        <v>1500</v>
      </c>
      <c r="X35">
        <f>5000-Y35</f>
        <v>5000</v>
      </c>
      <c r="AA35" s="12" t="s">
        <v>97</v>
      </c>
      <c r="AE35" t="s">
        <v>202</v>
      </c>
      <c r="AJ35">
        <f>AJ33-AJ31</f>
        <v>4661.7299999999814</v>
      </c>
      <c r="AL35">
        <f>AL33-AL31</f>
        <v>11654.320000000007</v>
      </c>
      <c r="AN35">
        <f>AN33-AN31</f>
        <v>11581.479999999981</v>
      </c>
      <c r="AS35" s="30">
        <f>$AJ$35+$AL$35+$AN$35</f>
        <v>27897.52999999997</v>
      </c>
      <c r="AT35" s="30">
        <f>AS35-AT7</f>
        <v>27897.52999999997</v>
      </c>
      <c r="AU35" s="30">
        <f t="shared" ref="AU35:BH35" si="28">AT35-AU7</f>
        <v>22897.52999999997</v>
      </c>
      <c r="AV35" s="30">
        <f t="shared" si="28"/>
        <v>17897.52999999997</v>
      </c>
      <c r="AW35" s="30">
        <f t="shared" si="28"/>
        <v>12897.52999999997</v>
      </c>
      <c r="AX35" s="30">
        <f t="shared" si="28"/>
        <v>7897.5299999999697</v>
      </c>
      <c r="AY35" s="30">
        <f t="shared" si="28"/>
        <v>1647.5299999999697</v>
      </c>
      <c r="AZ35" s="30">
        <f t="shared" si="28"/>
        <v>-4602.4700000000303</v>
      </c>
      <c r="BA35" s="30">
        <f t="shared" si="28"/>
        <v>-10852.47000000003</v>
      </c>
      <c r="BB35" s="30">
        <f t="shared" si="28"/>
        <v>-17102.47000000003</v>
      </c>
      <c r="BC35" s="30">
        <f t="shared" si="28"/>
        <v>-23352.47000000003</v>
      </c>
      <c r="BD35" s="30">
        <f t="shared" si="28"/>
        <v>-29602.47000000003</v>
      </c>
      <c r="BE35" s="30">
        <f t="shared" si="28"/>
        <v>-37102.47000000003</v>
      </c>
      <c r="BF35" s="30">
        <f t="shared" si="28"/>
        <v>-44602.47000000003</v>
      </c>
      <c r="BG35" s="30">
        <f t="shared" si="28"/>
        <v>-52102.47000000003</v>
      </c>
      <c r="BH35" s="30">
        <f t="shared" si="28"/>
        <v>-59602.47000000003</v>
      </c>
    </row>
    <row r="36" spans="20:76" ht="15.75" customHeight="1" x14ac:dyDescent="0.25">
      <c r="T36" s="20"/>
      <c r="U36" s="21"/>
      <c r="V36" s="21" t="s">
        <v>79</v>
      </c>
      <c r="W36" s="22">
        <v>600</v>
      </c>
      <c r="Y36">
        <v>2100</v>
      </c>
      <c r="Z36">
        <f>2100-Y36</f>
        <v>0</v>
      </c>
      <c r="AA36" s="12" t="s">
        <v>116</v>
      </c>
      <c r="AE36" t="s">
        <v>203</v>
      </c>
      <c r="AP36">
        <f>AP17-$Z$63-$AS35+$V63</f>
        <v>-12767.52999999997</v>
      </c>
      <c r="AQ36">
        <f>AQ17-$Z$63-$AS35+$V63</f>
        <v>-12737.52999999997</v>
      </c>
      <c r="AR36">
        <f>AR17-$Z$63-$AS35+$V63</f>
        <v>-12707.52999999997</v>
      </c>
      <c r="AS36" s="31">
        <f>AS17-$Z$63-$AS35+$V63</f>
        <v>-12677.52999999997</v>
      </c>
      <c r="AT36" s="31">
        <f t="shared" ref="AT36:BH36" si="29">AT17-$Z$63-AT35+$V63</f>
        <v>-12647.52999999997</v>
      </c>
      <c r="AU36" s="31">
        <f t="shared" si="29"/>
        <v>-7617.5299999999697</v>
      </c>
      <c r="AV36" s="31">
        <f t="shared" si="29"/>
        <v>-2587.5299999999697</v>
      </c>
      <c r="AW36" s="31">
        <f t="shared" si="29"/>
        <v>2442.4700000000303</v>
      </c>
      <c r="AX36" s="31">
        <f t="shared" si="29"/>
        <v>7472.4700000000303</v>
      </c>
      <c r="AY36" s="31">
        <f t="shared" si="29"/>
        <v>13752.47000000003</v>
      </c>
      <c r="AZ36" s="31">
        <f t="shared" si="29"/>
        <v>20032.47000000003</v>
      </c>
      <c r="BA36" s="31">
        <f t="shared" si="29"/>
        <v>26312.47000000003</v>
      </c>
      <c r="BB36" s="31">
        <f t="shared" si="29"/>
        <v>32592.47000000003</v>
      </c>
      <c r="BC36" s="31">
        <f t="shared" si="29"/>
        <v>38872.47000000003</v>
      </c>
      <c r="BD36" s="31">
        <f t="shared" si="29"/>
        <v>45152.47000000003</v>
      </c>
      <c r="BE36" s="31">
        <f t="shared" si="29"/>
        <v>52682.47000000003</v>
      </c>
      <c r="BF36" s="31">
        <f t="shared" si="29"/>
        <v>60212.47000000003</v>
      </c>
      <c r="BG36" s="31">
        <f t="shared" si="29"/>
        <v>67742.47000000003</v>
      </c>
      <c r="BH36" s="31">
        <f t="shared" si="29"/>
        <v>75272.47000000003</v>
      </c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0:76" ht="15.75" customHeight="1" x14ac:dyDescent="0.25">
      <c r="T37" s="20"/>
      <c r="U37" s="21"/>
      <c r="V37" s="21" t="s">
        <v>67</v>
      </c>
      <c r="W37" s="22">
        <v>600</v>
      </c>
      <c r="Y37">
        <v>130</v>
      </c>
      <c r="Z37">
        <f>130-Y37</f>
        <v>0</v>
      </c>
      <c r="AA37" s="12" t="s">
        <v>118</v>
      </c>
      <c r="AE37" t="s">
        <v>204</v>
      </c>
      <c r="AS37" s="30">
        <f>AS36-$V$65+$V$64-$W$77</f>
        <v>-79677.52999999997</v>
      </c>
      <c r="AT37" s="30">
        <f t="shared" ref="AT37:BE37" si="30">AT36-$V$65+$V$64-$W$77</f>
        <v>-79647.52999999997</v>
      </c>
      <c r="AU37" s="30">
        <f t="shared" si="30"/>
        <v>-74617.52999999997</v>
      </c>
      <c r="AV37" s="30">
        <f t="shared" si="30"/>
        <v>-69587.52999999997</v>
      </c>
      <c r="AW37" s="30">
        <f t="shared" si="30"/>
        <v>-64557.52999999997</v>
      </c>
      <c r="AX37" s="30">
        <f t="shared" si="30"/>
        <v>-59527.52999999997</v>
      </c>
      <c r="AY37" s="30">
        <f t="shared" si="30"/>
        <v>-53247.52999999997</v>
      </c>
      <c r="AZ37" s="30">
        <f t="shared" si="30"/>
        <v>-46967.52999999997</v>
      </c>
      <c r="BA37" s="30">
        <f t="shared" si="30"/>
        <v>-40687.52999999997</v>
      </c>
      <c r="BB37" s="30">
        <f t="shared" si="30"/>
        <v>-34407.52999999997</v>
      </c>
      <c r="BC37" s="30">
        <f t="shared" si="30"/>
        <v>-28127.52999999997</v>
      </c>
      <c r="BD37" s="30">
        <f t="shared" si="30"/>
        <v>-21847.52999999997</v>
      </c>
      <c r="BE37" s="30">
        <f t="shared" si="30"/>
        <v>-14317.52999999997</v>
      </c>
      <c r="BF37" s="30">
        <f t="shared" ref="BF37" si="31">BF36-$V$65+$V$64-$W$77</f>
        <v>-6787.5299999999697</v>
      </c>
      <c r="BG37" s="30">
        <f t="shared" ref="BG37" si="32">BG36-$V$65+$V$64-$W$77</f>
        <v>742.47000000003027</v>
      </c>
      <c r="BH37" s="30">
        <f t="shared" ref="BH37" si="33">BH36-$V$65+$V$64-$W$77</f>
        <v>8272.4700000000303</v>
      </c>
    </row>
    <row r="38" spans="20:76" ht="15.75" customHeight="1" x14ac:dyDescent="0.25">
      <c r="T38" s="20"/>
      <c r="U38" s="21"/>
      <c r="V38" s="21" t="s">
        <v>68</v>
      </c>
      <c r="W38" s="22">
        <v>500</v>
      </c>
      <c r="Y38">
        <v>5850</v>
      </c>
      <c r="Z38">
        <f>5850-Y38</f>
        <v>0</v>
      </c>
      <c r="AA38" s="12" t="s">
        <v>119</v>
      </c>
    </row>
    <row r="39" spans="20:76" ht="15.75" customHeight="1" x14ac:dyDescent="0.25">
      <c r="T39" s="20"/>
      <c r="U39" s="21"/>
      <c r="V39" s="21" t="s">
        <v>46</v>
      </c>
      <c r="W39" s="22">
        <v>6300</v>
      </c>
      <c r="Y39">
        <v>0</v>
      </c>
      <c r="Z39">
        <f>1400-Y39</f>
        <v>1400</v>
      </c>
      <c r="AA39" t="s">
        <v>148</v>
      </c>
    </row>
    <row r="40" spans="20:76" ht="15.75" customHeight="1" x14ac:dyDescent="0.25">
      <c r="T40" s="20"/>
      <c r="U40" s="21"/>
      <c r="V40" s="21" t="s">
        <v>69</v>
      </c>
      <c r="W40" s="22">
        <v>750</v>
      </c>
      <c r="Y40">
        <f>SUM(Y29:Y39)</f>
        <v>54515</v>
      </c>
      <c r="Z40">
        <f>SUM(Z29:Z39)</f>
        <v>8400</v>
      </c>
      <c r="AA40" s="12" t="s">
        <v>60</v>
      </c>
    </row>
    <row r="41" spans="20:76" ht="15.75" customHeight="1" x14ac:dyDescent="0.25">
      <c r="T41" s="20"/>
      <c r="U41" s="21"/>
      <c r="V41" s="21" t="s">
        <v>70</v>
      </c>
      <c r="W41" s="22">
        <v>750</v>
      </c>
    </row>
    <row r="42" spans="20:76" ht="15.75" customHeight="1" x14ac:dyDescent="0.25">
      <c r="T42" s="20"/>
      <c r="U42" s="21"/>
      <c r="V42" s="21" t="s">
        <v>95</v>
      </c>
      <c r="W42" s="22">
        <v>300</v>
      </c>
    </row>
    <row r="43" spans="20:76" ht="15.75" customHeight="1" x14ac:dyDescent="0.25">
      <c r="T43" s="20"/>
      <c r="U43" s="21"/>
      <c r="V43" s="21" t="s">
        <v>71</v>
      </c>
      <c r="W43" s="22">
        <v>100</v>
      </c>
      <c r="Y43" s="28" t="s">
        <v>108</v>
      </c>
      <c r="Z43" s="28" t="s">
        <v>109</v>
      </c>
    </row>
    <row r="44" spans="20:76" ht="15.75" customHeight="1" x14ac:dyDescent="0.25">
      <c r="T44" s="20"/>
      <c r="U44" s="21"/>
      <c r="V44" s="21" t="s">
        <v>72</v>
      </c>
      <c r="W44" s="22">
        <v>110</v>
      </c>
    </row>
    <row r="45" spans="20:76" ht="15.75" customHeight="1" x14ac:dyDescent="0.25">
      <c r="T45" s="20"/>
      <c r="U45" s="21"/>
      <c r="V45" s="21" t="s">
        <v>73</v>
      </c>
      <c r="W45" s="22">
        <v>400</v>
      </c>
      <c r="Z45">
        <f>5000+1300+1000+1000</f>
        <v>8300</v>
      </c>
      <c r="AA45" t="s">
        <v>121</v>
      </c>
      <c r="AB45">
        <v>2</v>
      </c>
      <c r="AC45" s="29" t="s">
        <v>134</v>
      </c>
      <c r="AD45" s="29" t="s">
        <v>135</v>
      </c>
    </row>
    <row r="46" spans="20:76" ht="15.75" customHeight="1" x14ac:dyDescent="0.25">
      <c r="T46" s="20"/>
      <c r="U46" s="21"/>
      <c r="V46" s="21" t="s">
        <v>74</v>
      </c>
      <c r="W46" s="22">
        <v>500</v>
      </c>
      <c r="Y46">
        <f>2000+1300+850+850</f>
        <v>5000</v>
      </c>
      <c r="Z46">
        <f>3850+1200+1200+1200</f>
        <v>7450</v>
      </c>
      <c r="AA46" t="s">
        <v>104</v>
      </c>
      <c r="AB46">
        <v>3</v>
      </c>
      <c r="AC46" s="29" t="s">
        <v>136</v>
      </c>
      <c r="AD46" s="29" t="s">
        <v>137</v>
      </c>
    </row>
    <row r="47" spans="20:76" ht="15.75" customHeight="1" x14ac:dyDescent="0.25">
      <c r="T47" s="20"/>
      <c r="U47" s="21"/>
      <c r="V47" s="21" t="s">
        <v>75</v>
      </c>
      <c r="W47" s="22">
        <v>300</v>
      </c>
      <c r="Y47">
        <v>500</v>
      </c>
      <c r="Z47">
        <v>1200</v>
      </c>
      <c r="AA47" t="s">
        <v>110</v>
      </c>
      <c r="AB47">
        <v>4</v>
      </c>
      <c r="AC47" s="29" t="s">
        <v>164</v>
      </c>
    </row>
    <row r="48" spans="20:76" ht="15.75" customHeight="1" x14ac:dyDescent="0.25">
      <c r="T48" s="20"/>
      <c r="U48" s="21"/>
      <c r="V48" s="21" t="s">
        <v>76</v>
      </c>
      <c r="W48" s="22">
        <v>200</v>
      </c>
      <c r="Z48">
        <v>1600</v>
      </c>
      <c r="AA48" t="s">
        <v>111</v>
      </c>
      <c r="AB48">
        <v>5</v>
      </c>
      <c r="AC48" s="29" t="s">
        <v>165</v>
      </c>
      <c r="AD48" s="29" t="s">
        <v>171</v>
      </c>
    </row>
    <row r="49" spans="20:36" ht="15.75" customHeight="1" x14ac:dyDescent="0.25">
      <c r="T49" s="20"/>
      <c r="U49" s="21"/>
      <c r="V49" s="21"/>
      <c r="W49" s="22"/>
      <c r="Y49">
        <v>800</v>
      </c>
      <c r="Z49">
        <v>3000</v>
      </c>
      <c r="AA49" t="s">
        <v>107</v>
      </c>
      <c r="AB49">
        <v>6</v>
      </c>
      <c r="AC49" s="29" t="s">
        <v>142</v>
      </c>
      <c r="AD49" s="29" t="s">
        <v>143</v>
      </c>
    </row>
    <row r="50" spans="20:36" ht="15.75" customHeight="1" x14ac:dyDescent="0.25">
      <c r="T50" s="20"/>
      <c r="U50" s="21"/>
      <c r="V50" s="21" t="s">
        <v>77</v>
      </c>
      <c r="W50" s="22">
        <v>400</v>
      </c>
      <c r="Z50">
        <v>3000</v>
      </c>
      <c r="AA50" t="s">
        <v>106</v>
      </c>
      <c r="AB50">
        <v>7</v>
      </c>
      <c r="AC50" s="29" t="s">
        <v>172</v>
      </c>
      <c r="AD50" s="12" t="s">
        <v>168</v>
      </c>
    </row>
    <row r="51" spans="20:36" ht="15.75" customHeight="1" x14ac:dyDescent="0.25">
      <c r="T51" s="20"/>
      <c r="U51" s="21"/>
      <c r="V51" s="21" t="s">
        <v>78</v>
      </c>
      <c r="W51" s="22">
        <v>500</v>
      </c>
      <c r="Z51">
        <v>1300</v>
      </c>
      <c r="AA51" t="s">
        <v>122</v>
      </c>
      <c r="AB51">
        <v>8</v>
      </c>
      <c r="AC51" s="29"/>
      <c r="AE51" s="29" t="s">
        <v>149</v>
      </c>
    </row>
    <row r="52" spans="20:36" ht="15.75" customHeight="1" x14ac:dyDescent="0.25">
      <c r="T52" s="20"/>
      <c r="U52" s="21"/>
      <c r="V52" s="21" t="s">
        <v>80</v>
      </c>
      <c r="W52" s="22">
        <v>200</v>
      </c>
      <c r="Z52">
        <v>300</v>
      </c>
      <c r="AA52" t="s">
        <v>123</v>
      </c>
      <c r="AB52">
        <v>9</v>
      </c>
      <c r="AC52" s="12" t="s">
        <v>138</v>
      </c>
    </row>
    <row r="53" spans="20:36" ht="15.75" customHeight="1" x14ac:dyDescent="0.25">
      <c r="T53" s="20"/>
      <c r="U53" s="21"/>
      <c r="V53" s="21" t="s">
        <v>81</v>
      </c>
      <c r="W53" s="22">
        <v>635</v>
      </c>
      <c r="Y53">
        <f>550+550+550+550+500+500+3200+400+3500</f>
        <v>10300</v>
      </c>
      <c r="AA53" s="12" t="s">
        <v>130</v>
      </c>
      <c r="AB53">
        <v>10</v>
      </c>
      <c r="AC53" s="29" t="s">
        <v>169</v>
      </c>
      <c r="AD53" s="29" t="s">
        <v>161</v>
      </c>
      <c r="AE53" s="29" t="s">
        <v>162</v>
      </c>
      <c r="AF53" t="s">
        <v>163</v>
      </c>
    </row>
    <row r="54" spans="20:36" ht="15.75" customHeight="1" x14ac:dyDescent="0.25">
      <c r="T54" s="20"/>
      <c r="U54" s="21"/>
      <c r="V54" s="27" t="s">
        <v>117</v>
      </c>
      <c r="W54" s="22">
        <v>700</v>
      </c>
      <c r="Y54">
        <v>1000</v>
      </c>
      <c r="Z54">
        <v>3600</v>
      </c>
      <c r="AA54" t="s">
        <v>105</v>
      </c>
      <c r="AB54">
        <v>11</v>
      </c>
      <c r="AC54" s="29" t="s">
        <v>144</v>
      </c>
    </row>
    <row r="55" spans="20:36" ht="15.75" customHeight="1" x14ac:dyDescent="0.25">
      <c r="T55" s="20"/>
      <c r="U55" s="21"/>
      <c r="V55" s="21"/>
      <c r="W55" s="22"/>
      <c r="Z55">
        <v>400</v>
      </c>
      <c r="AA55" s="12" t="s">
        <v>126</v>
      </c>
      <c r="AB55">
        <v>12</v>
      </c>
      <c r="AC55" t="s">
        <v>173</v>
      </c>
      <c r="AD55" t="s">
        <v>140</v>
      </c>
    </row>
    <row r="56" spans="20:36" ht="15.75" customHeight="1" x14ac:dyDescent="0.25">
      <c r="T56" s="20"/>
      <c r="U56" s="21"/>
      <c r="V56" s="21"/>
      <c r="W56" s="22"/>
      <c r="Y56" s="12">
        <v>350</v>
      </c>
      <c r="Z56">
        <v>2000</v>
      </c>
      <c r="AA56" t="s">
        <v>120</v>
      </c>
      <c r="AB56">
        <v>13</v>
      </c>
      <c r="AC56" s="29" t="s">
        <v>139</v>
      </c>
      <c r="AD56" s="29" t="s">
        <v>146</v>
      </c>
    </row>
    <row r="57" spans="20:36" ht="15.75" customHeight="1" x14ac:dyDescent="0.25">
      <c r="T57" s="20"/>
      <c r="U57" s="21"/>
      <c r="V57" s="21"/>
      <c r="W57" s="22"/>
      <c r="Z57">
        <v>500</v>
      </c>
      <c r="AA57" t="s">
        <v>124</v>
      </c>
      <c r="AB57">
        <v>14</v>
      </c>
      <c r="AC57" s="29" t="s">
        <v>174</v>
      </c>
    </row>
    <row r="58" spans="20:36" ht="15.75" customHeight="1" x14ac:dyDescent="0.25">
      <c r="T58" s="20"/>
      <c r="U58" s="21"/>
      <c r="V58" s="21"/>
      <c r="W58" s="22"/>
      <c r="Z58">
        <v>600</v>
      </c>
      <c r="AA58" t="s">
        <v>112</v>
      </c>
      <c r="AB58">
        <v>15</v>
      </c>
      <c r="AC58" s="29" t="s">
        <v>141</v>
      </c>
      <c r="AD58" t="s">
        <v>175</v>
      </c>
    </row>
    <row r="59" spans="20:36" ht="15.75" customHeight="1" x14ac:dyDescent="0.25">
      <c r="T59" s="20"/>
      <c r="U59" s="21"/>
      <c r="V59" s="21"/>
      <c r="W59" s="22"/>
    </row>
    <row r="60" spans="20:36" ht="15.75" customHeight="1" x14ac:dyDescent="0.25">
      <c r="T60" s="23"/>
      <c r="U60" s="24"/>
      <c r="V60" s="24"/>
      <c r="W60" s="25"/>
    </row>
    <row r="61" spans="20:36" ht="15.75" customHeight="1" x14ac:dyDescent="0.25">
      <c r="Z61">
        <v>300</v>
      </c>
      <c r="AA61" s="12" t="s">
        <v>127</v>
      </c>
      <c r="AB61">
        <v>18</v>
      </c>
      <c r="AC61" s="29" t="s">
        <v>133</v>
      </c>
    </row>
    <row r="62" spans="20:36" ht="15.75" customHeight="1" x14ac:dyDescent="0.25"/>
    <row r="63" spans="20:36" ht="15.75" customHeight="1" x14ac:dyDescent="0.25">
      <c r="Z63" s="28">
        <f>SUM(Y44:Z61)+Z40</f>
        <v>59900</v>
      </c>
      <c r="AA63" s="28" t="s">
        <v>45</v>
      </c>
    </row>
    <row r="64" spans="20:36" ht="15.75" customHeight="1" x14ac:dyDescent="0.25">
      <c r="V64">
        <v>46000</v>
      </c>
      <c r="W64" t="s">
        <v>166</v>
      </c>
      <c r="AJ64" s="32"/>
    </row>
    <row r="65" spans="22:30" ht="15.75" customHeight="1" x14ac:dyDescent="0.25">
      <c r="V65">
        <v>100000</v>
      </c>
      <c r="W65" t="s">
        <v>167</v>
      </c>
    </row>
    <row r="66" spans="22:30" ht="15.75" customHeight="1" x14ac:dyDescent="0.25"/>
    <row r="67" spans="22:30" ht="15.75" customHeight="1" x14ac:dyDescent="0.25">
      <c r="V67" t="s">
        <v>170</v>
      </c>
      <c r="Z67">
        <v>1500</v>
      </c>
      <c r="AA67" s="12" t="s">
        <v>125</v>
      </c>
      <c r="AB67">
        <v>17</v>
      </c>
      <c r="AD67" s="29" t="s">
        <v>132</v>
      </c>
    </row>
    <row r="68" spans="22:30" ht="15.75" customHeight="1" x14ac:dyDescent="0.25">
      <c r="V68">
        <f>AS36-V65+V64-W77</f>
        <v>-79677.52999999997</v>
      </c>
      <c r="Z68">
        <v>1000</v>
      </c>
      <c r="AA68" s="12" t="s">
        <v>129</v>
      </c>
      <c r="AB68">
        <v>16</v>
      </c>
      <c r="AC68" s="29" t="s">
        <v>131</v>
      </c>
      <c r="AD68" s="12"/>
    </row>
    <row r="69" spans="22:30" ht="15.75" customHeight="1" x14ac:dyDescent="0.25"/>
    <row r="70" spans="22:30" ht="15.75" customHeight="1" x14ac:dyDescent="0.25"/>
    <row r="71" spans="22:30" ht="15.75" customHeight="1" x14ac:dyDescent="0.25">
      <c r="Z71" s="28">
        <f>SUM(Y56:Z69)</f>
        <v>66150</v>
      </c>
      <c r="AA71" s="28" t="s">
        <v>45</v>
      </c>
    </row>
    <row r="72" spans="22:30" ht="15.75" customHeight="1" x14ac:dyDescent="0.25"/>
    <row r="73" spans="22:30" ht="15.75" customHeight="1" x14ac:dyDescent="0.25">
      <c r="W73">
        <v>5000</v>
      </c>
      <c r="X73" s="29" t="s">
        <v>160</v>
      </c>
      <c r="Y73" t="s">
        <v>128</v>
      </c>
      <c r="Z73">
        <v>5000</v>
      </c>
      <c r="AA73" s="12" t="s">
        <v>128</v>
      </c>
      <c r="AC73" s="29" t="s">
        <v>160</v>
      </c>
    </row>
    <row r="74" spans="22:30" ht="15.75" customHeight="1" x14ac:dyDescent="0.25">
      <c r="W74">
        <v>3000</v>
      </c>
      <c r="X74" s="29" t="s">
        <v>156</v>
      </c>
      <c r="Y74" t="s">
        <v>155</v>
      </c>
      <c r="Z74">
        <v>500</v>
      </c>
      <c r="AA74" t="s">
        <v>147</v>
      </c>
      <c r="AC74" t="s">
        <v>158</v>
      </c>
    </row>
    <row r="75" spans="22:30" ht="15.75" customHeight="1" x14ac:dyDescent="0.25">
      <c r="W75">
        <v>5000</v>
      </c>
      <c r="X75" s="29" t="s">
        <v>153</v>
      </c>
      <c r="Y75" t="s">
        <v>159</v>
      </c>
      <c r="Z75">
        <v>2000</v>
      </c>
      <c r="AA75" t="s">
        <v>150</v>
      </c>
      <c r="AC75" s="29" t="s">
        <v>154</v>
      </c>
    </row>
    <row r="76" spans="22:30" ht="15.75" customHeight="1" x14ac:dyDescent="0.25">
      <c r="W76">
        <v>1500</v>
      </c>
      <c r="X76" s="29" t="s">
        <v>145</v>
      </c>
      <c r="Y76" t="s">
        <v>113</v>
      </c>
      <c r="Z76">
        <v>500</v>
      </c>
      <c r="AA76" t="s">
        <v>151</v>
      </c>
      <c r="AC76" t="s">
        <v>157</v>
      </c>
    </row>
    <row r="77" spans="22:30" ht="15.75" customHeight="1" x14ac:dyDescent="0.25">
      <c r="W77" s="28">
        <f>SUM(W71:W75)</f>
        <v>13000</v>
      </c>
      <c r="X77" s="28" t="s">
        <v>45</v>
      </c>
      <c r="Z77">
        <v>9000</v>
      </c>
      <c r="AA77" t="s">
        <v>152</v>
      </c>
      <c r="AC77" t="s">
        <v>153</v>
      </c>
    </row>
    <row r="78" spans="22:30" ht="15.75" customHeight="1" x14ac:dyDescent="0.25">
      <c r="Z78">
        <v>1500</v>
      </c>
      <c r="AA78" t="s">
        <v>113</v>
      </c>
      <c r="AC78" s="29" t="s">
        <v>145</v>
      </c>
    </row>
    <row r="79" spans="22:30" ht="15.75" customHeight="1" x14ac:dyDescent="0.25">
      <c r="Z79" s="28">
        <f>SUM(Z73:Z77)</f>
        <v>17000</v>
      </c>
      <c r="AA79" s="28" t="s">
        <v>45</v>
      </c>
    </row>
    <row r="80" spans="22:3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honeticPr fontId="5" type="noConversion"/>
  <hyperlinks>
    <hyperlink ref="AD45" r:id="rId1" xr:uid="{51BDA91D-9F1B-4C2F-9396-C1B9738C3AF4}"/>
    <hyperlink ref="AC46" r:id="rId2" xr:uid="{54A3908A-6D2D-4AA9-ABF6-9FF8F62FEC63}"/>
    <hyperlink ref="AD56" r:id="rId3" xr:uid="{A2C728BC-758B-4B50-8A64-CA4EF5B91B53}"/>
    <hyperlink ref="AC78" r:id="rId4" display="https://shtihim-online.co.il/product/%D7%A9%D7%98%D7%99%D7%97-%D7%A9%D7%90%D7%92%D7%99-%D7%93%D7%92%D7%9D-cosy-%D7%90%D7%A4%D7%95%D7%A8-%D7%91%D7%94%D7%99%D7%A8/?gclid=CjwKCAiA55mPBhBOEiwANmzoQmaTsQRNYW3I8tqpRwNOtQ-m3PUDT4dnfJjXFVoE1n80-mgg3h5dvRoC3EMQAvD_BwE" xr:uid="{8C857D08-23A8-4195-89FB-70B43BD871C3}"/>
    <hyperlink ref="AC58" r:id="rId5" xr:uid="{CD14BBC3-008D-490F-9028-3D7741B2952E}"/>
    <hyperlink ref="AC68" r:id="rId6" xr:uid="{EF29044F-3976-44DD-930E-337703F5183B}"/>
    <hyperlink ref="AD67" r:id="rId7" xr:uid="{DC73510A-A4A8-46F7-9B6B-163D952EC929}"/>
    <hyperlink ref="AC45" r:id="rId8" xr:uid="{17595F44-0397-4B4D-8986-B99DB66A0641}"/>
    <hyperlink ref="AD49" r:id="rId9" xr:uid="{DCB9E679-CF46-4A81-9F9F-6E731C79E4BF}"/>
    <hyperlink ref="AC49" r:id="rId10" xr:uid="{9CB9C4E0-52B9-444E-8DAF-E03B352E8988}"/>
    <hyperlink ref="AC56" r:id="rId11" xr:uid="{6B36D073-A61C-4D2D-AA5B-D030C8F80E02}"/>
    <hyperlink ref="AE51" r:id="rId12" xr:uid="{0F0C100E-29CB-451F-9A73-822F22E3A641}"/>
    <hyperlink ref="AC53" r:id="rId13" xr:uid="{754D4432-E024-4375-81B9-638CEC17EA08}"/>
    <hyperlink ref="AC75" r:id="rId14" xr:uid="{0F4CFBF6-EB69-4BC6-8F2F-055A4DF9AC0E}"/>
    <hyperlink ref="X74" r:id="rId15" xr:uid="{D565CB5E-0156-4AD0-A04A-0242832C66D3}"/>
    <hyperlink ref="X76" r:id="rId16" display="https://shtihim-online.co.il/product/%D7%A9%D7%98%D7%99%D7%97-%D7%A9%D7%90%D7%92%D7%99-%D7%93%D7%92%D7%9D-cosy-%D7%90%D7%A4%D7%95%D7%A8-%D7%91%D7%94%D7%99%D7%A8/?gclid=CjwKCAiA55mPBhBOEiwANmzoQmaTsQRNYW3I8tqpRwNOtQ-m3PUDT4dnfJjXFVoE1n80-mgg3h5dvRoC3EMQAvD_BwE" xr:uid="{02CD104F-9679-448D-8A99-5E5030D30B62}"/>
    <hyperlink ref="AD46" r:id="rId17" xr:uid="{AFD9E709-15BF-4290-A1BA-D6903900C60F}"/>
    <hyperlink ref="AC47" r:id="rId18" xr:uid="{EE44254A-FB7F-43B7-AAE5-D35D1DEDA668}"/>
    <hyperlink ref="AC61" r:id="rId19" xr:uid="{65033E40-F146-4B26-A8DC-2DB2B65ECD75}"/>
    <hyperlink ref="AC54" r:id="rId20" xr:uid="{0C9FE862-511D-49A2-811E-70F1C1B157BB}"/>
    <hyperlink ref="AC50" r:id="rId21" xr:uid="{A1E6E916-07BA-458F-A91A-5ACDC6F9C4C8}"/>
    <hyperlink ref="AC48" r:id="rId22" xr:uid="{F7A273BE-E4A2-4B83-B6AC-A6D936F2B616}"/>
    <hyperlink ref="AD53" r:id="rId23" xr:uid="{F8C13620-8B58-479A-BFF1-9764B4ABE916}"/>
    <hyperlink ref="AD48" r:id="rId24" xr:uid="{4668B847-86B8-4201-B3E3-5E056F97CFD7}"/>
    <hyperlink ref="X75" r:id="rId25" xr:uid="{02C6E952-1032-4362-880E-D6E9D36206F1}"/>
  </hyperlinks>
  <pageMargins left="0.7" right="0.7" top="0.75" bottom="0.75" header="0" footer="0"/>
  <pageSetup orientation="landscape"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1:A100"/>
  <sheetViews>
    <sheetView workbookViewId="0"/>
  </sheetViews>
  <sheetFormatPr defaultColWidth="14.42578125" defaultRowHeight="15" customHeight="1" x14ac:dyDescent="0.25"/>
  <cols>
    <col min="1" max="6" width="14.42578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ovadia</cp:lastModifiedBy>
  <dcterms:created xsi:type="dcterms:W3CDTF">2019-06-01T10:16:37Z</dcterms:created>
  <dcterms:modified xsi:type="dcterms:W3CDTF">2022-10-24T11:25:20Z</dcterms:modified>
</cp:coreProperties>
</file>