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https://vub-my.sharepoint.com/personal/mostafa_firouz_vub_be/Documents/"/>
    </mc:Choice>
  </mc:AlternateContent>
  <xr:revisionPtr revIDLastSave="12" documentId="8_{B37435E5-7E7D-4AA4-B81D-8639FDD44BE3}" xr6:coauthVersionLast="47" xr6:coauthVersionMax="47" xr10:uidLastSave="{39A09C3A-9596-419B-A87F-E3408B2AB39C}"/>
  <bookViews>
    <workbookView xWindow="-98" yWindow="-98" windowWidth="24496" windowHeight="15675" xr2:uid="{2C83EF66-06C3-4A20-A217-CF38E7C9C18A}"/>
  </bookViews>
  <sheets>
    <sheet name="Ratio " sheetId="1" r:id="rId1"/>
    <sheet name="Orginal Tables" sheetId="3" r:id="rId2"/>
    <sheet name="Income Statement" sheetId="4" r:id="rId3"/>
    <sheet name="Blance sheet" sheetId="5" r:id="rId4"/>
    <sheet name="Comparing Qs" sheetId="6" r:id="rId5"/>
    <sheet name="Cashflow"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 i="4" l="1"/>
  <c r="F55" i="1"/>
  <c r="B24" i="8"/>
  <c r="C55" i="1"/>
  <c r="D24" i="8"/>
  <c r="E24" i="8"/>
  <c r="C24" i="8"/>
  <c r="E7" i="4"/>
  <c r="T58" i="5"/>
  <c r="U58" i="5"/>
  <c r="V58" i="5"/>
  <c r="W58" i="5"/>
  <c r="X58" i="5"/>
  <c r="T60" i="5"/>
  <c r="U60" i="5"/>
  <c r="V60" i="5"/>
  <c r="W60" i="5"/>
  <c r="X60" i="5"/>
  <c r="T62" i="5"/>
  <c r="U62" i="5"/>
  <c r="V62" i="5"/>
  <c r="W62" i="5"/>
  <c r="X62" i="5"/>
  <c r="T64" i="5"/>
  <c r="U64" i="5"/>
  <c r="V64" i="5"/>
  <c r="W64" i="5"/>
  <c r="X64" i="5"/>
  <c r="T66" i="5"/>
  <c r="U66" i="5"/>
  <c r="V66" i="5"/>
  <c r="W66" i="5"/>
  <c r="X66" i="5"/>
  <c r="T68" i="5"/>
  <c r="U68" i="5"/>
  <c r="V68" i="5"/>
  <c r="W68" i="5"/>
  <c r="X68" i="5"/>
  <c r="T70" i="5"/>
  <c r="U70" i="5"/>
  <c r="V70" i="5"/>
  <c r="W70" i="5"/>
  <c r="X70" i="5"/>
  <c r="T72" i="5"/>
  <c r="U72" i="5"/>
  <c r="V72" i="5"/>
  <c r="W72" i="5"/>
  <c r="X72" i="5"/>
  <c r="T74" i="5"/>
  <c r="U74" i="5"/>
  <c r="V74" i="5"/>
  <c r="W74" i="5"/>
  <c r="X74" i="5"/>
  <c r="T76" i="5"/>
  <c r="U76" i="5"/>
  <c r="V76" i="5"/>
  <c r="W76" i="5"/>
  <c r="X76" i="5"/>
  <c r="T78" i="5"/>
  <c r="U78" i="5"/>
  <c r="V78" i="5"/>
  <c r="W78" i="5"/>
  <c r="X78" i="5"/>
  <c r="T80" i="5"/>
  <c r="U80" i="5"/>
  <c r="V80" i="5"/>
  <c r="W80" i="5"/>
  <c r="X80" i="5"/>
  <c r="T82" i="5"/>
  <c r="U82" i="5"/>
  <c r="V82" i="5"/>
  <c r="W82" i="5"/>
  <c r="X82" i="5"/>
  <c r="T85" i="5"/>
  <c r="U85" i="5"/>
  <c r="V85" i="5"/>
  <c r="W85" i="5"/>
  <c r="X85" i="5"/>
  <c r="T87" i="5"/>
  <c r="U87" i="5"/>
  <c r="V87" i="5"/>
  <c r="W87" i="5"/>
  <c r="X87" i="5"/>
  <c r="T89" i="5"/>
  <c r="U89" i="5"/>
  <c r="V89" i="5"/>
  <c r="W89" i="5"/>
  <c r="X89" i="5"/>
  <c r="T91" i="5"/>
  <c r="U91" i="5"/>
  <c r="V91" i="5"/>
  <c r="W91" i="5"/>
  <c r="X91" i="5"/>
  <c r="T93" i="5"/>
  <c r="U93" i="5"/>
  <c r="V93" i="5"/>
  <c r="W93" i="5"/>
  <c r="X93" i="5"/>
  <c r="T95" i="5"/>
  <c r="U95" i="5"/>
  <c r="V95" i="5"/>
  <c r="W95" i="5"/>
  <c r="X95" i="5"/>
  <c r="T97" i="5"/>
  <c r="U97" i="5"/>
  <c r="V97" i="5"/>
  <c r="W97" i="5"/>
  <c r="X97" i="5"/>
  <c r="T99" i="5"/>
  <c r="U99" i="5"/>
  <c r="V99" i="5"/>
  <c r="W99" i="5"/>
  <c r="X99" i="5"/>
  <c r="T101" i="5"/>
  <c r="U101" i="5"/>
  <c r="V101" i="5"/>
  <c r="W101" i="5"/>
  <c r="X101" i="5"/>
  <c r="T103" i="5"/>
  <c r="U103" i="5"/>
  <c r="V103" i="5"/>
  <c r="W103" i="5"/>
  <c r="X103" i="5"/>
  <c r="T105" i="5"/>
  <c r="U105" i="5"/>
  <c r="V105" i="5"/>
  <c r="W105" i="5"/>
  <c r="X105" i="5"/>
  <c r="T107" i="5"/>
  <c r="U107" i="5"/>
  <c r="V107" i="5"/>
  <c r="W107" i="5"/>
  <c r="X107" i="5"/>
  <c r="T109" i="5"/>
  <c r="U109" i="5"/>
  <c r="V109" i="5"/>
  <c r="W109" i="5"/>
  <c r="X109" i="5"/>
  <c r="T111" i="5"/>
  <c r="U111" i="5"/>
  <c r="V111" i="5"/>
  <c r="W111" i="5"/>
  <c r="X111" i="5"/>
  <c r="T113" i="5"/>
  <c r="U113" i="5"/>
  <c r="V113" i="5"/>
  <c r="W113" i="5"/>
  <c r="X113" i="5"/>
  <c r="T115" i="5"/>
  <c r="U115" i="5"/>
  <c r="V115" i="5"/>
  <c r="W115" i="5"/>
  <c r="X115" i="5"/>
  <c r="U56" i="5"/>
  <c r="V56" i="5"/>
  <c r="W56" i="5"/>
  <c r="X56" i="5"/>
  <c r="T56" i="5"/>
  <c r="T6" i="5"/>
  <c r="U6" i="5"/>
  <c r="V6" i="5"/>
  <c r="W6" i="5"/>
  <c r="X6" i="5"/>
  <c r="T8" i="5"/>
  <c r="U8" i="5"/>
  <c r="V8" i="5"/>
  <c r="W8" i="5"/>
  <c r="X8" i="5"/>
  <c r="T10" i="5"/>
  <c r="U10" i="5"/>
  <c r="V10" i="5"/>
  <c r="W10" i="5"/>
  <c r="X10" i="5"/>
  <c r="T12" i="5"/>
  <c r="U12" i="5"/>
  <c r="V12" i="5"/>
  <c r="W12" i="5"/>
  <c r="X12" i="5"/>
  <c r="T14" i="5"/>
  <c r="U14" i="5"/>
  <c r="V14" i="5"/>
  <c r="W14" i="5"/>
  <c r="X14" i="5"/>
  <c r="T16" i="5"/>
  <c r="U16" i="5"/>
  <c r="V16" i="5"/>
  <c r="W16" i="5"/>
  <c r="X16" i="5"/>
  <c r="T18" i="5"/>
  <c r="U18" i="5"/>
  <c r="V18" i="5"/>
  <c r="W18" i="5"/>
  <c r="X18" i="5"/>
  <c r="T20" i="5"/>
  <c r="U20" i="5"/>
  <c r="V20" i="5"/>
  <c r="W20" i="5"/>
  <c r="X20" i="5"/>
  <c r="T22" i="5"/>
  <c r="U22" i="5"/>
  <c r="V22" i="5"/>
  <c r="W22" i="5"/>
  <c r="X22" i="5"/>
  <c r="T24" i="5"/>
  <c r="U24" i="5"/>
  <c r="V24" i="5"/>
  <c r="W24" i="5"/>
  <c r="X24" i="5"/>
  <c r="T26" i="5"/>
  <c r="U26" i="5"/>
  <c r="V26" i="5"/>
  <c r="W26" i="5"/>
  <c r="X26" i="5"/>
  <c r="T28" i="5"/>
  <c r="U28" i="5"/>
  <c r="V28" i="5"/>
  <c r="W28" i="5"/>
  <c r="X28" i="5"/>
  <c r="T30" i="5"/>
  <c r="U30" i="5"/>
  <c r="V30" i="5"/>
  <c r="W30" i="5"/>
  <c r="X30" i="5"/>
  <c r="T32" i="5"/>
  <c r="U32" i="5"/>
  <c r="V32" i="5"/>
  <c r="W32" i="5"/>
  <c r="X32" i="5"/>
  <c r="T34" i="5"/>
  <c r="U34" i="5"/>
  <c r="V34" i="5"/>
  <c r="W34" i="5"/>
  <c r="X34" i="5"/>
  <c r="T36" i="5"/>
  <c r="U36" i="5"/>
  <c r="V36" i="5"/>
  <c r="W36" i="5"/>
  <c r="X36" i="5"/>
  <c r="T38" i="5"/>
  <c r="U38" i="5"/>
  <c r="V38" i="5"/>
  <c r="W38" i="5"/>
  <c r="X38" i="5"/>
  <c r="T40" i="5"/>
  <c r="U40" i="5"/>
  <c r="V40" i="5"/>
  <c r="W40" i="5"/>
  <c r="X40" i="5"/>
  <c r="T42" i="5"/>
  <c r="U42" i="5"/>
  <c r="V42" i="5"/>
  <c r="W42" i="5"/>
  <c r="X42" i="5"/>
  <c r="T44" i="5"/>
  <c r="U44" i="5"/>
  <c r="V44" i="5"/>
  <c r="W44" i="5"/>
  <c r="X44" i="5"/>
  <c r="T46" i="5"/>
  <c r="U46" i="5"/>
  <c r="V46" i="5"/>
  <c r="W46" i="5"/>
  <c r="X46" i="5"/>
  <c r="T48" i="5"/>
  <c r="U48" i="5"/>
  <c r="V48" i="5"/>
  <c r="W48" i="5"/>
  <c r="X48" i="5"/>
  <c r="T50" i="5"/>
  <c r="U50" i="5"/>
  <c r="V50" i="5"/>
  <c r="W50" i="5"/>
  <c r="X50" i="5"/>
  <c r="T52" i="5"/>
  <c r="U52" i="5"/>
  <c r="V52" i="5"/>
  <c r="W52" i="5"/>
  <c r="X52" i="5"/>
  <c r="T54" i="5"/>
  <c r="U54" i="5"/>
  <c r="V54" i="5"/>
  <c r="W54" i="5"/>
  <c r="X54" i="5"/>
  <c r="T4" i="5"/>
  <c r="U4" i="5"/>
  <c r="V4" i="5"/>
  <c r="W4" i="5"/>
  <c r="X4" i="5"/>
  <c r="D72" i="5"/>
  <c r="E72" i="5"/>
  <c r="F72" i="5"/>
  <c r="G72" i="5"/>
  <c r="E68" i="5"/>
  <c r="F68" i="5"/>
  <c r="G68" i="5"/>
  <c r="D68" i="5"/>
  <c r="E64" i="5"/>
  <c r="F64" i="5"/>
  <c r="G64" i="5"/>
  <c r="D64" i="5"/>
  <c r="E60" i="5"/>
  <c r="F60" i="5"/>
  <c r="G60" i="5"/>
  <c r="D60" i="5"/>
  <c r="E56" i="5"/>
  <c r="F56" i="5"/>
  <c r="G56" i="5"/>
  <c r="D56" i="5"/>
  <c r="E54" i="5"/>
  <c r="F54" i="5"/>
  <c r="G54" i="5"/>
  <c r="D54" i="5"/>
  <c r="E50" i="5"/>
  <c r="F50" i="5"/>
  <c r="G50" i="5"/>
  <c r="D50" i="5"/>
  <c r="E46" i="5"/>
  <c r="F46" i="5"/>
  <c r="G46" i="5"/>
  <c r="D46" i="5"/>
  <c r="E42" i="5"/>
  <c r="F42" i="5"/>
  <c r="G42" i="5"/>
  <c r="D42" i="5"/>
  <c r="E38" i="5"/>
  <c r="F38" i="5"/>
  <c r="G38" i="5"/>
  <c r="D38" i="5"/>
  <c r="E34" i="5"/>
  <c r="F34" i="5"/>
  <c r="G34" i="5"/>
  <c r="D34" i="5"/>
  <c r="E30" i="5"/>
  <c r="F30" i="5"/>
  <c r="G30" i="5"/>
  <c r="D30" i="5"/>
  <c r="G26" i="5"/>
  <c r="F26" i="5"/>
  <c r="E26" i="5"/>
  <c r="D26" i="5"/>
  <c r="E22" i="5"/>
  <c r="F22" i="5"/>
  <c r="G22" i="5"/>
  <c r="D22" i="5"/>
  <c r="E18" i="5"/>
  <c r="F18" i="5"/>
  <c r="G18" i="5"/>
  <c r="D18" i="5"/>
  <c r="F5" i="4"/>
  <c r="E5" i="4"/>
  <c r="E14" i="5"/>
  <c r="F14" i="5"/>
  <c r="G14" i="5"/>
  <c r="D14" i="5"/>
  <c r="E10" i="5"/>
  <c r="F10" i="5"/>
  <c r="G10" i="5"/>
  <c r="D10" i="5"/>
  <c r="D6" i="5"/>
  <c r="E6" i="5"/>
  <c r="F6" i="5"/>
  <c r="G6" i="5"/>
  <c r="G41" i="4"/>
  <c r="F41" i="4"/>
  <c r="E41" i="4"/>
  <c r="F45" i="4"/>
  <c r="E45" i="4"/>
  <c r="G49" i="4"/>
  <c r="F49" i="4"/>
  <c r="E49" i="4"/>
  <c r="E47" i="4"/>
  <c r="G43" i="4"/>
  <c r="F43" i="4"/>
  <c r="E43" i="4"/>
  <c r="G39" i="4"/>
  <c r="F39" i="4"/>
  <c r="E39" i="4"/>
  <c r="G37" i="4"/>
  <c r="F37" i="4"/>
  <c r="E37" i="4"/>
  <c r="G33" i="4"/>
  <c r="F33" i="4"/>
  <c r="E33" i="4"/>
  <c r="G31" i="4"/>
  <c r="F31" i="4"/>
  <c r="E31" i="4"/>
  <c r="G29" i="4"/>
  <c r="F29" i="4"/>
  <c r="E29" i="4"/>
  <c r="G27" i="4"/>
  <c r="F27" i="4"/>
  <c r="E27" i="4"/>
  <c r="G25" i="4"/>
  <c r="F25" i="4"/>
  <c r="E25" i="4"/>
  <c r="G23" i="4"/>
  <c r="F23" i="4"/>
  <c r="E23" i="4"/>
  <c r="F21" i="4"/>
  <c r="E21" i="4"/>
  <c r="F19" i="4"/>
  <c r="E19" i="4"/>
  <c r="G17" i="4"/>
  <c r="F17" i="4"/>
  <c r="E17" i="4"/>
  <c r="G15" i="4"/>
  <c r="F15" i="4"/>
  <c r="E15" i="4"/>
  <c r="G13" i="4"/>
  <c r="F13" i="4"/>
  <c r="E13" i="4"/>
  <c r="G11" i="4"/>
  <c r="F11" i="4"/>
  <c r="E11" i="4"/>
  <c r="G9" i="4"/>
  <c r="F9" i="4"/>
  <c r="E9" i="4"/>
  <c r="G7" i="4"/>
  <c r="F7" i="4"/>
  <c r="G5" i="4"/>
  <c r="N49" i="4"/>
  <c r="O49" i="4"/>
  <c r="P49" i="4"/>
  <c r="M49" i="4"/>
  <c r="N47" i="4"/>
  <c r="O47" i="4"/>
  <c r="P47" i="4"/>
  <c r="M47" i="4"/>
  <c r="N45" i="4"/>
  <c r="O45" i="4"/>
  <c r="P45" i="4"/>
  <c r="M45" i="4"/>
  <c r="N43" i="4"/>
  <c r="O43" i="4"/>
  <c r="P43" i="4"/>
  <c r="M43" i="4"/>
  <c r="N41" i="4"/>
  <c r="O41" i="4"/>
  <c r="P41" i="4"/>
  <c r="M41" i="4"/>
  <c r="N39" i="4"/>
  <c r="O39" i="4"/>
  <c r="P39" i="4"/>
  <c r="M39" i="4"/>
  <c r="N37" i="4"/>
  <c r="O37" i="4"/>
  <c r="P37" i="4"/>
  <c r="M37" i="4"/>
  <c r="N35" i="4"/>
  <c r="O35" i="4"/>
  <c r="P35" i="4"/>
  <c r="M35" i="4"/>
  <c r="N33" i="4"/>
  <c r="O33" i="4"/>
  <c r="P33" i="4"/>
  <c r="M33" i="4"/>
  <c r="N31" i="4"/>
  <c r="O31" i="4"/>
  <c r="P31" i="4"/>
  <c r="M31" i="4"/>
  <c r="N29" i="4"/>
  <c r="O29" i="4"/>
  <c r="P29" i="4"/>
  <c r="M29" i="4"/>
  <c r="N27" i="4"/>
  <c r="O27" i="4"/>
  <c r="P27" i="4"/>
  <c r="M27" i="4"/>
  <c r="N25" i="4"/>
  <c r="O25" i="4"/>
  <c r="P25" i="4"/>
  <c r="M25" i="4"/>
  <c r="N23" i="4"/>
  <c r="O23" i="4"/>
  <c r="P23" i="4"/>
  <c r="M23" i="4"/>
  <c r="N21" i="4"/>
  <c r="O21" i="4"/>
  <c r="P21" i="4"/>
  <c r="M21" i="4"/>
  <c r="N19" i="4"/>
  <c r="O19" i="4"/>
  <c r="P19" i="4"/>
  <c r="M19" i="4"/>
  <c r="N17" i="4"/>
  <c r="O17" i="4"/>
  <c r="P17" i="4"/>
  <c r="M17" i="4"/>
  <c r="N15" i="4"/>
  <c r="O15" i="4"/>
  <c r="P15" i="4"/>
  <c r="M15" i="4"/>
  <c r="N13" i="4"/>
  <c r="O13" i="4"/>
  <c r="P13" i="4"/>
  <c r="M13" i="4"/>
  <c r="N11" i="4"/>
  <c r="O11" i="4"/>
  <c r="P11" i="4"/>
  <c r="M11" i="4"/>
  <c r="N9" i="4"/>
  <c r="O9" i="4"/>
  <c r="P9" i="4"/>
  <c r="M9" i="4"/>
  <c r="N7" i="4"/>
  <c r="O7" i="4"/>
  <c r="P7" i="4"/>
  <c r="M7" i="4"/>
  <c r="N5" i="4"/>
  <c r="O5" i="4"/>
  <c r="P5" i="4"/>
  <c r="M5" i="4"/>
  <c r="G35" i="4"/>
  <c r="F35" i="4"/>
  <c r="E35" i="4"/>
  <c r="W58" i="1"/>
  <c r="T58" i="1"/>
  <c r="F7" i="1"/>
  <c r="W43" i="1"/>
  <c r="W48" i="1" s="1"/>
  <c r="W25" i="1"/>
  <c r="W36" i="1" s="1"/>
  <c r="W19" i="1"/>
  <c r="W31" i="1" s="1"/>
  <c r="W13" i="1"/>
  <c r="W7" i="1"/>
  <c r="Q36" i="1"/>
  <c r="Q31" i="1"/>
  <c r="E37" i="1"/>
  <c r="Q19" i="1"/>
  <c r="Q13" i="1"/>
  <c r="K19" i="1"/>
  <c r="K13" i="1"/>
  <c r="K7" i="1"/>
  <c r="F60" i="1"/>
  <c r="E55" i="1"/>
  <c r="E49" i="1"/>
  <c r="E43" i="1"/>
  <c r="E25" i="1"/>
  <c r="Q7" i="1"/>
  <c r="E31" i="1"/>
  <c r="E19" i="1"/>
  <c r="E13" i="1"/>
  <c r="E7" i="1"/>
  <c r="X58" i="1"/>
  <c r="V58" i="1"/>
  <c r="U58" i="1"/>
  <c r="X43" i="1"/>
  <c r="X48" i="1" s="1"/>
  <c r="V43" i="1"/>
  <c r="V48" i="1" s="1"/>
  <c r="U43" i="1"/>
  <c r="U48" i="1" s="1"/>
  <c r="T43" i="1"/>
  <c r="T48" i="1" s="1"/>
  <c r="X25" i="1"/>
  <c r="X36" i="1" s="1"/>
  <c r="V25" i="1"/>
  <c r="V36" i="1" s="1"/>
  <c r="U25" i="1"/>
  <c r="U36" i="1" s="1"/>
  <c r="T25" i="1"/>
  <c r="T36" i="1" s="1"/>
  <c r="X19" i="1"/>
  <c r="X31" i="1" s="1"/>
  <c r="V19" i="1"/>
  <c r="V31" i="1" s="1"/>
  <c r="U19" i="1"/>
  <c r="U31" i="1" s="1"/>
  <c r="T19" i="1"/>
  <c r="T31" i="1" s="1"/>
  <c r="O36" i="1"/>
  <c r="N36" i="1"/>
  <c r="R36" i="1"/>
  <c r="P36" i="1"/>
  <c r="D55" i="1"/>
  <c r="B55" i="1"/>
  <c r="R31" i="1"/>
  <c r="P31" i="1"/>
  <c r="O31" i="1"/>
  <c r="N31" i="1"/>
  <c r="X13" i="1"/>
  <c r="X7" i="1"/>
  <c r="V13" i="1"/>
  <c r="V7" i="1"/>
  <c r="U13" i="1"/>
  <c r="U7" i="1"/>
  <c r="T13" i="1"/>
  <c r="T7" i="1"/>
  <c r="R19" i="1"/>
  <c r="P19" i="1"/>
  <c r="O19" i="1"/>
  <c r="N19" i="1"/>
  <c r="R13" i="1"/>
  <c r="P13" i="1"/>
  <c r="O13" i="1"/>
  <c r="N13" i="1"/>
  <c r="R7" i="1"/>
  <c r="P7" i="1"/>
  <c r="O7" i="1"/>
  <c r="N7" i="1"/>
  <c r="L19" i="1"/>
  <c r="J19" i="1"/>
  <c r="I19" i="1"/>
  <c r="H19" i="1"/>
  <c r="J13" i="1"/>
  <c r="I13" i="1"/>
  <c r="H13" i="1"/>
  <c r="L7" i="1"/>
  <c r="J7" i="1"/>
  <c r="I7" i="1"/>
  <c r="H7" i="1"/>
  <c r="F37" i="1"/>
  <c r="D37" i="1"/>
  <c r="C37" i="1"/>
  <c r="B37" i="1"/>
  <c r="F19" i="1"/>
  <c r="D19" i="1"/>
  <c r="C19" i="1"/>
  <c r="B19" i="1"/>
  <c r="F13" i="1"/>
  <c r="D13" i="1"/>
  <c r="C13" i="1"/>
  <c r="B13" i="1"/>
  <c r="D7" i="1"/>
  <c r="C7" i="1"/>
  <c r="B7" i="1"/>
  <c r="B60" i="1"/>
  <c r="F31" i="1"/>
  <c r="F25" i="1"/>
  <c r="D25" i="1"/>
  <c r="D31" i="1"/>
  <c r="C31" i="1"/>
  <c r="C25" i="1"/>
  <c r="B31" i="1"/>
  <c r="B25" i="1"/>
  <c r="B43" i="1"/>
  <c r="D43" i="1"/>
  <c r="C43" i="1"/>
  <c r="F43" i="1"/>
  <c r="E60" i="1"/>
  <c r="D60" i="1"/>
  <c r="C60" i="1"/>
  <c r="T53" i="1" l="1"/>
  <c r="U53" i="1"/>
  <c r="V53" i="1"/>
  <c r="X53" i="1"/>
  <c r="F65" i="1"/>
  <c r="W53" i="1"/>
  <c r="B49" i="1"/>
  <c r="B65" i="1" s="1"/>
  <c r="F49" i="1"/>
  <c r="E65" i="1" s="1"/>
  <c r="C49" i="1"/>
  <c r="C65" i="1" s="1"/>
  <c r="D49" i="1"/>
  <c r="D65" i="1" s="1"/>
</calcChain>
</file>

<file path=xl/sharedStrings.xml><?xml version="1.0" encoding="utf-8"?>
<sst xmlns="http://schemas.openxmlformats.org/spreadsheetml/2006/main" count="606" uniqueCount="232">
  <si>
    <t>Profitability Ratios / Management Performance Ratios</t>
  </si>
  <si>
    <t>Asset Utilization Ratios</t>
  </si>
  <si>
    <t>Long-term Solvency Risk-Ratios</t>
  </si>
  <si>
    <t>Short-Term Liquidity Risk Ratio</t>
  </si>
  <si>
    <t>Sales/ Total Asset</t>
  </si>
  <si>
    <t>EBIT/Net Interest Charges</t>
  </si>
  <si>
    <t>Profit for the Year/ Revenue</t>
  </si>
  <si>
    <t>Revenue/ Total Asset</t>
  </si>
  <si>
    <t>Results From Operating Acivities/ Interest Expense</t>
  </si>
  <si>
    <t>Current Assets/Current Liabilities</t>
  </si>
  <si>
    <t>Net Profit Margin</t>
  </si>
  <si>
    <t>Total Asset Turnover</t>
  </si>
  <si>
    <t>Interest cover</t>
  </si>
  <si>
    <t>Current Ratio</t>
  </si>
  <si>
    <t>H1-Y 2021</t>
  </si>
  <si>
    <t>H1-Y 2022</t>
  </si>
  <si>
    <t>H-Y 2022</t>
  </si>
  <si>
    <t>Gross Profit/ Revenue</t>
  </si>
  <si>
    <t>Revenue/LT Asset</t>
  </si>
  <si>
    <t>Debt/Equity</t>
  </si>
  <si>
    <t>(Current Assets-Inventories)/Current Liabilities</t>
  </si>
  <si>
    <t>Gross Operating Margin</t>
  </si>
  <si>
    <t>LT Asset Turnover</t>
  </si>
  <si>
    <t>Gearing (Debt/Equity Ratio)</t>
  </si>
  <si>
    <t>Acid Test (Quick Ratio)</t>
  </si>
  <si>
    <t>Net Operating Margin/Revenue</t>
  </si>
  <si>
    <t>Results From Operating Acivities/ Revenue</t>
  </si>
  <si>
    <t>Cost of Sales/Inventories</t>
  </si>
  <si>
    <t>Debt/(Debt+Equity)</t>
  </si>
  <si>
    <t>Cost of Sales/ (Avg.) inventory</t>
  </si>
  <si>
    <t>Net Operating Margin</t>
  </si>
  <si>
    <t>Inventory Turnover</t>
  </si>
  <si>
    <t>Gearing(Total Finance)</t>
  </si>
  <si>
    <t>(Profit for the year+Interest Expense)/Total Assests</t>
  </si>
  <si>
    <t>Dividend/Number of share outstanding</t>
  </si>
  <si>
    <t>Cost of Sales/ (Avg.) Trade Payables</t>
  </si>
  <si>
    <t>ROA</t>
  </si>
  <si>
    <t>Dividend Per share</t>
  </si>
  <si>
    <t>Accounts Payable Turnover</t>
  </si>
  <si>
    <t>Profit for the year+Interest Expense/ Rvenues</t>
  </si>
  <si>
    <t>Interest Expense / LT Debt (LT liabilities-Provision-Differed Tax Liability)</t>
  </si>
  <si>
    <t>365/Inventory Turnover</t>
  </si>
  <si>
    <t>Profit Margin</t>
  </si>
  <si>
    <t>Interest cost</t>
  </si>
  <si>
    <t>Inventory Outstanding (DIO)</t>
  </si>
  <si>
    <t>(LT Debt/Equity)</t>
  </si>
  <si>
    <t>365/Accounts Payable Turnover</t>
  </si>
  <si>
    <t>Profit for the year+Interest Expense/ Equity + LT Debts (LT-debt:
 (non-current liabilities leaving out provisions and tax)</t>
  </si>
  <si>
    <t>Gearing(LT Debt/Equity)</t>
  </si>
  <si>
    <t>Payable Outstanding (DPO)</t>
  </si>
  <si>
    <t>ROCE (Return on Capital Employed)</t>
  </si>
  <si>
    <t>Sales/(Avg.) Trade Debtors</t>
  </si>
  <si>
    <t>Profit for the year/ Total assets</t>
  </si>
  <si>
    <t>Sales/Trade Recievable</t>
  </si>
  <si>
    <t>~ROA</t>
  </si>
  <si>
    <t>Recievable Turnover</t>
  </si>
  <si>
    <t>365/Accounts Recievable Turnover</t>
  </si>
  <si>
    <t>Profit for the year/ Equity</t>
  </si>
  <si>
    <t>Sales Outstanding (DSO)</t>
  </si>
  <si>
    <t>ROE</t>
  </si>
  <si>
    <t>DIO+DSO-DPO</t>
  </si>
  <si>
    <t>Cash Conversion Cycle</t>
  </si>
  <si>
    <t>Profit for the Year/ Number of shareholder outstandings</t>
  </si>
  <si>
    <t>EPS (Earning Per Share)</t>
  </si>
  <si>
    <t>Cash &amp; Cash equivalent/Current Liabilities</t>
  </si>
  <si>
    <t>Cash Ratio</t>
  </si>
  <si>
    <t>Total Asset/ Equity</t>
  </si>
  <si>
    <t>Financial Leverage</t>
  </si>
  <si>
    <t>%ROE/%ROA</t>
  </si>
  <si>
    <t>Financial Leverage Coefficient</t>
  </si>
  <si>
    <t>MILLION EURO</t>
  </si>
  <si>
    <t>H-Y2022</t>
  </si>
  <si>
    <t>H-Y2019</t>
  </si>
  <si>
    <t>ASSETS</t>
  </si>
  <si>
    <t>Revenue</t>
  </si>
  <si>
    <t>Non-current assets</t>
  </si>
  <si>
    <t xml:space="preserve">Cost of sales </t>
  </si>
  <si>
    <t>Goodwill</t>
  </si>
  <si>
    <t xml:space="preserve">Gross profit </t>
  </si>
  <si>
    <t>Intangible assets</t>
  </si>
  <si>
    <t xml:space="preserve">Selling expenses </t>
  </si>
  <si>
    <t>Property, plant and equipment</t>
  </si>
  <si>
    <t xml:space="preserve">Research and development expenses </t>
  </si>
  <si>
    <t>Right-of-use assets</t>
  </si>
  <si>
    <t xml:space="preserve">Administrative expenses </t>
  </si>
  <si>
    <t>Investments in associates</t>
  </si>
  <si>
    <t xml:space="preserve">Net impairment loss on trade and other receivables, including contract assets </t>
  </si>
  <si>
    <t>Other Financial assets</t>
  </si>
  <si>
    <t xml:space="preserve">Other operating income </t>
  </si>
  <si>
    <t xml:space="preserve">Other operating expenses </t>
  </si>
  <si>
    <t>Assets related to post-employment benefits</t>
  </si>
  <si>
    <t>Trade receivables</t>
  </si>
  <si>
    <t xml:space="preserve">Results from operating activities </t>
  </si>
  <si>
    <t>Receivables under finance lease</t>
  </si>
  <si>
    <t xml:space="preserve">Interest income (expense) - net </t>
  </si>
  <si>
    <t>Other assets</t>
  </si>
  <si>
    <t xml:space="preserve">Interest income </t>
  </si>
  <si>
    <t>Deferred tax assets</t>
  </si>
  <si>
    <t xml:space="preserve">Interest expense </t>
  </si>
  <si>
    <t>Current assets</t>
  </si>
  <si>
    <t xml:space="preserve">Other finance income (expense) - net </t>
  </si>
  <si>
    <t>Inventories</t>
  </si>
  <si>
    <t xml:space="preserve">Other finance income </t>
  </si>
  <si>
    <t xml:space="preserve">Other finance expense </t>
  </si>
  <si>
    <t>Contract assets</t>
  </si>
  <si>
    <t xml:space="preserve">Net finance costs </t>
  </si>
  <si>
    <t>Current income tax assets</t>
  </si>
  <si>
    <t xml:space="preserve">Share of profit of associates - net of tax </t>
  </si>
  <si>
    <t>-</t>
  </si>
  <si>
    <t>Other tax receivables</t>
  </si>
  <si>
    <t xml:space="preserve">Profit (loss) before income taxes </t>
  </si>
  <si>
    <t xml:space="preserve">Income tax expense </t>
  </si>
  <si>
    <t>Other financial assets</t>
  </si>
  <si>
    <t>Profit (loss) from continuing operations</t>
  </si>
  <si>
    <t>Other receivables</t>
  </si>
  <si>
    <t>DISCONTINUED OPERATIONS</t>
  </si>
  <si>
    <t>Other current assets</t>
  </si>
  <si>
    <t>Profit (loss) from discontinued operation - net of tax</t>
  </si>
  <si>
    <t>Derivative financial instruments</t>
  </si>
  <si>
    <t>Profit (loss) for the year</t>
  </si>
  <si>
    <t>Cash and cash equivalents</t>
  </si>
  <si>
    <t>Non-current assets held for sale</t>
  </si>
  <si>
    <t>TOTAL ASSETS</t>
  </si>
  <si>
    <t>EQUITY AND LIABILITIES</t>
  </si>
  <si>
    <t>Equity</t>
  </si>
  <si>
    <t>Equity attributable to owners of the Company</t>
  </si>
  <si>
    <t>Share capital</t>
  </si>
  <si>
    <t>Share premium</t>
  </si>
  <si>
    <t>Retained earnings</t>
  </si>
  <si>
    <t>Other reserves</t>
  </si>
  <si>
    <t>Translation reserve</t>
  </si>
  <si>
    <t>Post-employment benefits: remeasurements of the net defined benefit liability</t>
  </si>
  <si>
    <t>Non-controlling interests</t>
  </si>
  <si>
    <t>Non-current liabilities</t>
  </si>
  <si>
    <t>Liabilities for post-employment and long-term termination benefit plans</t>
  </si>
  <si>
    <t>Other employee benefits</t>
  </si>
  <si>
    <t>Loans and borrowings</t>
  </si>
  <si>
    <t>Provisions</t>
  </si>
  <si>
    <t>Deferred tax liabilities</t>
  </si>
  <si>
    <t>Trade payables</t>
  </si>
  <si>
    <t>Contract liabilities</t>
  </si>
  <si>
    <t>Other non-current liabilities</t>
  </si>
  <si>
    <t>Current liabilities</t>
  </si>
  <si>
    <t>Current income tax liabilities</t>
  </si>
  <si>
    <t>Other tax liabilities</t>
  </si>
  <si>
    <t>Other payables</t>
  </si>
  <si>
    <t>Employee benefits</t>
  </si>
  <si>
    <t>Other current liabilities</t>
  </si>
  <si>
    <t>TOTAL EQUITY AND LIABILITIES</t>
  </si>
  <si>
    <t>Horizental Analysis of Income  Statement (Percentage difference)</t>
  </si>
  <si>
    <t>Agfa-Gevaert Group – Q3 2022</t>
  </si>
  <si>
    <t>Agfa-Gevaert Group – Q1 2022</t>
  </si>
  <si>
    <t>in million Euro</t>
  </si>
  <si>
    <t>Q3 2022</t>
  </si>
  <si>
    <t>Q3 2021</t>
  </si>
  <si>
    <t>% change (excl.
FX effects)</t>
  </si>
  <si>
    <t>Q1 2022</t>
  </si>
  <si>
    <t>Q1 2021</t>
  </si>
  <si>
    <t>% change
(excl.
FX effects)</t>
  </si>
  <si>
    <t>7.8% (1.4%)</t>
  </si>
  <si>
    <t>7.2% (3.5%)</t>
  </si>
  <si>
    <t>Gross profit (*)</t>
  </si>
  <si>
    <t>14.3%</t>
  </si>
  <si>
    <t>5.5%</t>
  </si>
  <si>
    <t>% of revenue</t>
  </si>
  <si>
    <t>28.4%</t>
  </si>
  <si>
    <t>26.8%</t>
  </si>
  <si>
    <t>29.0%</t>
  </si>
  <si>
    <t>29.5%</t>
  </si>
  <si>
    <t>Adjusted EBITDA (*)</t>
  </si>
  <si>
    <t>8.0%</t>
  </si>
  <si>
    <t>22.2%</t>
  </si>
  <si>
    <t>4.9%</t>
  </si>
  <si>
    <t>4.4%</t>
  </si>
  <si>
    <t>3.9%</t>
  </si>
  <si>
    <t>Adjusted EBIT (*)</t>
  </si>
  <si>
    <t>8.4%</t>
  </si>
  <si>
    <t>1.4%</t>
  </si>
  <si>
    <t>0.8%</t>
  </si>
  <si>
    <t>-0.1%</t>
  </si>
  <si>
    <t>(*) before restructuring and non-recurring items</t>
  </si>
  <si>
    <t>(*)before restructuring and non-recurring items</t>
  </si>
  <si>
    <t>1.Excluding currency effects, the Group’s top line increased by 1.4%. The HealthCare IT division benefited from the revenue recognition from certain large-scale contracts and the Digital Print business posted double-digit growth. Radiology Solutions’ medical film was heavily impacted by the lockdowns in China. Offset Solutions’ topline remained stable.</t>
  </si>
  <si>
    <t>1. The Group’s top line increased by 7.2%, mainly driven by the Digital Print &amp; Chemicals and Offset Solutions divisions. Successful price increase actions and volume increases allowed both the Digital Print &amp; Chemicals division and the Offset Solutions division to significantly improve their top line compared to the first quarter of 2021. In the Radiology Solutions division, the Direct Radiography business’ sales picked up following a number of slower quarters. As expected, following a strong Q4 2021, the HealthCare IT division booked a modest revenue decrease compared to the first quarter of 2021.</t>
  </si>
  <si>
    <t>2.The price increase actions to tackle cost inflation continued to bear fruit for Offset Solutions, but are to be reinforced across the Group. Due to these pricing actions and favorable sales mix effects in HealthCare IT, the gross profit margin improved to 28.4% of revenue.</t>
  </si>
  <si>
    <t>2. As price actions allowed the Group to partly mitigate cost inflation, its gross profit margin remained almost stable at 29.0% of revenue.</t>
  </si>
  <si>
    <t>3.Selling and General Administration expenses increased by 12.6% versus the third quarter of 2021, mainly due to increased business activity impacting the selling expenses, as well as broader cost inflation and currency effects.</t>
  </si>
  <si>
    <t>3. Selling and General Administration expenses remained stable as a % of sales, but were 8.5% above the level of the first quarter of 2021, mainly due to increased business activity impacting the selling expenses, as well as broader cost inflation and currency effects impacting the total.</t>
  </si>
  <si>
    <t>4.R&amp;D expenses increased by 11.8% to 25 million Euro, but remained almost stable as a percentage of sales.</t>
  </si>
  <si>
    <t>4. R&amp;D expenses decreased from 25 million Euro in the first quarter of 2021 to 24 million Euro.</t>
  </si>
  <si>
    <t>5.Driven by the HealthCare IT and Offset Solutions divisions, adjusted EBITDA increased from 21 million Euro (4.9% of revenue) in the third quarter of 2021 to 23 million Euro (4.9% of revenue), in spite of inflationary pressure and supply chain issues. Adjusted EBIT reached 7 million Euro, versus 6 million Euro in the third quarter of 2021.</t>
  </si>
  <si>
    <t>5.Despite extended inflationary pressure and supply chain issues, adjusted EBITDA increased from 15 million Euro (3.9% of revenue) in the first quarter of 2021 to 19 million Euro (4.4% of revenue). Adjusted EBIT reached 4 million Euro, versus minus 1 million Euro in the first quarter of 2021.</t>
  </si>
  <si>
    <t>6.Restructuring and non-recurring items resulted in an expense of 13 million Euro, versus an expense of 7 million Euro in the third quarter of 2021. This increase reflects investments in various transformation projects, including the organization of the Offset Solutions activities into a stand-alone legal entity structure and the re-organization of the Group’s operating model.</t>
  </si>
  <si>
    <t>6. Restructuring and non-recurring items resulted in an expense of 9 million Euro, versus an expense of 1 million Euro in the first quarter of 2021. This increase reflects investments in various transformation projects, including the organization of the Offset Solutions activities into a stand-alone legal entity structure and the partnership with Atos for Agfa’s internal IT activities.</t>
  </si>
  <si>
    <t>7. Income tax expenses amounted to minus 5 million Euro versus 1 million Euro in the third quarter of 2021.</t>
  </si>
  <si>
    <t>7. Income tax expenses amounted to 3 million Euro versus 4 million Euro in the first quarter of 2021.</t>
  </si>
  <si>
    <t>As a result of the elements mentioned above, the Agfa-Gevaert Group posted a net loss of 17 million Euro.</t>
  </si>
  <si>
    <t>As a result of the elements mentioned above, the Agfa-Gevaert Group posted a net loss of 7 million Euro.</t>
  </si>
  <si>
    <t>Outlook</t>
  </si>
  <si>
    <t>The Agfa-Gevaert Group expects a continuing impact of cost inflation, supply chain issues, COVID lockdowns in China and the uncertain geopolitical and economic situation in the coming quarters. While the raw material cost inflation started to ease, salary cost inflation is expected to remain a concern in the near future.</t>
  </si>
  <si>
    <t>The Agfa-Gevaert Group expects the full impact of cost inflation in the second quarter, which will also be affected by the uncertain geopolitical situation and the COVID-related lockdowns in China. Additional price actions are being taken to tackle cost inflation. Assuming that the uncertainty in most markets will not deteriorate, the second half of the year is expected to be better thanks to additional pricing actions coming into effect.</t>
  </si>
  <si>
    <t>Overall, the Agfa-Gevaert Group continues to focus on working capital improvements and cost management. The Group expects working capital to go down in the fourth quarter, driven by lower inventories. The ongoing transformation actions are well on track and are expected to bring more agility and to further simplify the operations of the Group. On top of these actions, the economic reality requires additional measures to adapt the Group’s cost structure.</t>
  </si>
  <si>
    <t>Overall, the Agfa-Gevaert Group continues to focus on working capital improvements and cost management. The ongoing transformation actions are expected to bring more agility and to further simplify the operations of the Group. They will also allow the Group to further reduce its costs from 2023 onwards.</t>
  </si>
  <si>
    <t>HealthCare IT – Q3 2022</t>
  </si>
  <si>
    <t>Radiology Solutions – Q3 2022</t>
  </si>
  <si>
    <t>Digital Print &amp; Chemicals – Q3 2022</t>
  </si>
  <si>
    <t>Offset Solutions – Q3 2022</t>
  </si>
  <si>
    <t>The HealthCare IT division’s top line increased strongly to 62 million Euro, driven by the revenue recognition from a number of important contracts, mainly in North America, where as an example, a large luminary health system not only renewed, but expanded the scope of their commitment with Agfa HealthCare for the next five years. Business was still influenced by supply chain issues for hardware components. Fluctuations between quarters are normal, as a significant portion of revenues and margins are realized when projects reach key milestones.</t>
  </si>
  <si>
    <t>In this business, however, the post-COVID market context continues to be volatile as healthcare providers continue to face operational challenges affecting short term spend decisions, while having to review investment priorities for the short and medium term. The order book for this business remains strong, with continuously longer conversion lead times affected by the supply chain environments. Agfa is taking actions (costs control actions, price increases, net working capital actions) to increase its agility and better adapt to these market conditions.</t>
  </si>
  <si>
    <t>Although supply chain issues continued to cause disruptions, the Digital Print &amp; Chemicals division’s top line grew substantially versus the third quarter of 2021, mainly driven by the sign &amp; display business. Some business areas, especially in electronics and industrial inkjet applications, were impacted by the weaker economic environment, mainly in Europe and Asia. Demand remains solid for the products supporting the green energy transition (Zirfon membranes and Orgacon for hybrid cars), as well as for the industrial film products.</t>
  </si>
  <si>
    <t>Including positive currency effects, the Offset Solutions division’s top line increased by 3.3% compared to the third quarter of 2021. The division successfully implemented price increases to tackle the overall cost inflation, among others for raw materials, packaging and freight. Furthermore, the division is increasing its focus on high-value regions.</t>
  </si>
  <si>
    <t>For the HealthCare IT division, 2022 is a year of consolidation, as the focus is turning towards profitable growth. As shown by the positive development of the order intake, the division’s strategy to target customer segments and geographies for which its Enterprise Imaging solution is best fit and to prioritize higher value revenue streams is working. This strategy will ultimately allow the division to reach the targeted growth of EBITDA: starting from a mid-single-digit percentage in 2019 to percentages in the high-teens over the next years.</t>
  </si>
  <si>
    <t>The division’s profitability continued to be affected by volume decreases, mix effects and cost inflation. The gross profit margin of the division decreased from 33.8% of revenue to 30.5%. The division’s adjusted EBITDA margin amounted to 7.8% of revenue, versus 13.0% in the third quarter of 2021. In absolute figures, adjusted EBITDA reached 9.1 million Euro (15.0 million Euro in third quarter of 2021). Adjusted EBIT amounted to 2.8 million Euro (2.4% of revenue), versus 9.2 million Euro (8.0% of revenue) in the previous year.</t>
  </si>
  <si>
    <t>In the field of digital print, the top line of the sign &amp; display business grew strongly. The ink product ranges for sign &amp; display applications continued to perform well. In spite of industry-wide logistic challenges for the high-end equipment, the top line of the wide-format printing equipment business continued its upward trend.Agfa’s range of products for the production of printed circuit boards was hit by cost inflation and by the COVID-related lockdowns in China.The Synaps range of synthetic papers started to see the impact of the weak economic conditions.</t>
  </si>
  <si>
    <t>In August, the Agfa-Gevaert Group has signed a share purchase agreement with AURELIUS Group for the sale of its Offset Solutions division. The proposed transaction is subject to customary employees’ information and consultation processes, regulatory approvals and closing conditions. Both parties aim to complete the transaction in the course of the first quarter of 2023.</t>
  </si>
  <si>
    <t>Profit(loss)</t>
  </si>
  <si>
    <t>Operating CF</t>
  </si>
  <si>
    <t>Investing CF</t>
  </si>
  <si>
    <t>Financing CF</t>
  </si>
  <si>
    <t>FCF</t>
  </si>
  <si>
    <t>Captal expenditures</t>
  </si>
  <si>
    <t>Working Capital</t>
  </si>
  <si>
    <t>Proceeds from borrowing</t>
  </si>
  <si>
    <t>Repayment of borrowings</t>
  </si>
  <si>
    <t>Acquisitions of associates and subsidiaries</t>
  </si>
  <si>
    <t>Disposal of discontinued operations</t>
  </si>
  <si>
    <t>Change in inventories</t>
  </si>
  <si>
    <t>Cash out for employee benefits</t>
  </si>
  <si>
    <t>Purchase of treasury shares</t>
  </si>
  <si>
    <t>Payment of finance leases</t>
  </si>
  <si>
    <t>Change in trade receivables</t>
  </si>
  <si>
    <t>Change in trade payables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</si>
</sst>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21" x14ac:knownFonts="1">
    <font>
      <sz val="11"/>
      <color theme="1"/>
      <name val="Calibri"/>
      <family val="2"/>
      <scheme val="minor"/>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sz val="11"/>
      <color rgb="FF595959"/>
      <name val="Roboto"/>
      <charset val="1"/>
    </font>
    <font>
      <b/>
      <sz val="9"/>
      <color theme="1"/>
      <name val="Calibri"/>
      <family val="2"/>
      <scheme val="minor"/>
    </font>
    <font>
      <sz val="9"/>
      <color rgb="FF595959"/>
      <name val="Roboto"/>
      <charset val="1"/>
    </font>
    <font>
      <sz val="9"/>
      <color theme="1"/>
      <name val="Calibri"/>
      <family val="2"/>
      <scheme val="minor"/>
    </font>
    <font>
      <sz val="11"/>
      <color rgb="FFFF0000"/>
      <name val="Calibri"/>
      <family val="2"/>
      <scheme val="minor"/>
    </font>
    <font>
      <b/>
      <sz val="11"/>
      <color rgb="FF7030A0"/>
      <name val="Roboto"/>
      <charset val="1"/>
    </font>
    <font>
      <sz val="9"/>
      <color rgb="FF7030A0"/>
      <name val="Roboto"/>
      <charset val="1"/>
    </font>
    <font>
      <b/>
      <sz val="11"/>
      <color rgb="FFC65911"/>
      <name val="Calibri"/>
      <family val="2"/>
      <scheme val="minor"/>
    </font>
    <font>
      <sz val="9"/>
      <color rgb="FFC65911"/>
      <name val="Roboto"/>
      <charset val="1"/>
    </font>
    <font>
      <b/>
      <sz val="11"/>
      <color rgb="FF2F75B5"/>
      <name val="Calibri"/>
      <family val="2"/>
      <scheme val="minor"/>
    </font>
    <font>
      <sz val="9"/>
      <color rgb="FF2F75B5"/>
      <name val="Roboto"/>
      <charset val="1"/>
    </font>
    <font>
      <b/>
      <sz val="11"/>
      <color rgb="FF548235"/>
      <name val="Calibri"/>
      <family val="2"/>
      <scheme val="minor"/>
    </font>
    <font>
      <sz val="9"/>
      <color rgb="FF548235"/>
      <name val="Roboto"/>
      <charset val="1"/>
    </font>
    <font>
      <b/>
      <sz val="11"/>
      <color rgb="FF00B0F0"/>
      <name val="Calibri"/>
      <family val="2"/>
      <scheme val="minor"/>
    </font>
    <font>
      <sz val="11"/>
      <color rgb="FF00B0F0"/>
      <name val="Calibri"/>
      <family val="2"/>
      <scheme val="minor"/>
    </font>
    <font>
      <sz val="9"/>
      <color rgb="FF00B0F0"/>
      <name val="Roboto"/>
      <charset val="1"/>
    </font>
  </fonts>
  <fills count="14">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rgb="FF000000"/>
      </left>
      <right/>
      <top/>
      <bottom/>
      <diagonal/>
    </border>
    <border>
      <left/>
      <right style="thin">
        <color indexed="64"/>
      </right>
      <top/>
      <bottom/>
      <diagonal/>
    </border>
    <border>
      <left style="thin">
        <color indexed="64"/>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2" fillId="0" borderId="0" applyFont="0" applyFill="0" applyBorder="0" applyAlignment="0" applyProtection="0"/>
  </cellStyleXfs>
  <cellXfs count="160">
    <xf numFmtId="0" fontId="0" fillId="0" borderId="0" xfId="0"/>
    <xf numFmtId="0" fontId="0" fillId="0" borderId="1" xfId="0" applyBorder="1" applyAlignment="1">
      <alignment horizontal="center"/>
    </xf>
    <xf numFmtId="0" fontId="0" fillId="0" borderId="0" xfId="0" applyAlignment="1">
      <alignment horizontal="center"/>
    </xf>
    <xf numFmtId="165"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center"/>
    </xf>
    <xf numFmtId="0" fontId="0" fillId="0" borderId="6" xfId="0"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vertical="center"/>
    </xf>
    <xf numFmtId="1" fontId="0" fillId="0" borderId="1" xfId="0" applyNumberFormat="1" applyBorder="1" applyAlignment="1">
      <alignment horizontal="center"/>
    </xf>
    <xf numFmtId="0" fontId="0" fillId="0" borderId="1" xfId="0" applyBorder="1" applyAlignment="1">
      <alignment horizontal="center" vertical="center"/>
    </xf>
    <xf numFmtId="0" fontId="0" fillId="0" borderId="9" xfId="0" applyBorder="1" applyAlignment="1">
      <alignment horizontal="center"/>
    </xf>
    <xf numFmtId="164" fontId="0" fillId="0" borderId="2" xfId="0" applyNumberFormat="1" applyBorder="1" applyAlignment="1">
      <alignment horizontal="center"/>
    </xf>
    <xf numFmtId="0" fontId="0" fillId="0" borderId="1" xfId="0" applyBorder="1"/>
    <xf numFmtId="164" fontId="0" fillId="0" borderId="1" xfId="0" applyNumberFormat="1" applyBorder="1"/>
    <xf numFmtId="164" fontId="0" fillId="0" borderId="1" xfId="0" applyNumberFormat="1" applyBorder="1" applyAlignment="1">
      <alignment horizontal="center" vertical="center"/>
    </xf>
    <xf numFmtId="0" fontId="0" fillId="0" borderId="1" xfId="0" applyBorder="1" applyAlignment="1">
      <alignment wrapText="1"/>
    </xf>
    <xf numFmtId="0" fontId="1" fillId="9" borderId="1" xfId="0" applyFont="1" applyFill="1" applyBorder="1" applyAlignment="1">
      <alignment horizontal="left"/>
    </xf>
    <xf numFmtId="0" fontId="1" fillId="9" borderId="1" xfId="0" applyFont="1" applyFill="1" applyBorder="1"/>
    <xf numFmtId="0" fontId="0" fillId="8" borderId="1" xfId="0" applyFill="1" applyBorder="1"/>
    <xf numFmtId="0" fontId="1" fillId="3" borderId="1" xfId="0" applyFont="1" applyFill="1" applyBorder="1" applyAlignment="1">
      <alignment horizontal="left"/>
    </xf>
    <xf numFmtId="0" fontId="1" fillId="3" borderId="1" xfId="0" applyFont="1" applyFill="1" applyBorder="1"/>
    <xf numFmtId="0" fontId="0" fillId="2" borderId="1" xfId="0" applyFill="1" applyBorder="1" applyAlignment="1">
      <alignment horizontal="left"/>
    </xf>
    <xf numFmtId="0" fontId="1" fillId="3" borderId="1" xfId="0" applyFont="1" applyFill="1" applyBorder="1" applyAlignment="1">
      <alignment horizontal="center"/>
    </xf>
    <xf numFmtId="0" fontId="1" fillId="7" borderId="1" xfId="0" applyFont="1" applyFill="1" applyBorder="1" applyAlignment="1">
      <alignment horizontal="center"/>
    </xf>
    <xf numFmtId="0" fontId="1" fillId="3" borderId="1" xfId="0" applyFont="1" applyFill="1" applyBorder="1" applyAlignment="1">
      <alignment wrapText="1"/>
    </xf>
    <xf numFmtId="0" fontId="1" fillId="9" borderId="1" xfId="0" applyFont="1" applyFill="1" applyBorder="1" applyAlignment="1">
      <alignment wrapText="1"/>
    </xf>
    <xf numFmtId="0" fontId="1" fillId="5" borderId="1" xfId="0" applyFont="1" applyFill="1" applyBorder="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4" borderId="1" xfId="0" applyFill="1" applyBorder="1" applyAlignment="1">
      <alignment wrapText="1"/>
    </xf>
    <xf numFmtId="0" fontId="0" fillId="4" borderId="1" xfId="0" applyFill="1" applyBorder="1"/>
    <xf numFmtId="9" fontId="1" fillId="9" borderId="1" xfId="1" applyFont="1" applyFill="1" applyBorder="1" applyAlignment="1">
      <alignment horizontal="center"/>
    </xf>
    <xf numFmtId="9" fontId="0" fillId="8" borderId="1" xfId="1" applyFont="1" applyFill="1" applyBorder="1" applyAlignment="1">
      <alignment horizontal="center"/>
    </xf>
    <xf numFmtId="9" fontId="0" fillId="4" borderId="1" xfId="1" applyFont="1" applyFill="1" applyBorder="1" applyAlignment="1">
      <alignment horizontal="center"/>
    </xf>
    <xf numFmtId="9" fontId="1" fillId="4" borderId="1" xfId="1" applyFont="1" applyFill="1" applyBorder="1" applyAlignment="1">
      <alignment horizontal="center"/>
    </xf>
    <xf numFmtId="9" fontId="1" fillId="3" borderId="1" xfId="1" applyFont="1" applyFill="1" applyBorder="1" applyAlignment="1">
      <alignment horizontal="center"/>
    </xf>
    <xf numFmtId="9" fontId="1" fillId="8" borderId="1" xfId="1" applyFont="1" applyFill="1" applyBorder="1" applyAlignment="1">
      <alignment horizontal="center"/>
    </xf>
    <xf numFmtId="9" fontId="0" fillId="2" borderId="1" xfId="1" applyFont="1" applyFill="1" applyBorder="1" applyAlignment="1">
      <alignment horizontal="center"/>
    </xf>
    <xf numFmtId="9" fontId="1" fillId="2" borderId="1" xfId="1" applyFont="1" applyFill="1" applyBorder="1" applyAlignment="1">
      <alignment horizontal="center"/>
    </xf>
    <xf numFmtId="0" fontId="1" fillId="10" borderId="1" xfId="0" applyFont="1" applyFill="1" applyBorder="1" applyAlignment="1">
      <alignment horizontal="center"/>
    </xf>
    <xf numFmtId="9" fontId="1" fillId="10" borderId="1" xfId="1"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xf numFmtId="0" fontId="0" fillId="11" borderId="1" xfId="0" applyFill="1" applyBorder="1"/>
    <xf numFmtId="0" fontId="0" fillId="11" borderId="0" xfId="0" applyFill="1"/>
    <xf numFmtId="9" fontId="1" fillId="11" borderId="1" xfId="1" applyFont="1" applyFill="1" applyBorder="1" applyAlignment="1">
      <alignment horizontal="center"/>
    </xf>
    <xf numFmtId="0" fontId="0" fillId="11" borderId="1" xfId="0" applyFill="1" applyBorder="1" applyAlignment="1">
      <alignment horizontal="center"/>
    </xf>
    <xf numFmtId="9" fontId="1" fillId="7" borderId="1" xfId="1" applyFont="1" applyFill="1" applyBorder="1" applyAlignment="1">
      <alignment horizontal="center"/>
    </xf>
    <xf numFmtId="9" fontId="0" fillId="11" borderId="1" xfId="1" applyFont="1" applyFill="1" applyBorder="1" applyAlignment="1">
      <alignment horizontal="center"/>
    </xf>
    <xf numFmtId="9" fontId="0" fillId="11" borderId="0" xfId="1" applyFont="1" applyFill="1"/>
    <xf numFmtId="9" fontId="3" fillId="9" borderId="1" xfId="1" applyFont="1" applyFill="1" applyBorder="1" applyAlignment="1">
      <alignment horizontal="center"/>
    </xf>
    <xf numFmtId="9" fontId="4" fillId="8" borderId="1" xfId="1" applyFont="1" applyFill="1" applyBorder="1" applyAlignment="1">
      <alignment horizontal="center"/>
    </xf>
    <xf numFmtId="0" fontId="3" fillId="9" borderId="1" xfId="0" applyFont="1" applyFill="1" applyBorder="1" applyAlignment="1">
      <alignment horizontal="center"/>
    </xf>
    <xf numFmtId="0" fontId="4" fillId="8" borderId="1" xfId="0" applyFont="1" applyFill="1" applyBorder="1" applyAlignment="1">
      <alignment horizontal="center"/>
    </xf>
    <xf numFmtId="0" fontId="3" fillId="3" borderId="1" xfId="0" applyFont="1" applyFill="1" applyBorder="1" applyAlignment="1">
      <alignment horizontal="center"/>
    </xf>
    <xf numFmtId="9" fontId="3" fillId="3" borderId="1" xfId="1" applyFont="1" applyFill="1" applyBorder="1" applyAlignment="1">
      <alignment horizontal="center"/>
    </xf>
    <xf numFmtId="0" fontId="4" fillId="4" borderId="1" xfId="0" applyFont="1" applyFill="1" applyBorder="1" applyAlignment="1">
      <alignment horizontal="center"/>
    </xf>
    <xf numFmtId="9" fontId="4" fillId="4" borderId="1" xfId="1" applyFont="1" applyFill="1" applyBorder="1" applyAlignment="1">
      <alignment horizontal="center"/>
    </xf>
    <xf numFmtId="0" fontId="4" fillId="2" borderId="1" xfId="0" applyFont="1" applyFill="1" applyBorder="1" applyAlignment="1">
      <alignment horizontal="center"/>
    </xf>
    <xf numFmtId="9" fontId="4" fillId="2" borderId="1" xfId="1" applyFont="1" applyFill="1" applyBorder="1" applyAlignment="1">
      <alignment horizontal="center"/>
    </xf>
    <xf numFmtId="9" fontId="3" fillId="10" borderId="1" xfId="1" applyFont="1" applyFill="1" applyBorder="1" applyAlignment="1">
      <alignment horizontal="center"/>
    </xf>
    <xf numFmtId="9" fontId="3" fillId="11" borderId="1" xfId="1" applyFont="1" applyFill="1" applyBorder="1" applyAlignment="1">
      <alignment horizontal="center"/>
    </xf>
    <xf numFmtId="0" fontId="1" fillId="8" borderId="1" xfId="0" applyFont="1" applyFill="1" applyBorder="1" applyAlignment="1">
      <alignment horizontal="center"/>
    </xf>
    <xf numFmtId="9" fontId="4" fillId="3" borderId="1" xfId="1" applyFont="1" applyFill="1" applyBorder="1" applyAlignment="1">
      <alignment horizontal="center"/>
    </xf>
    <xf numFmtId="0" fontId="4" fillId="3" borderId="1" xfId="0" applyFont="1" applyFill="1" applyBorder="1" applyAlignment="1">
      <alignment horizontal="center"/>
    </xf>
    <xf numFmtId="0" fontId="1" fillId="2" borderId="1" xfId="0" applyFont="1" applyFill="1" applyBorder="1" applyAlignment="1">
      <alignment horizontal="center"/>
    </xf>
    <xf numFmtId="9" fontId="4" fillId="10" borderId="1" xfId="1" applyFont="1" applyFill="1" applyBorder="1" applyAlignment="1">
      <alignment horizontal="center"/>
    </xf>
    <xf numFmtId="0" fontId="1" fillId="11" borderId="1" xfId="0" applyFont="1" applyFill="1" applyBorder="1"/>
    <xf numFmtId="9" fontId="4" fillId="11" borderId="1" xfId="1" applyFont="1" applyFill="1" applyBorder="1" applyAlignment="1">
      <alignment horizontal="center"/>
    </xf>
    <xf numFmtId="9" fontId="1" fillId="12" borderId="1" xfId="1" applyFont="1" applyFill="1" applyBorder="1" applyAlignment="1">
      <alignment horizontal="center"/>
    </xf>
    <xf numFmtId="9" fontId="4" fillId="9" borderId="1" xfId="1" applyFont="1" applyFill="1" applyBorder="1" applyAlignment="1">
      <alignment horizontal="center"/>
    </xf>
    <xf numFmtId="0" fontId="1" fillId="9" borderId="0" xfId="0" applyFont="1" applyFill="1" applyAlignment="1">
      <alignment wrapText="1"/>
    </xf>
    <xf numFmtId="0" fontId="1" fillId="9" borderId="0" xfId="0" applyFont="1" applyFill="1"/>
    <xf numFmtId="9" fontId="1" fillId="3" borderId="1" xfId="0" applyNumberFormat="1" applyFont="1" applyFill="1" applyBorder="1"/>
    <xf numFmtId="9" fontId="0" fillId="4" borderId="1" xfId="0" applyNumberFormat="1" applyFill="1" applyBorder="1"/>
    <xf numFmtId="9" fontId="0" fillId="4" borderId="1" xfId="1" applyFont="1" applyFill="1" applyBorder="1"/>
    <xf numFmtId="9" fontId="1" fillId="3" borderId="1" xfId="1" applyFont="1" applyFill="1" applyBorder="1"/>
    <xf numFmtId="9" fontId="0" fillId="0" borderId="1" xfId="1" applyFont="1" applyBorder="1"/>
    <xf numFmtId="9" fontId="0" fillId="0" borderId="0" xfId="1" applyFont="1" applyBorder="1"/>
    <xf numFmtId="0" fontId="0" fillId="0" borderId="14" xfId="0" applyBorder="1" applyAlignment="1">
      <alignment horizontal="center" vertical="center"/>
    </xf>
    <xf numFmtId="0" fontId="5" fillId="13" borderId="14" xfId="0" applyFont="1" applyFill="1" applyBorder="1" applyAlignment="1">
      <alignment horizontal="center" vertical="center" wrapText="1"/>
    </xf>
    <xf numFmtId="0" fontId="5" fillId="0" borderId="0" xfId="0" applyFont="1" applyAlignment="1">
      <alignment horizontal="center" vertical="center" wrapText="1"/>
    </xf>
    <xf numFmtId="0" fontId="6" fillId="0" borderId="14" xfId="0" applyFont="1"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xf numFmtId="0" fontId="9" fillId="0" borderId="0" xfId="0" applyFont="1" applyAlignment="1">
      <alignment horizontal="left" vertical="center" wrapText="1"/>
    </xf>
    <xf numFmtId="0" fontId="7" fillId="0" borderId="0" xfId="0" applyFont="1" applyAlignment="1">
      <alignment horizontal="left" vertical="center" wrapText="1"/>
    </xf>
    <xf numFmtId="0" fontId="12" fillId="0" borderId="0" xfId="0" applyFont="1"/>
    <xf numFmtId="0" fontId="14" fillId="0" borderId="0" xfId="0" applyFont="1"/>
    <xf numFmtId="0" fontId="16" fillId="0" borderId="0" xfId="0" applyFont="1"/>
    <xf numFmtId="0" fontId="18" fillId="0" borderId="0" xfId="0" applyFont="1"/>
    <xf numFmtId="0" fontId="19" fillId="0" borderId="0" xfId="0" applyFont="1"/>
    <xf numFmtId="0" fontId="0" fillId="0" borderId="0" xfId="0" applyAlignment="1">
      <alignment horizontal="left" vertical="center"/>
    </xf>
    <xf numFmtId="0" fontId="1" fillId="9" borderId="1" xfId="0" applyFont="1" applyFill="1" applyBorder="1" applyAlignment="1">
      <alignment horizontal="left" vertical="center"/>
    </xf>
    <xf numFmtId="0" fontId="1" fillId="3" borderId="1" xfId="0" applyFont="1" applyFill="1" applyBorder="1" applyAlignment="1">
      <alignment horizontal="left" vertical="center"/>
    </xf>
    <xf numFmtId="0" fontId="0" fillId="2" borderId="1" xfId="0" applyFill="1" applyBorder="1" applyAlignment="1">
      <alignment horizontal="left" vertical="center"/>
    </xf>
    <xf numFmtId="0" fontId="0" fillId="0" borderId="1" xfId="0" applyBorder="1" applyAlignment="1">
      <alignment horizontal="left" vertical="center"/>
    </xf>
    <xf numFmtId="0" fontId="1" fillId="5" borderId="1" xfId="0" applyFont="1" applyFill="1" applyBorder="1" applyAlignment="1">
      <alignment horizontal="left" vertical="center" wrapText="1"/>
    </xf>
    <xf numFmtId="0" fontId="0" fillId="8" borderId="1" xfId="0" applyFill="1" applyBorder="1" applyAlignment="1">
      <alignment horizontal="left" vertical="center"/>
    </xf>
    <xf numFmtId="0" fontId="1"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0" fontId="1" fillId="7" borderId="1" xfId="0" applyFont="1" applyFill="1" applyBorder="1" applyAlignment="1">
      <alignment horizontal="left" vertical="center"/>
    </xf>
    <xf numFmtId="0" fontId="1" fillId="9"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0" fillId="0" borderId="1" xfId="0" applyBorder="1" applyAlignment="1">
      <alignment horizontal="center" vertical="center" wrapText="1"/>
    </xf>
    <xf numFmtId="0" fontId="0" fillId="6" borderId="1" xfId="0" applyFill="1" applyBorder="1" applyAlignment="1">
      <alignment horizontal="center"/>
    </xf>
    <xf numFmtId="0" fontId="0" fillId="3" borderId="10" xfId="0" applyFill="1" applyBorder="1" applyAlignment="1">
      <alignment horizontal="center"/>
    </xf>
    <xf numFmtId="0" fontId="0" fillId="3" borderId="0" xfId="0" applyFill="1" applyAlignment="1">
      <alignment horizontal="center"/>
    </xf>
    <xf numFmtId="0" fontId="0" fillId="0" borderId="12" xfId="0" applyBorder="1" applyAlignment="1">
      <alignment horizontal="center" vertical="center" wrapText="1"/>
    </xf>
    <xf numFmtId="0" fontId="0" fillId="0" borderId="0" xfId="0" applyAlignment="1">
      <alignment horizontal="center" vertical="center" wrapText="1"/>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3" borderId="1" xfId="0" applyFill="1" applyBorder="1" applyAlignment="1">
      <alignment horizont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11" xfId="0" applyFill="1" applyBorder="1" applyAlignment="1">
      <alignment horizontal="center"/>
    </xf>
    <xf numFmtId="0" fontId="0" fillId="0" borderId="8" xfId="0" applyBorder="1" applyAlignment="1">
      <alignment horizontal="center"/>
    </xf>
    <xf numFmtId="0" fontId="20" fillId="0" borderId="14" xfId="0" applyFont="1" applyBorder="1" applyAlignment="1">
      <alignment horizontal="left" vertical="center" wrapText="1"/>
    </xf>
    <xf numFmtId="0" fontId="11" fillId="0" borderId="14" xfId="0" applyFont="1" applyBorder="1" applyAlignment="1">
      <alignment horizontal="left" vertical="center" wrapText="1"/>
    </xf>
    <xf numFmtId="0" fontId="13" fillId="0" borderId="14" xfId="0" applyFont="1" applyBorder="1" applyAlignment="1">
      <alignment horizontal="left" vertical="center" wrapText="1"/>
    </xf>
    <xf numFmtId="0" fontId="15" fillId="0" borderId="14" xfId="0" applyFont="1" applyBorder="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10" fillId="13" borderId="3" xfId="0" applyFont="1" applyFill="1" applyBorder="1" applyAlignment="1">
      <alignment horizontal="left" wrapText="1"/>
    </xf>
    <xf numFmtId="0" fontId="10" fillId="13" borderId="4" xfId="0" applyFont="1" applyFill="1" applyBorder="1" applyAlignment="1">
      <alignment horizontal="left" wrapText="1"/>
    </xf>
    <xf numFmtId="0" fontId="10" fillId="13" borderId="5" xfId="0" applyFont="1" applyFill="1" applyBorder="1" applyAlignment="1">
      <alignment horizontal="left" wrapText="1"/>
    </xf>
    <xf numFmtId="0" fontId="17" fillId="0" borderId="14" xfId="0" applyFont="1" applyBorder="1" applyAlignment="1">
      <alignment horizontal="lef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0" fillId="5" borderId="0" xfId="0" applyFill="1" applyBorder="1" applyAlignment="1">
      <alignment horizontal="center"/>
    </xf>
    <xf numFmtId="0" fontId="0" fillId="5" borderId="0" xfId="0" applyFill="1" applyBorder="1" applyAlignment="1">
      <alignment horizontal="center"/>
    </xf>
    <xf numFmtId="164" fontId="0" fillId="5" borderId="0" xfId="0" applyNumberForma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manualLayout>
          <c:layoutTarget val="inner"/>
          <c:xMode val="edge"/>
          <c:yMode val="edge"/>
          <c:x val="6.9000571553632886E-2"/>
          <c:y val="4.8106712284159588E-2"/>
          <c:w val="0.89725750566821127"/>
          <c:h val="0.42106075418048422"/>
        </c:manualLayout>
      </c:layout>
      <c:lineChart>
        <c:grouping val="standard"/>
        <c:varyColors val="0"/>
        <c:ser>
          <c:idx val="0"/>
          <c:order val="0"/>
          <c:tx>
            <c:strRef>
              <c:f>'Income Statement'!$B$54</c:f>
              <c:strCache>
                <c:ptCount val="1"/>
                <c:pt idx="0">
                  <c:v>Revenue</c:v>
                </c:pt>
              </c:strCache>
            </c:strRef>
          </c:tx>
          <c:spPr>
            <a:ln w="28575" cap="rnd">
              <a:solidFill>
                <a:schemeClr val="accent1"/>
              </a:solidFill>
              <a:round/>
            </a:ln>
            <a:effectLst/>
          </c:spPr>
          <c:marker>
            <c:symbol val="none"/>
          </c:marker>
          <c:cat>
            <c:strRef>
              <c:f>'Income Statement'!$C$53:$F$53</c:f>
              <c:strCache>
                <c:ptCount val="4"/>
                <c:pt idx="0">
                  <c:v>2019</c:v>
                </c:pt>
                <c:pt idx="1">
                  <c:v>2020</c:v>
                </c:pt>
                <c:pt idx="2">
                  <c:v>2021</c:v>
                </c:pt>
                <c:pt idx="3">
                  <c:v>H-Y 2022</c:v>
                </c:pt>
              </c:strCache>
            </c:strRef>
          </c:cat>
          <c:val>
            <c:numRef>
              <c:f>'Income Statement'!$C$54:$F$54</c:f>
              <c:numCache>
                <c:formatCode>0%</c:formatCode>
                <c:ptCount val="4"/>
                <c:pt idx="0">
                  <c:v>0</c:v>
                </c:pt>
                <c:pt idx="1">
                  <c:v>-0.23671281822242071</c:v>
                </c:pt>
                <c:pt idx="2">
                  <c:v>-0.21393479231799911</c:v>
                </c:pt>
                <c:pt idx="3">
                  <c:v>-0.19910313901345292</c:v>
                </c:pt>
              </c:numCache>
            </c:numRef>
          </c:val>
          <c:smooth val="0"/>
          <c:extLst>
            <c:ext xmlns:c16="http://schemas.microsoft.com/office/drawing/2014/chart" uri="{C3380CC4-5D6E-409C-BE32-E72D297353CC}">
              <c16:uniqueId val="{00000000-B56B-4BB3-888C-E3926798B676}"/>
            </c:ext>
          </c:extLst>
        </c:ser>
        <c:ser>
          <c:idx val="1"/>
          <c:order val="1"/>
          <c:tx>
            <c:strRef>
              <c:f>'Income Statement'!$B$55</c:f>
              <c:strCache>
                <c:ptCount val="1"/>
                <c:pt idx="0">
                  <c:v>Cost of sales </c:v>
                </c:pt>
              </c:strCache>
            </c:strRef>
          </c:tx>
          <c:spPr>
            <a:ln w="28575" cap="rnd">
              <a:solidFill>
                <a:schemeClr val="accent2"/>
              </a:solidFill>
              <a:round/>
            </a:ln>
            <a:effectLst/>
          </c:spPr>
          <c:marker>
            <c:symbol val="none"/>
          </c:marker>
          <c:cat>
            <c:strRef>
              <c:f>'Income Statement'!$C$53:$F$53</c:f>
              <c:strCache>
                <c:ptCount val="4"/>
                <c:pt idx="0">
                  <c:v>2019</c:v>
                </c:pt>
                <c:pt idx="1">
                  <c:v>2020</c:v>
                </c:pt>
                <c:pt idx="2">
                  <c:v>2021</c:v>
                </c:pt>
                <c:pt idx="3">
                  <c:v>H-Y 2022</c:v>
                </c:pt>
              </c:strCache>
            </c:strRef>
          </c:cat>
          <c:val>
            <c:numRef>
              <c:f>'Income Statement'!$C$55:$F$55</c:f>
              <c:numCache>
                <c:formatCode>0%</c:formatCode>
                <c:ptCount val="4"/>
                <c:pt idx="0">
                  <c:v>0</c:v>
                </c:pt>
                <c:pt idx="1">
                  <c:v>0.19536423841059603</c:v>
                </c:pt>
                <c:pt idx="2">
                  <c:v>0.16357615894039734</c:v>
                </c:pt>
                <c:pt idx="3">
                  <c:v>0.15033557046979865</c:v>
                </c:pt>
              </c:numCache>
            </c:numRef>
          </c:val>
          <c:smooth val="0"/>
          <c:extLst>
            <c:ext xmlns:c16="http://schemas.microsoft.com/office/drawing/2014/chart" uri="{C3380CC4-5D6E-409C-BE32-E72D297353CC}">
              <c16:uniqueId val="{00000001-B56B-4BB3-888C-E3926798B676}"/>
            </c:ext>
          </c:extLst>
        </c:ser>
        <c:ser>
          <c:idx val="3"/>
          <c:order val="3"/>
          <c:tx>
            <c:strRef>
              <c:f>'Income Statement'!$B$57</c:f>
              <c:strCache>
                <c:ptCount val="1"/>
                <c:pt idx="0">
                  <c:v>Administrative expenses </c:v>
                </c:pt>
              </c:strCache>
            </c:strRef>
          </c:tx>
          <c:spPr>
            <a:ln w="28575" cap="rnd">
              <a:solidFill>
                <a:schemeClr val="accent4"/>
              </a:solidFill>
              <a:round/>
            </a:ln>
            <a:effectLst/>
          </c:spPr>
          <c:marker>
            <c:symbol val="none"/>
          </c:marker>
          <c:cat>
            <c:strRef>
              <c:f>'Income Statement'!$C$53:$F$53</c:f>
              <c:strCache>
                <c:ptCount val="4"/>
                <c:pt idx="0">
                  <c:v>2019</c:v>
                </c:pt>
                <c:pt idx="1">
                  <c:v>2020</c:v>
                </c:pt>
                <c:pt idx="2">
                  <c:v>2021</c:v>
                </c:pt>
                <c:pt idx="3">
                  <c:v>H-Y 2022</c:v>
                </c:pt>
              </c:strCache>
            </c:strRef>
          </c:cat>
          <c:val>
            <c:numRef>
              <c:f>'Income Statement'!$C$57:$F$57</c:f>
              <c:numCache>
                <c:formatCode>0%</c:formatCode>
                <c:ptCount val="4"/>
                <c:pt idx="0">
                  <c:v>0</c:v>
                </c:pt>
                <c:pt idx="1">
                  <c:v>0.23496503496503496</c:v>
                </c:pt>
                <c:pt idx="2">
                  <c:v>0.31608391608391606</c:v>
                </c:pt>
                <c:pt idx="3">
                  <c:v>0.25925925925925924</c:v>
                </c:pt>
              </c:numCache>
            </c:numRef>
          </c:val>
          <c:smooth val="0"/>
          <c:extLst>
            <c:ext xmlns:c16="http://schemas.microsoft.com/office/drawing/2014/chart" uri="{C3380CC4-5D6E-409C-BE32-E72D297353CC}">
              <c16:uniqueId val="{00000003-B56B-4BB3-888C-E3926798B676}"/>
            </c:ext>
          </c:extLst>
        </c:ser>
        <c:ser>
          <c:idx val="10"/>
          <c:order val="10"/>
          <c:tx>
            <c:strRef>
              <c:f>'Income Statement'!$B$64</c:f>
              <c:strCache>
                <c:ptCount val="1"/>
                <c:pt idx="0">
                  <c:v>Results from operating activities </c:v>
                </c:pt>
              </c:strCache>
            </c:strRef>
          </c:tx>
          <c:spPr>
            <a:ln w="28575" cap="rnd">
              <a:solidFill>
                <a:srgbClr val="92D050"/>
              </a:solidFill>
              <a:round/>
            </a:ln>
            <a:effectLst/>
          </c:spPr>
          <c:marker>
            <c:symbol val="none"/>
          </c:marker>
          <c:cat>
            <c:strRef>
              <c:f>'Income Statement'!$C$53:$F$53</c:f>
              <c:strCache>
                <c:ptCount val="4"/>
                <c:pt idx="0">
                  <c:v>2019</c:v>
                </c:pt>
                <c:pt idx="1">
                  <c:v>2020</c:v>
                </c:pt>
                <c:pt idx="2">
                  <c:v>2021</c:v>
                </c:pt>
                <c:pt idx="3">
                  <c:v>H-Y 2022</c:v>
                </c:pt>
              </c:strCache>
            </c:strRef>
          </c:cat>
          <c:val>
            <c:numRef>
              <c:f>'Income Statement'!$C$64:$F$64</c:f>
              <c:numCache>
                <c:formatCode>0%</c:formatCode>
                <c:ptCount val="4"/>
                <c:pt idx="0">
                  <c:v>0</c:v>
                </c:pt>
                <c:pt idx="1">
                  <c:v>-4.7142857142857144</c:v>
                </c:pt>
                <c:pt idx="2">
                  <c:v>-0.35714285714285715</c:v>
                </c:pt>
                <c:pt idx="3">
                  <c:v>-1.0652173913043479</c:v>
                </c:pt>
              </c:numCache>
            </c:numRef>
          </c:val>
          <c:smooth val="0"/>
          <c:extLst>
            <c:ext xmlns:c16="http://schemas.microsoft.com/office/drawing/2014/chart" uri="{C3380CC4-5D6E-409C-BE32-E72D297353CC}">
              <c16:uniqueId val="{0000000A-B56B-4BB3-888C-E3926798B676}"/>
            </c:ext>
          </c:extLst>
        </c:ser>
        <c:ser>
          <c:idx val="18"/>
          <c:order val="18"/>
          <c:tx>
            <c:strRef>
              <c:f>'Income Statement'!$B$72</c:f>
              <c:strCache>
                <c:ptCount val="1"/>
                <c:pt idx="0">
                  <c:v>Profit (loss) before income taxes </c:v>
                </c:pt>
              </c:strCache>
            </c:strRef>
          </c:tx>
          <c:spPr>
            <a:ln w="28575" cap="rnd">
              <a:solidFill>
                <a:srgbClr val="00B0F0"/>
              </a:solidFill>
              <a:round/>
            </a:ln>
            <a:effectLst/>
          </c:spPr>
          <c:marker>
            <c:symbol val="none"/>
          </c:marker>
          <c:cat>
            <c:strRef>
              <c:f>'Income Statement'!$C$53:$F$53</c:f>
              <c:strCache>
                <c:ptCount val="4"/>
                <c:pt idx="0">
                  <c:v>2019</c:v>
                </c:pt>
                <c:pt idx="1">
                  <c:v>2020</c:v>
                </c:pt>
                <c:pt idx="2">
                  <c:v>2021</c:v>
                </c:pt>
                <c:pt idx="3">
                  <c:v>H-Y 2022</c:v>
                </c:pt>
              </c:strCache>
            </c:strRef>
          </c:cat>
          <c:val>
            <c:numRef>
              <c:f>'Income Statement'!$C$72:$F$72</c:f>
              <c:numCache>
                <c:formatCode>0%</c:formatCode>
                <c:ptCount val="4"/>
                <c:pt idx="0">
                  <c:v>0</c:v>
                </c:pt>
                <c:pt idx="1">
                  <c:v>-2.3199999999999998</c:v>
                </c:pt>
                <c:pt idx="2">
                  <c:v>1.04</c:v>
                </c:pt>
                <c:pt idx="3">
                  <c:v>-1.5</c:v>
                </c:pt>
              </c:numCache>
            </c:numRef>
          </c:val>
          <c:smooth val="0"/>
          <c:extLst>
            <c:ext xmlns:c16="http://schemas.microsoft.com/office/drawing/2014/chart" uri="{C3380CC4-5D6E-409C-BE32-E72D297353CC}">
              <c16:uniqueId val="{00000012-B56B-4BB3-888C-E3926798B676}"/>
            </c:ext>
          </c:extLst>
        </c:ser>
        <c:ser>
          <c:idx val="20"/>
          <c:order val="20"/>
          <c:tx>
            <c:strRef>
              <c:f>'Income Statement'!$B$74</c:f>
              <c:strCache>
                <c:ptCount val="1"/>
                <c:pt idx="0">
                  <c:v>Profit (loss) from continuing operations</c:v>
                </c:pt>
              </c:strCache>
            </c:strRef>
          </c:tx>
          <c:spPr>
            <a:ln w="28575" cap="rnd">
              <a:solidFill>
                <a:schemeClr val="accent3">
                  <a:lumMod val="80000"/>
                </a:schemeClr>
              </a:solidFill>
              <a:round/>
            </a:ln>
            <a:effectLst/>
          </c:spPr>
          <c:marker>
            <c:symbol val="none"/>
          </c:marker>
          <c:cat>
            <c:strRef>
              <c:f>'Income Statement'!$C$53:$F$53</c:f>
              <c:strCache>
                <c:ptCount val="4"/>
                <c:pt idx="0">
                  <c:v>2019</c:v>
                </c:pt>
                <c:pt idx="1">
                  <c:v>2020</c:v>
                </c:pt>
                <c:pt idx="2">
                  <c:v>2021</c:v>
                </c:pt>
                <c:pt idx="3">
                  <c:v>H-Y 2022</c:v>
                </c:pt>
              </c:strCache>
            </c:strRef>
          </c:cat>
          <c:val>
            <c:numRef>
              <c:f>'Income Statement'!$C$74:$F$74</c:f>
              <c:numCache>
                <c:formatCode>0%</c:formatCode>
                <c:ptCount val="4"/>
                <c:pt idx="0">
                  <c:v>0</c:v>
                </c:pt>
                <c:pt idx="1">
                  <c:v>-0.84905660377358494</c:v>
                </c:pt>
                <c:pt idx="2">
                  <c:v>0.73584905660377353</c:v>
                </c:pt>
                <c:pt idx="3">
                  <c:v>-2.6666666666666665</c:v>
                </c:pt>
              </c:numCache>
            </c:numRef>
          </c:val>
          <c:smooth val="0"/>
          <c:extLst>
            <c:ext xmlns:c16="http://schemas.microsoft.com/office/drawing/2014/chart" uri="{C3380CC4-5D6E-409C-BE32-E72D297353CC}">
              <c16:uniqueId val="{00000014-B56B-4BB3-888C-E3926798B676}"/>
            </c:ext>
          </c:extLst>
        </c:ser>
        <c:dLbls>
          <c:showLegendKey val="0"/>
          <c:showVal val="0"/>
          <c:showCatName val="0"/>
          <c:showSerName val="0"/>
          <c:showPercent val="0"/>
          <c:showBubbleSize val="0"/>
        </c:dLbls>
        <c:smooth val="0"/>
        <c:axId val="475633743"/>
        <c:axId val="475632911"/>
        <c:extLst>
          <c:ext xmlns:c15="http://schemas.microsoft.com/office/drawing/2012/chart" uri="{02D57815-91ED-43cb-92C2-25804820EDAC}">
            <c15:filteredLineSeries>
              <c15:ser>
                <c:idx val="2"/>
                <c:order val="2"/>
                <c:tx>
                  <c:strRef>
                    <c:extLst>
                      <c:ext uri="{02D57815-91ED-43cb-92C2-25804820EDAC}">
                        <c15:formulaRef>
                          <c15:sqref>'Income Statement'!$B$56</c15:sqref>
                        </c15:formulaRef>
                      </c:ext>
                    </c:extLst>
                    <c:strCache>
                      <c:ptCount val="1"/>
                      <c:pt idx="0">
                        <c:v>Gross profit </c:v>
                      </c:pt>
                    </c:strCache>
                  </c:strRef>
                </c:tx>
                <c:spPr>
                  <a:ln w="28575" cap="rnd">
                    <a:solidFill>
                      <a:schemeClr val="accent3"/>
                    </a:solidFill>
                    <a:round/>
                  </a:ln>
                  <a:effectLst/>
                </c:spPr>
                <c:marker>
                  <c:symbol val="none"/>
                </c:marker>
                <c:cat>
                  <c:strRef>
                    <c:extLst>
                      <c:ext uri="{02D57815-91ED-43cb-92C2-25804820EDAC}">
                        <c15:formulaRef>
                          <c15:sqref>'Income Statement'!$C$53:$F$53</c15:sqref>
                        </c15:formulaRef>
                      </c:ext>
                    </c:extLst>
                    <c:strCache>
                      <c:ptCount val="4"/>
                      <c:pt idx="0">
                        <c:v>2019</c:v>
                      </c:pt>
                      <c:pt idx="1">
                        <c:v>2020</c:v>
                      </c:pt>
                      <c:pt idx="2">
                        <c:v>2021</c:v>
                      </c:pt>
                      <c:pt idx="3">
                        <c:v>H-Y 2022</c:v>
                      </c:pt>
                    </c:strCache>
                  </c:strRef>
                </c:cat>
                <c:val>
                  <c:numRef>
                    <c:extLst>
                      <c:ext uri="{02D57815-91ED-43cb-92C2-25804820EDAC}">
                        <c15:formulaRef>
                          <c15:sqref>'Income Statement'!$C$56:$F$56</c15:sqref>
                        </c15:formulaRef>
                      </c:ext>
                    </c:extLst>
                    <c:numCache>
                      <c:formatCode>0%</c:formatCode>
                      <c:ptCount val="4"/>
                      <c:pt idx="0">
                        <c:v>0</c:v>
                      </c:pt>
                      <c:pt idx="1">
                        <c:v>-0.3223593964334705</c:v>
                      </c:pt>
                      <c:pt idx="2">
                        <c:v>-0.31824417009602196</c:v>
                      </c:pt>
                      <c:pt idx="3">
                        <c:v>-0.29539295392953929</c:v>
                      </c:pt>
                    </c:numCache>
                  </c:numRef>
                </c:val>
                <c:smooth val="0"/>
                <c:extLst>
                  <c:ext xmlns:c16="http://schemas.microsoft.com/office/drawing/2014/chart" uri="{C3380CC4-5D6E-409C-BE32-E72D297353CC}">
                    <c16:uniqueId val="{00000002-B56B-4BB3-888C-E3926798B67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'Income Statement'!$B$58</c15:sqref>
                        </c15:formulaRef>
                      </c:ext>
                    </c:extLst>
                    <c:strCache>
                      <c:ptCount val="1"/>
                      <c:pt idx="0">
                        <c:v>Selling expenses </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Statement'!$C$58:$F$58</c15:sqref>
                        </c15:formulaRef>
                      </c:ext>
                    </c:extLst>
                    <c:numCache>
                      <c:formatCode>0%</c:formatCode>
                      <c:ptCount val="4"/>
                      <c:pt idx="0">
                        <c:v>0</c:v>
                      </c:pt>
                      <c:pt idx="1">
                        <c:v>0.25418060200668896</c:v>
                      </c:pt>
                      <c:pt idx="2">
                        <c:v>0.22742474916387959</c:v>
                      </c:pt>
                      <c:pt idx="3">
                        <c:v>0.22784810126582278</c:v>
                      </c:pt>
                    </c:numCache>
                  </c:numRef>
                </c:val>
                <c:smooth val="0"/>
                <c:extLst xmlns:c15="http://schemas.microsoft.com/office/drawing/2012/chart">
                  <c:ext xmlns:c16="http://schemas.microsoft.com/office/drawing/2014/chart" uri="{C3380CC4-5D6E-409C-BE32-E72D297353CC}">
                    <c16:uniqueId val="{00000004-B56B-4BB3-888C-E3926798B67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'Income Statement'!$B$59</c15:sqref>
                        </c15:formulaRef>
                      </c:ext>
                    </c:extLst>
                    <c:strCache>
                      <c:ptCount val="1"/>
                      <c:pt idx="0">
                        <c:v>Research and development expenses </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Statement'!$C$59:$F$59</c15:sqref>
                        </c15:formulaRef>
                      </c:ext>
                    </c:extLst>
                    <c:numCache>
                      <c:formatCode>0%</c:formatCode>
                      <c:ptCount val="4"/>
                      <c:pt idx="0">
                        <c:v>0</c:v>
                      </c:pt>
                      <c:pt idx="1">
                        <c:v>0.35374149659863946</c:v>
                      </c:pt>
                      <c:pt idx="2">
                        <c:v>0.35374149659863946</c:v>
                      </c:pt>
                      <c:pt idx="3">
                        <c:v>0.33333333333333331</c:v>
                      </c:pt>
                    </c:numCache>
                  </c:numRef>
                </c:val>
                <c:smooth val="0"/>
                <c:extLst xmlns:c15="http://schemas.microsoft.com/office/drawing/2012/chart">
                  <c:ext xmlns:c16="http://schemas.microsoft.com/office/drawing/2014/chart" uri="{C3380CC4-5D6E-409C-BE32-E72D297353CC}">
                    <c16:uniqueId val="{00000005-B56B-4BB3-888C-E3926798B67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'Income Statement'!$B$60</c15:sqref>
                        </c15:formulaRef>
                      </c:ext>
                    </c:extLst>
                    <c:strCache>
                      <c:ptCount val="1"/>
                      <c:pt idx="0">
                        <c:v>Administrative expenses </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Statement'!$C$60:$F$60</c15:sqref>
                        </c15:formulaRef>
                      </c:ext>
                    </c:extLst>
                    <c:numCache>
                      <c:formatCode>0%</c:formatCode>
                      <c:ptCount val="4"/>
                      <c:pt idx="0">
                        <c:v>0</c:v>
                      </c:pt>
                      <c:pt idx="1">
                        <c:v>0.18181818181818182</c:v>
                      </c:pt>
                      <c:pt idx="2">
                        <c:v>0.11931818181818182</c:v>
                      </c:pt>
                      <c:pt idx="3">
                        <c:v>3.4482758620689655E-2</c:v>
                      </c:pt>
                    </c:numCache>
                  </c:numRef>
                </c:val>
                <c:smooth val="0"/>
                <c:extLst xmlns:c15="http://schemas.microsoft.com/office/drawing/2012/chart">
                  <c:ext xmlns:c16="http://schemas.microsoft.com/office/drawing/2014/chart" uri="{C3380CC4-5D6E-409C-BE32-E72D297353CC}">
                    <c16:uniqueId val="{00000006-B56B-4BB3-888C-E3926798B67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'Income Statement'!$B$61</c15:sqref>
                        </c15:formulaRef>
                      </c:ext>
                    </c:extLst>
                    <c:strCache>
                      <c:ptCount val="1"/>
                      <c:pt idx="0">
                        <c:v>Net impairment loss on trade and other receivables, including contract assets </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Statement'!$C$61:$F$61</c15:sqref>
                        </c15:formulaRef>
                      </c:ext>
                    </c:extLst>
                    <c:numCache>
                      <c:formatCode>0%</c:formatCode>
                      <c:ptCount val="4"/>
                      <c:pt idx="0">
                        <c:v>0</c:v>
                      </c:pt>
                      <c:pt idx="1">
                        <c:v>0.5</c:v>
                      </c:pt>
                      <c:pt idx="2">
                        <c:v>0.5</c:v>
                      </c:pt>
                      <c:pt idx="3">
                        <c:v>0</c:v>
                      </c:pt>
                    </c:numCache>
                  </c:numRef>
                </c:val>
                <c:smooth val="0"/>
                <c:extLst xmlns:c15="http://schemas.microsoft.com/office/drawing/2012/chart">
                  <c:ext xmlns:c16="http://schemas.microsoft.com/office/drawing/2014/chart" uri="{C3380CC4-5D6E-409C-BE32-E72D297353CC}">
                    <c16:uniqueId val="{00000007-B56B-4BB3-888C-E3926798B676}"/>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'Income Statement'!$B$62</c15:sqref>
                        </c15:formulaRef>
                      </c:ext>
                    </c:extLst>
                    <c:strCache>
                      <c:ptCount val="1"/>
                      <c:pt idx="0">
                        <c:v>Other operating income </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Statement'!$C$62:$F$62</c15:sqref>
                        </c15:formulaRef>
                      </c:ext>
                    </c:extLst>
                    <c:numCache>
                      <c:formatCode>0%</c:formatCode>
                      <c:ptCount val="4"/>
                      <c:pt idx="0">
                        <c:v>0</c:v>
                      </c:pt>
                      <c:pt idx="1">
                        <c:v>-7.1428571428571425E-2</c:v>
                      </c:pt>
                      <c:pt idx="2">
                        <c:v>-2.3809523809523808E-2</c:v>
                      </c:pt>
                      <c:pt idx="3">
                        <c:v>0</c:v>
                      </c:pt>
                    </c:numCache>
                  </c:numRef>
                </c:val>
                <c:smooth val="0"/>
                <c:extLst xmlns:c15="http://schemas.microsoft.com/office/drawing/2012/chart">
                  <c:ext xmlns:c16="http://schemas.microsoft.com/office/drawing/2014/chart" uri="{C3380CC4-5D6E-409C-BE32-E72D297353CC}">
                    <c16:uniqueId val="{00000008-B56B-4BB3-888C-E3926798B676}"/>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'Income Statement'!$B$63</c15:sqref>
                        </c15:formulaRef>
                      </c:ext>
                    </c:extLst>
                    <c:strCache>
                      <c:ptCount val="1"/>
                      <c:pt idx="0">
                        <c:v>Other operating expenses </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Statement'!$C$63:$F$63</c15:sqref>
                        </c15:formulaRef>
                      </c:ext>
                    </c:extLst>
                    <c:numCache>
                      <c:formatCode>0%</c:formatCode>
                      <c:ptCount val="4"/>
                      <c:pt idx="0">
                        <c:v>0</c:v>
                      </c:pt>
                      <c:pt idx="1">
                        <c:v>6.8702290076335881E-2</c:v>
                      </c:pt>
                      <c:pt idx="2">
                        <c:v>0.64122137404580148</c:v>
                      </c:pt>
                      <c:pt idx="3">
                        <c:v>1.4827586206896552</c:v>
                      </c:pt>
                    </c:numCache>
                  </c:numRef>
                </c:val>
                <c:smooth val="0"/>
                <c:extLst xmlns:c15="http://schemas.microsoft.com/office/drawing/2012/chart">
                  <c:ext xmlns:c16="http://schemas.microsoft.com/office/drawing/2014/chart" uri="{C3380CC4-5D6E-409C-BE32-E72D297353CC}">
                    <c16:uniqueId val="{00000009-B56B-4BB3-888C-E3926798B676}"/>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'Income Statement'!$B$65</c15:sqref>
                        </c15:formulaRef>
                      </c:ext>
                    </c:extLst>
                    <c:strCache>
                      <c:ptCount val="1"/>
                      <c:pt idx="0">
                        <c:v>Interest income (expense) - net </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Statement'!$C$65:$F$65</c15:sqref>
                        </c15:formulaRef>
                      </c:ext>
                    </c:extLst>
                    <c:numCache>
                      <c:formatCode>0%</c:formatCode>
                      <c:ptCount val="4"/>
                      <c:pt idx="0">
                        <c:v>0</c:v>
                      </c:pt>
                      <c:pt idx="1">
                        <c:v>0.5</c:v>
                      </c:pt>
                      <c:pt idx="2">
                        <c:v>0.875</c:v>
                      </c:pt>
                      <c:pt idx="3">
                        <c:v>0.75</c:v>
                      </c:pt>
                    </c:numCache>
                  </c:numRef>
                </c:val>
                <c:smooth val="0"/>
                <c:extLst xmlns:c15="http://schemas.microsoft.com/office/drawing/2012/chart">
                  <c:ext xmlns:c16="http://schemas.microsoft.com/office/drawing/2014/chart" uri="{C3380CC4-5D6E-409C-BE32-E72D297353CC}">
                    <c16:uniqueId val="{0000000B-B56B-4BB3-888C-E3926798B676}"/>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'Income Statement'!$B$66</c15:sqref>
                        </c15:formulaRef>
                      </c:ext>
                    </c:extLst>
                    <c:strCache>
                      <c:ptCount val="1"/>
                      <c:pt idx="0">
                        <c:v>Interest income </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Statement'!$C$66:$F$66</c15:sqref>
                        </c15:formulaRef>
                      </c:ext>
                    </c:extLst>
                    <c:numCache>
                      <c:formatCode>0%</c:formatCode>
                      <c:ptCount val="4"/>
                      <c:pt idx="0">
                        <c:v>0</c:v>
                      </c:pt>
                      <c:pt idx="1">
                        <c:v>-0.5</c:v>
                      </c:pt>
                      <c:pt idx="2">
                        <c:v>0</c:v>
                      </c:pt>
                      <c:pt idx="3">
                        <c:v>0</c:v>
                      </c:pt>
                    </c:numCache>
                  </c:numRef>
                </c:val>
                <c:smooth val="0"/>
                <c:extLst xmlns:c15="http://schemas.microsoft.com/office/drawing/2012/chart">
                  <c:ext xmlns:c16="http://schemas.microsoft.com/office/drawing/2014/chart" uri="{C3380CC4-5D6E-409C-BE32-E72D297353CC}">
                    <c16:uniqueId val="{0000000C-B56B-4BB3-888C-E3926798B676}"/>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'Income Statement'!$B$67</c15:sqref>
                        </c15:formulaRef>
                      </c:ext>
                    </c:extLst>
                    <c:strCache>
                      <c:ptCount val="1"/>
                      <c:pt idx="0">
                        <c:v>Interest expense </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Statement'!$C$67:$F$67</c15:sqref>
                        </c15:formulaRef>
                      </c:ext>
                    </c:extLst>
                    <c:numCache>
                      <c:formatCode>0%</c:formatCode>
                      <c:ptCount val="4"/>
                      <c:pt idx="0">
                        <c:v>0</c:v>
                      </c:pt>
                      <c:pt idx="1">
                        <c:v>0.4</c:v>
                      </c:pt>
                      <c:pt idx="2">
                        <c:v>0.7</c:v>
                      </c:pt>
                      <c:pt idx="3">
                        <c:v>0.8</c:v>
                      </c:pt>
                    </c:numCache>
                  </c:numRef>
                </c:val>
                <c:smooth val="0"/>
                <c:extLst xmlns:c15="http://schemas.microsoft.com/office/drawing/2012/chart">
                  <c:ext xmlns:c16="http://schemas.microsoft.com/office/drawing/2014/chart" uri="{C3380CC4-5D6E-409C-BE32-E72D297353CC}">
                    <c16:uniqueId val="{0000000D-B56B-4BB3-888C-E3926798B676}"/>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'Income Statement'!$B$68</c15:sqref>
                        </c15:formulaRef>
                      </c:ext>
                    </c:extLst>
                    <c:strCache>
                      <c:ptCount val="1"/>
                      <c:pt idx="0">
                        <c:v>Other finance income (expense) - net </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Statement'!$C$68:$F$68</c15:sqref>
                        </c15:formulaRef>
                      </c:ext>
                    </c:extLst>
                    <c:numCache>
                      <c:formatCode>0%</c:formatCode>
                      <c:ptCount val="4"/>
                      <c:pt idx="0">
                        <c:v>0</c:v>
                      </c:pt>
                      <c:pt idx="1">
                        <c:v>0.13333333333333333</c:v>
                      </c:pt>
                      <c:pt idx="2">
                        <c:v>0.8</c:v>
                      </c:pt>
                      <c:pt idx="3">
                        <c:v>0.4375</c:v>
                      </c:pt>
                    </c:numCache>
                  </c:numRef>
                </c:val>
                <c:smooth val="0"/>
                <c:extLst xmlns:c15="http://schemas.microsoft.com/office/drawing/2012/chart">
                  <c:ext xmlns:c16="http://schemas.microsoft.com/office/drawing/2014/chart" uri="{C3380CC4-5D6E-409C-BE32-E72D297353CC}">
                    <c16:uniqueId val="{0000000E-B56B-4BB3-888C-E3926798B676}"/>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'Income Statement'!$B$69</c15:sqref>
                        </c15:formulaRef>
                      </c:ext>
                    </c:extLst>
                    <c:strCache>
                      <c:ptCount val="1"/>
                      <c:pt idx="0">
                        <c:v>Other finance income </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Statement'!$C$69:$F$69</c15:sqref>
                        </c15:formulaRef>
                      </c:ext>
                    </c:extLst>
                    <c:numCache>
                      <c:formatCode>0%</c:formatCode>
                      <c:ptCount val="4"/>
                      <c:pt idx="0">
                        <c:v>0</c:v>
                      </c:pt>
                      <c:pt idx="1">
                        <c:v>-0.75</c:v>
                      </c:pt>
                      <c:pt idx="2">
                        <c:v>0.25</c:v>
                      </c:pt>
                      <c:pt idx="3">
                        <c:v>0.25</c:v>
                      </c:pt>
                    </c:numCache>
                  </c:numRef>
                </c:val>
                <c:smooth val="0"/>
                <c:extLst xmlns:c15="http://schemas.microsoft.com/office/drawing/2012/chart">
                  <c:ext xmlns:c16="http://schemas.microsoft.com/office/drawing/2014/chart" uri="{C3380CC4-5D6E-409C-BE32-E72D297353CC}">
                    <c16:uniqueId val="{0000000F-B56B-4BB3-888C-E3926798B676}"/>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'Income Statement'!$B$70</c15:sqref>
                        </c15:formulaRef>
                      </c:ext>
                    </c:extLst>
                    <c:strCache>
                      <c:ptCount val="1"/>
                      <c:pt idx="0">
                        <c:v>Other finance expense </c:v>
                      </c:pt>
                    </c:strCache>
                  </c:strRef>
                </c:tx>
                <c:spPr>
                  <a:ln w="28575" cap="rnd">
                    <a:solidFill>
                      <a:schemeClr val="accent5">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Statement'!$C$70:$F$70</c15:sqref>
                        </c15:formulaRef>
                      </c:ext>
                    </c:extLst>
                    <c:numCache>
                      <c:formatCode>0%</c:formatCode>
                      <c:ptCount val="4"/>
                      <c:pt idx="0">
                        <c:v>0</c:v>
                      </c:pt>
                      <c:pt idx="1">
                        <c:v>0.26315789473684209</c:v>
                      </c:pt>
                      <c:pt idx="2">
                        <c:v>0.57894736842105265</c:v>
                      </c:pt>
                      <c:pt idx="3">
                        <c:v>0.3</c:v>
                      </c:pt>
                    </c:numCache>
                  </c:numRef>
                </c:val>
                <c:smooth val="0"/>
                <c:extLst xmlns:c15="http://schemas.microsoft.com/office/drawing/2012/chart">
                  <c:ext xmlns:c16="http://schemas.microsoft.com/office/drawing/2014/chart" uri="{C3380CC4-5D6E-409C-BE32-E72D297353CC}">
                    <c16:uniqueId val="{00000010-B56B-4BB3-888C-E3926798B676}"/>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'Income Statement'!$B$71</c15:sqref>
                        </c15:formulaRef>
                      </c:ext>
                    </c:extLst>
                    <c:strCache>
                      <c:ptCount val="1"/>
                      <c:pt idx="0">
                        <c:v>Net finance costs </c:v>
                      </c:pt>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Statement'!$C$71:$F$71</c15:sqref>
                        </c15:formulaRef>
                      </c:ext>
                    </c:extLst>
                    <c:numCache>
                      <c:formatCode>0%</c:formatCode>
                      <c:ptCount val="4"/>
                      <c:pt idx="0">
                        <c:v>0</c:v>
                      </c:pt>
                      <c:pt idx="1">
                        <c:v>0.18421052631578946</c:v>
                      </c:pt>
                      <c:pt idx="2">
                        <c:v>0.78947368421052633</c:v>
                      </c:pt>
                      <c:pt idx="3">
                        <c:v>0.55000000000000004</c:v>
                      </c:pt>
                    </c:numCache>
                  </c:numRef>
                </c:val>
                <c:smooth val="0"/>
                <c:extLst xmlns:c15="http://schemas.microsoft.com/office/drawing/2012/chart">
                  <c:ext xmlns:c16="http://schemas.microsoft.com/office/drawing/2014/chart" uri="{C3380CC4-5D6E-409C-BE32-E72D297353CC}">
                    <c16:uniqueId val="{00000011-B56B-4BB3-888C-E3926798B676}"/>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'Income Statement'!$B$73</c15:sqref>
                        </c15:formulaRef>
                      </c:ext>
                    </c:extLst>
                    <c:strCache>
                      <c:ptCount val="1"/>
                      <c:pt idx="0">
                        <c:v>Income tax expense </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Statement'!$C$73:$F$73</c15:sqref>
                        </c15:formulaRef>
                      </c:ext>
                    </c:extLst>
                    <c:numCache>
                      <c:formatCode>0%</c:formatCode>
                      <c:ptCount val="4"/>
                      <c:pt idx="0">
                        <c:v>0</c:v>
                      </c:pt>
                      <c:pt idx="1">
                        <c:v>0.4642857142857143</c:v>
                      </c:pt>
                      <c:pt idx="2">
                        <c:v>0.4642857142857143</c:v>
                      </c:pt>
                      <c:pt idx="3">
                        <c:v>0.5</c:v>
                      </c:pt>
                    </c:numCache>
                  </c:numRef>
                </c:val>
                <c:smooth val="0"/>
                <c:extLst xmlns:c15="http://schemas.microsoft.com/office/drawing/2012/chart">
                  <c:ext xmlns:c16="http://schemas.microsoft.com/office/drawing/2014/chart" uri="{C3380CC4-5D6E-409C-BE32-E72D297353CC}">
                    <c16:uniqueId val="{00000013-B56B-4BB3-888C-E3926798B676}"/>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'Income Statement'!$B$75</c15:sqref>
                        </c15:formulaRef>
                      </c:ext>
                    </c:extLst>
                    <c:strCache>
                      <c:ptCount val="1"/>
                      <c:pt idx="0">
                        <c:v>Profit (loss) from discontinued operation - net of tax</c:v>
                      </c:pt>
                    </c:strCache>
                  </c:strRef>
                </c:tx>
                <c:spPr>
                  <a:ln w="28575" cap="rnd">
                    <a:solidFill>
                      <a:schemeClr val="accent4">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Statement'!$C$75:$F$75</c15:sqref>
                        </c15:formulaRef>
                      </c:ext>
                    </c:extLst>
                    <c:numCache>
                      <c:formatCode>0%</c:formatCode>
                      <c:ptCount val="4"/>
                      <c:pt idx="0">
                        <c:v>0</c:v>
                      </c:pt>
                      <c:pt idx="1">
                        <c:v>142.80000000000001</c:v>
                      </c:pt>
                      <c:pt idx="2">
                        <c:v>0</c:v>
                      </c:pt>
                      <c:pt idx="3">
                        <c:v>0</c:v>
                      </c:pt>
                    </c:numCache>
                  </c:numRef>
                </c:val>
                <c:smooth val="0"/>
                <c:extLst xmlns:c15="http://schemas.microsoft.com/office/drawing/2012/chart">
                  <c:ext xmlns:c16="http://schemas.microsoft.com/office/drawing/2014/chart" uri="{C3380CC4-5D6E-409C-BE32-E72D297353CC}">
                    <c16:uniqueId val="{00000015-B56B-4BB3-888C-E3926798B676}"/>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'Income Statement'!$B$76</c15:sqref>
                        </c15:formulaRef>
                      </c:ext>
                    </c:extLst>
                    <c:strCache>
                      <c:ptCount val="1"/>
                      <c:pt idx="0">
                        <c:v>Profit (loss) for the year</c:v>
                      </c:pt>
                    </c:strCache>
                  </c:strRef>
                </c:tx>
                <c:spPr>
                  <a:ln w="28575" cap="rnd">
                    <a:solidFill>
                      <a:schemeClr val="accent5">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'Income Statement'!$C$53:$F$53</c15:sqref>
                        </c15:formulaRef>
                      </c:ext>
                    </c:extLst>
                    <c:strCache>
                      <c:ptCount val="4"/>
                      <c:pt idx="0">
                        <c:v>2019</c:v>
                      </c:pt>
                      <c:pt idx="1">
                        <c:v>2020</c:v>
                      </c:pt>
                      <c:pt idx="2">
                        <c:v>2021</c:v>
                      </c:pt>
                      <c:pt idx="3">
                        <c:v>H-Y 2022</c:v>
                      </c:pt>
                    </c:strCache>
                  </c:strRef>
                </c:cat>
                <c:val>
                  <c:numRef>
                    <c:extLst xmlns:c15="http://schemas.microsoft.com/office/drawing/2012/chart">
                      <c:ext xmlns:c15="http://schemas.microsoft.com/office/drawing/2012/chart" uri="{02D57815-91ED-43cb-92C2-25804820EDAC}">
                        <c15:formulaRef>
                          <c15:sqref>'Income Statement'!$C$76:$F$76</c15:sqref>
                        </c15:formulaRef>
                      </c:ext>
                    </c:extLst>
                    <c:numCache>
                      <c:formatCode>0%</c:formatCode>
                      <c:ptCount val="4"/>
                      <c:pt idx="0">
                        <c:v>0</c:v>
                      </c:pt>
                      <c:pt idx="1">
                        <c:v>13.9375</c:v>
                      </c:pt>
                      <c:pt idx="2">
                        <c:v>0.70833333333333337</c:v>
                      </c:pt>
                      <c:pt idx="3">
                        <c:v>-2.6666666666666665</c:v>
                      </c:pt>
                    </c:numCache>
                  </c:numRef>
                </c:val>
                <c:smooth val="0"/>
                <c:extLst xmlns:c15="http://schemas.microsoft.com/office/drawing/2012/chart">
                  <c:ext xmlns:c16="http://schemas.microsoft.com/office/drawing/2014/chart" uri="{C3380CC4-5D6E-409C-BE32-E72D297353CC}">
                    <c16:uniqueId val="{00000016-B56B-4BB3-888C-E3926798B676}"/>
                  </c:ext>
                </c:extLst>
              </c15:ser>
            </c15:filteredLineSeries>
          </c:ext>
        </c:extLst>
      </c:lineChart>
      <c:catAx>
        <c:axId val="4756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475632911"/>
        <c:crosses val="autoZero"/>
        <c:auto val="1"/>
        <c:lblAlgn val="ctr"/>
        <c:lblOffset val="100"/>
        <c:noMultiLvlLbl val="0"/>
      </c:catAx>
      <c:valAx>
        <c:axId val="475632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475633743"/>
        <c:crosses val="autoZero"/>
        <c:crossBetween val="between"/>
      </c:valAx>
      <c:spPr>
        <a:noFill/>
        <a:ln>
          <a:noFill/>
        </a:ln>
        <a:effectLst/>
      </c:spPr>
    </c:plotArea>
    <c:legend>
      <c:legendPos val="b"/>
      <c:layout>
        <c:manualLayout>
          <c:xMode val="edge"/>
          <c:yMode val="edge"/>
          <c:x val="0.17211651856420149"/>
          <c:y val="0.48876730397290258"/>
          <c:w val="0.73879696896596447"/>
          <c:h val="0.1302196542988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'Income Statement'!$M$53</c:f>
              <c:strCache>
                <c:ptCount val="1"/>
                <c:pt idx="0">
                  <c:v>2019</c:v>
                </c:pt>
              </c:strCache>
            </c:strRef>
          </c:tx>
          <c:spPr>
            <a:solidFill>
              <a:schemeClr val="accent1"/>
            </a:solidFill>
            <a:ln>
              <a:noFill/>
            </a:ln>
            <a:effectLst/>
          </c:spPr>
          <c:invertIfNegative val="0"/>
          <c:cat>
            <c:strRef>
              <c:extLst>
                <c:ext xmlns:c15="http://schemas.microsoft.com/office/drawing/2012/chart" uri="{02D57815-91ED-43cb-92C2-25804820EDAC}">
                  <c15:fullRef>
                    <c15:sqref>'Income Statement'!$L$54:$L$76</c15:sqref>
                  </c15:fullRef>
                </c:ext>
              </c:extLst>
              <c:f>('Income Statement'!$L$56:$L$60,'Income Statement'!$L$62:$L$64,'Income Statement'!$L$74)</c:f>
              <c:strCache>
                <c:ptCount val="9"/>
                <c:pt idx="0">
                  <c:v>Gross profit </c:v>
                </c:pt>
                <c:pt idx="1">
                  <c:v>Administrative expenses </c:v>
                </c:pt>
                <c:pt idx="2">
                  <c:v>Selling expenses </c:v>
                </c:pt>
                <c:pt idx="3">
                  <c:v>Research and development expenses </c:v>
                </c:pt>
                <c:pt idx="4">
                  <c:v>Administrative expenses </c:v>
                </c:pt>
                <c:pt idx="5">
                  <c:v>Other operating income </c:v>
                </c:pt>
                <c:pt idx="6">
                  <c:v>Other operating expenses </c:v>
                </c:pt>
                <c:pt idx="7">
                  <c:v>Results from operating activities </c:v>
                </c:pt>
                <c:pt idx="8">
                  <c:v>Profit (loss) from continuing operations</c:v>
                </c:pt>
              </c:strCache>
            </c:strRef>
          </c:cat>
          <c:val>
            <c:numRef>
              <c:extLst>
                <c:ext xmlns:c15="http://schemas.microsoft.com/office/drawing/2012/chart" uri="{02D57815-91ED-43cb-92C2-25804820EDAC}">
                  <c15:fullRef>
                    <c15:sqref>'Income Statement'!$M$54:$M$76</c15:sqref>
                  </c15:fullRef>
                </c:ext>
              </c:extLst>
              <c:f>('Income Statement'!$M$56:$M$60,'Income Statement'!$M$62:$M$64,'Income Statement'!$M$74)</c:f>
              <c:numCache>
                <c:formatCode>0%</c:formatCode>
                <c:ptCount val="9"/>
                <c:pt idx="0">
                  <c:v>0.32559178204555606</c:v>
                </c:pt>
                <c:pt idx="1">
                  <c:v>0.319338990620813</c:v>
                </c:pt>
                <c:pt idx="2">
                  <c:v>0.13354175971415799</c:v>
                </c:pt>
                <c:pt idx="3">
                  <c:v>6.5654309959803495E-2</c:v>
                </c:pt>
                <c:pt idx="4">
                  <c:v>7.86065207682001E-2</c:v>
                </c:pt>
                <c:pt idx="5">
                  <c:v>1.8758374274229567E-2</c:v>
                </c:pt>
                <c:pt idx="6">
                  <c:v>5.8508262617239799E-2</c:v>
                </c:pt>
                <c:pt idx="7">
                  <c:v>6.2527914247431891E-3</c:v>
                </c:pt>
                <c:pt idx="8">
                  <c:v>2.36712818222421E-2</c:v>
                </c:pt>
              </c:numCache>
            </c:numRef>
          </c:val>
          <c:extLst>
            <c:ext xmlns:c16="http://schemas.microsoft.com/office/drawing/2014/chart" uri="{C3380CC4-5D6E-409C-BE32-E72D297353CC}">
              <c16:uniqueId val="{00000000-7984-4BEA-8F19-0F3E6B2A6248}"/>
            </c:ext>
          </c:extLst>
        </c:ser>
        <c:ser>
          <c:idx val="1"/>
          <c:order val="1"/>
          <c:tx>
            <c:strRef>
              <c:f>'Income Statement'!$N$53</c:f>
              <c:strCache>
                <c:ptCount val="1"/>
                <c:pt idx="0">
                  <c:v>2020</c:v>
                </c:pt>
              </c:strCache>
            </c:strRef>
          </c:tx>
          <c:spPr>
            <a:solidFill>
              <a:schemeClr val="accent2"/>
            </a:solidFill>
            <a:ln>
              <a:noFill/>
            </a:ln>
            <a:effectLst/>
          </c:spPr>
          <c:invertIfNegative val="0"/>
          <c:cat>
            <c:strRef>
              <c:extLst>
                <c:ext xmlns:c15="http://schemas.microsoft.com/office/drawing/2012/chart" uri="{02D57815-91ED-43cb-92C2-25804820EDAC}">
                  <c15:fullRef>
                    <c15:sqref>'Income Statement'!$L$54:$L$76</c15:sqref>
                  </c15:fullRef>
                </c:ext>
              </c:extLst>
              <c:f>('Income Statement'!$L$56:$L$60,'Income Statement'!$L$62:$L$64,'Income Statement'!$L$74)</c:f>
              <c:strCache>
                <c:ptCount val="9"/>
                <c:pt idx="0">
                  <c:v>Gross profit </c:v>
                </c:pt>
                <c:pt idx="1">
                  <c:v>Administrative expenses </c:v>
                </c:pt>
                <c:pt idx="2">
                  <c:v>Selling expenses </c:v>
                </c:pt>
                <c:pt idx="3">
                  <c:v>Research and development expenses </c:v>
                </c:pt>
                <c:pt idx="4">
                  <c:v>Administrative expenses </c:v>
                </c:pt>
                <c:pt idx="5">
                  <c:v>Other operating income </c:v>
                </c:pt>
                <c:pt idx="6">
                  <c:v>Other operating expenses </c:v>
                </c:pt>
                <c:pt idx="7">
                  <c:v>Results from operating activities </c:v>
                </c:pt>
                <c:pt idx="8">
                  <c:v>Profit (loss) from continuing operations</c:v>
                </c:pt>
              </c:strCache>
            </c:strRef>
          </c:cat>
          <c:val>
            <c:numRef>
              <c:extLst>
                <c:ext xmlns:c15="http://schemas.microsoft.com/office/drawing/2012/chart" uri="{02D57815-91ED-43cb-92C2-25804820EDAC}">
                  <c15:fullRef>
                    <c15:sqref>'Income Statement'!$N$54:$N$76</c15:sqref>
                  </c15:fullRef>
                </c:ext>
              </c:extLst>
              <c:f>('Income Statement'!$N$56:$N$60,'Income Statement'!$N$62:$N$64,'Income Statement'!$N$74)</c:f>
              <c:numCache>
                <c:formatCode>0%</c:formatCode>
                <c:ptCount val="9"/>
                <c:pt idx="0">
                  <c:v>0.2890579286132241</c:v>
                </c:pt>
                <c:pt idx="1">
                  <c:v>0.32007021650087802</c:v>
                </c:pt>
                <c:pt idx="2">
                  <c:v>0.13048566413107099</c:v>
                </c:pt>
                <c:pt idx="3">
                  <c:v>5.5588063194850802E-2</c:v>
                </c:pt>
                <c:pt idx="4">
                  <c:v>8.4259801053247499E-2</c:v>
                </c:pt>
                <c:pt idx="5">
                  <c:v>2.2820362785254535E-2</c:v>
                </c:pt>
                <c:pt idx="6">
                  <c:v>7.1386775892334706E-2</c:v>
                </c:pt>
                <c:pt idx="7">
                  <c:v>3.0427150380339399E-2</c:v>
                </c:pt>
                <c:pt idx="8">
                  <c:v>5.7343475716793497E-2</c:v>
                </c:pt>
              </c:numCache>
            </c:numRef>
          </c:val>
          <c:extLst>
            <c:ext xmlns:c16="http://schemas.microsoft.com/office/drawing/2014/chart" uri="{C3380CC4-5D6E-409C-BE32-E72D297353CC}">
              <c16:uniqueId val="{00000001-7984-4BEA-8F19-0F3E6B2A6248}"/>
            </c:ext>
          </c:extLst>
        </c:ser>
        <c:ser>
          <c:idx val="2"/>
          <c:order val="2"/>
          <c:tx>
            <c:strRef>
              <c:f>'Income Statement'!$O$53</c:f>
              <c:strCache>
                <c:ptCount val="1"/>
                <c:pt idx="0">
                  <c:v>2021</c:v>
                </c:pt>
              </c:strCache>
            </c:strRef>
          </c:tx>
          <c:spPr>
            <a:solidFill>
              <a:schemeClr val="accent3"/>
            </a:solidFill>
            <a:ln>
              <a:noFill/>
            </a:ln>
            <a:effectLst/>
          </c:spPr>
          <c:invertIfNegative val="0"/>
          <c:cat>
            <c:strRef>
              <c:extLst>
                <c:ext xmlns:c15="http://schemas.microsoft.com/office/drawing/2012/chart" uri="{02D57815-91ED-43cb-92C2-25804820EDAC}">
                  <c15:fullRef>
                    <c15:sqref>'Income Statement'!$L$54:$L$76</c15:sqref>
                  </c15:fullRef>
                </c:ext>
              </c:extLst>
              <c:f>('Income Statement'!$L$56:$L$60,'Income Statement'!$L$62:$L$64,'Income Statement'!$L$74)</c:f>
              <c:strCache>
                <c:ptCount val="9"/>
                <c:pt idx="0">
                  <c:v>Gross profit </c:v>
                </c:pt>
                <c:pt idx="1">
                  <c:v>Administrative expenses </c:v>
                </c:pt>
                <c:pt idx="2">
                  <c:v>Selling expenses </c:v>
                </c:pt>
                <c:pt idx="3">
                  <c:v>Research and development expenses </c:v>
                </c:pt>
                <c:pt idx="4">
                  <c:v>Administrative expenses </c:v>
                </c:pt>
                <c:pt idx="5">
                  <c:v>Other operating income </c:v>
                </c:pt>
                <c:pt idx="6">
                  <c:v>Other operating expenses </c:v>
                </c:pt>
                <c:pt idx="7">
                  <c:v>Results from operating activities </c:v>
                </c:pt>
                <c:pt idx="8">
                  <c:v>Profit (loss) from continuing operations</c:v>
                </c:pt>
              </c:strCache>
            </c:strRef>
          </c:cat>
          <c:val>
            <c:numRef>
              <c:extLst>
                <c:ext xmlns:c15="http://schemas.microsoft.com/office/drawing/2012/chart" uri="{02D57815-91ED-43cb-92C2-25804820EDAC}">
                  <c15:fullRef>
                    <c15:sqref>'Income Statement'!$O$54:$O$76</c15:sqref>
                  </c15:fullRef>
                </c:ext>
              </c:extLst>
              <c:f>('Income Statement'!$O$56:$O$60,'Income Statement'!$O$62:$O$64,'Income Statement'!$O$74)</c:f>
              <c:numCache>
                <c:formatCode>0%</c:formatCode>
                <c:ptCount val="9"/>
                <c:pt idx="0">
                  <c:v>0.28238636363636366</c:v>
                </c:pt>
                <c:pt idx="1">
                  <c:v>0.27784090909090903</c:v>
                </c:pt>
                <c:pt idx="2">
                  <c:v>0.13125000000000001</c:v>
                </c:pt>
                <c:pt idx="3">
                  <c:v>5.39772727272727E-2</c:v>
                </c:pt>
                <c:pt idx="4">
                  <c:v>8.8068181818181795E-2</c:v>
                </c:pt>
                <c:pt idx="5">
                  <c:v>2.3295454545454546E-2</c:v>
                </c:pt>
                <c:pt idx="6">
                  <c:v>2.6704545454545502E-2</c:v>
                </c:pt>
                <c:pt idx="7">
                  <c:v>5.1136363636363636E-3</c:v>
                </c:pt>
                <c:pt idx="8">
                  <c:v>7.9545454545454503E-3</c:v>
                </c:pt>
              </c:numCache>
            </c:numRef>
          </c:val>
          <c:extLst>
            <c:ext xmlns:c16="http://schemas.microsoft.com/office/drawing/2014/chart" uri="{C3380CC4-5D6E-409C-BE32-E72D297353CC}">
              <c16:uniqueId val="{00000002-7984-4BEA-8F19-0F3E6B2A6248}"/>
            </c:ext>
          </c:extLst>
        </c:ser>
        <c:ser>
          <c:idx val="3"/>
          <c:order val="3"/>
          <c:tx>
            <c:strRef>
              <c:f>'Income Statement'!$P$53</c:f>
              <c:strCache>
                <c:ptCount val="1"/>
                <c:pt idx="0">
                  <c:v>H-Y2022</c:v>
                </c:pt>
              </c:strCache>
            </c:strRef>
          </c:tx>
          <c:spPr>
            <a:solidFill>
              <a:schemeClr val="accent4"/>
            </a:solidFill>
            <a:ln>
              <a:noFill/>
            </a:ln>
            <a:effectLst/>
          </c:spPr>
          <c:invertIfNegative val="0"/>
          <c:cat>
            <c:strRef>
              <c:extLst>
                <c:ext xmlns:c15="http://schemas.microsoft.com/office/drawing/2012/chart" uri="{02D57815-91ED-43cb-92C2-25804820EDAC}">
                  <c15:fullRef>
                    <c15:sqref>'Income Statement'!$L$54:$L$76</c15:sqref>
                  </c15:fullRef>
                </c:ext>
              </c:extLst>
              <c:f>('Income Statement'!$L$56:$L$60,'Income Statement'!$L$62:$L$64,'Income Statement'!$L$74)</c:f>
              <c:strCache>
                <c:ptCount val="9"/>
                <c:pt idx="0">
                  <c:v>Gross profit </c:v>
                </c:pt>
                <c:pt idx="1">
                  <c:v>Administrative expenses </c:v>
                </c:pt>
                <c:pt idx="2">
                  <c:v>Selling expenses </c:v>
                </c:pt>
                <c:pt idx="3">
                  <c:v>Research and development expenses </c:v>
                </c:pt>
                <c:pt idx="4">
                  <c:v>Administrative expenses </c:v>
                </c:pt>
                <c:pt idx="5">
                  <c:v>Other operating income </c:v>
                </c:pt>
                <c:pt idx="6">
                  <c:v>Other operating expenses </c:v>
                </c:pt>
                <c:pt idx="7">
                  <c:v>Results from operating activities </c:v>
                </c:pt>
                <c:pt idx="8">
                  <c:v>Profit (loss) from continuing operations</c:v>
                </c:pt>
              </c:strCache>
            </c:strRef>
          </c:cat>
          <c:val>
            <c:numRef>
              <c:extLst>
                <c:ext xmlns:c15="http://schemas.microsoft.com/office/drawing/2012/chart" uri="{02D57815-91ED-43cb-92C2-25804820EDAC}">
                  <c15:fullRef>
                    <c15:sqref>'Income Statement'!$P$54:$P$76</c15:sqref>
                  </c15:fullRef>
                </c:ext>
              </c:extLst>
              <c:f>('Income Statement'!$P$56:$P$60,'Income Statement'!$P$62:$P$64,'Income Statement'!$P$74)</c:f>
              <c:numCache>
                <c:formatCode>0%</c:formatCode>
                <c:ptCount val="9"/>
                <c:pt idx="0">
                  <c:v>0.29115341545352741</c:v>
                </c:pt>
                <c:pt idx="1">
                  <c:v>0.26875699888017901</c:v>
                </c:pt>
                <c:pt idx="2">
                  <c:v>0.13661814109742401</c:v>
                </c:pt>
                <c:pt idx="3">
                  <c:v>5.3751399776035803E-2</c:v>
                </c:pt>
                <c:pt idx="4">
                  <c:v>9.4064949608062706E-2</c:v>
                </c:pt>
                <c:pt idx="5">
                  <c:v>0</c:v>
                </c:pt>
                <c:pt idx="6">
                  <c:v>1.5677491601343786E-2</c:v>
                </c:pt>
                <c:pt idx="7">
                  <c:v>-3.3594624860022394E-3</c:v>
                </c:pt>
                <c:pt idx="8">
                  <c:v>2.2396416573348302E-2</c:v>
                </c:pt>
              </c:numCache>
            </c:numRef>
          </c:val>
          <c:extLst>
            <c:ext xmlns:c16="http://schemas.microsoft.com/office/drawing/2014/chart" uri="{C3380CC4-5D6E-409C-BE32-E72D297353CC}">
              <c16:uniqueId val="{00000003-7984-4BEA-8F19-0F3E6B2A6248}"/>
            </c:ext>
          </c:extLst>
        </c:ser>
        <c:dLbls>
          <c:showLegendKey val="0"/>
          <c:showVal val="0"/>
          <c:showCatName val="0"/>
          <c:showSerName val="0"/>
          <c:showPercent val="0"/>
          <c:showBubbleSize val="0"/>
        </c:dLbls>
        <c:gapWidth val="219"/>
        <c:axId val="561629007"/>
        <c:axId val="561621519"/>
      </c:barChart>
      <c:catAx>
        <c:axId val="56162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561621519"/>
        <c:crosses val="autoZero"/>
        <c:auto val="1"/>
        <c:lblAlgn val="ctr"/>
        <c:lblOffset val="100"/>
        <c:noMultiLvlLbl val="0"/>
      </c:catAx>
      <c:valAx>
        <c:axId val="56162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561629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230981</xdr:colOff>
      <xdr:row>78</xdr:row>
      <xdr:rowOff>114302</xdr:rowOff>
    </xdr:from>
    <xdr:to>
      <xdr:col>6</xdr:col>
      <xdr:colOff>257174</xdr:colOff>
      <xdr:row>105</xdr:row>
      <xdr:rowOff>19051</xdr:rowOff>
    </xdr:to>
    <xdr:graphicFrame macro="">
      <xdr:nvGraphicFramePr>
        <xdr:cNvPr id="2" name="Chart 1">
          <a:extLst>
            <a:ext uri="{FF2B5EF4-FFF2-40B4-BE49-F238E27FC236}">
              <a16:creationId xmlns:a16="http://schemas.microsoft.com/office/drawing/2014/main" id="{BE3387F2-4AA3-45BC-71ED-5C09322C0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54766</xdr:colOff>
      <xdr:row>80</xdr:row>
      <xdr:rowOff>40481</xdr:rowOff>
    </xdr:from>
    <xdr:to>
      <xdr:col>17</xdr:col>
      <xdr:colOff>90487</xdr:colOff>
      <xdr:row>103</xdr:row>
      <xdr:rowOff>133350</xdr:rowOff>
    </xdr:to>
    <xdr:graphicFrame macro="">
      <xdr:nvGraphicFramePr>
        <xdr:cNvPr id="3" name="Chart 2">
          <a:extLst>
            <a:ext uri="{FF2B5EF4-FFF2-40B4-BE49-F238E27FC236}">
              <a16:creationId xmlns:a16="http://schemas.microsoft.com/office/drawing/2014/main" id="{48261567-E74E-B4BD-064B-AD8F4D635C3B}"/>
            </a:ext>
            <a:ext uri="{147F2762-F138-4A5C-976F-8EAC2B608ADB}">
              <a16:predDERef xmlns:a16="http://schemas.microsoft.com/office/drawing/2014/main" pred="{BE3387F2-4AA3-45BC-71ED-5C09322C0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08D-E312-42CD-980A-EE2C20FC6E4E}">
  <sheetPr codeName="Sheet1"/>
  <dimension ref="A1:X65"/>
  <sheetViews>
    <sheetView tabSelected="1" zoomScale="90" workbookViewId="0">
      <selection activeCell="G36" sqref="G36"/>
    </sheetView>
  </sheetViews>
  <sheetFormatPr defaultRowHeight="14.25" x14ac:dyDescent="0.45"/>
  <cols>
    <col min="1" max="1" width="16.73046875" customWidth="1"/>
    <col min="2" max="2" width="10.86328125" customWidth="1"/>
    <col min="3" max="4" width="10.3984375" bestFit="1" customWidth="1"/>
    <col min="5" max="5" width="21.3984375" customWidth="1"/>
    <col min="6" max="6" width="10.3984375" bestFit="1" customWidth="1"/>
    <col min="17" max="17" width="26.3984375" customWidth="1"/>
    <col min="23" max="23" width="14.1328125" customWidth="1"/>
  </cols>
  <sheetData>
    <row r="1" spans="1:24" x14ac:dyDescent="0.45">
      <c r="B1" s="123" t="s">
        <v>0</v>
      </c>
      <c r="C1" s="124"/>
      <c r="D1" s="124"/>
      <c r="E1" s="125"/>
      <c r="H1" s="123" t="s">
        <v>1</v>
      </c>
      <c r="I1" s="124"/>
      <c r="J1" s="124"/>
      <c r="K1" s="125"/>
      <c r="N1" s="123" t="s">
        <v>2</v>
      </c>
      <c r="O1" s="124"/>
      <c r="P1" s="124"/>
      <c r="Q1" s="125"/>
      <c r="T1" s="123" t="s">
        <v>3</v>
      </c>
      <c r="U1" s="124"/>
      <c r="V1" s="124"/>
      <c r="W1" s="125"/>
    </row>
    <row r="2" spans="1:24" x14ac:dyDescent="0.45">
      <c r="A2" s="2"/>
      <c r="N2" s="126"/>
      <c r="O2" s="126"/>
      <c r="P2" s="126"/>
      <c r="Q2" s="126"/>
    </row>
    <row r="3" spans="1:24" x14ac:dyDescent="0.45">
      <c r="A3" s="2"/>
      <c r="H3" s="127" t="s">
        <v>4</v>
      </c>
      <c r="I3" s="127"/>
      <c r="J3" s="127"/>
      <c r="K3" s="127"/>
      <c r="L3" s="127"/>
      <c r="N3" s="128" t="s">
        <v>5</v>
      </c>
      <c r="O3" s="128"/>
      <c r="P3" s="128"/>
      <c r="Q3" s="128"/>
      <c r="R3" s="128"/>
    </row>
    <row r="4" spans="1:24" x14ac:dyDescent="0.45">
      <c r="A4" s="2"/>
      <c r="B4" s="127" t="s">
        <v>6</v>
      </c>
      <c r="C4" s="127"/>
      <c r="D4" s="127"/>
      <c r="E4" s="127"/>
      <c r="F4" s="127"/>
      <c r="H4" s="127" t="s">
        <v>7</v>
      </c>
      <c r="I4" s="127"/>
      <c r="J4" s="127"/>
      <c r="K4" s="127"/>
      <c r="L4" s="127"/>
      <c r="N4" s="127" t="s">
        <v>8</v>
      </c>
      <c r="O4" s="127"/>
      <c r="P4" s="127"/>
      <c r="Q4" s="127"/>
      <c r="R4" s="127"/>
      <c r="T4" s="134" t="s">
        <v>9</v>
      </c>
      <c r="U4" s="135"/>
      <c r="V4" s="135"/>
      <c r="W4" s="135"/>
      <c r="X4" s="135"/>
    </row>
    <row r="5" spans="1:24" x14ac:dyDescent="0.45">
      <c r="B5" s="119" t="s">
        <v>10</v>
      </c>
      <c r="C5" s="120"/>
      <c r="D5" s="120"/>
      <c r="E5" s="120"/>
      <c r="F5" s="139"/>
      <c r="H5" s="119" t="s">
        <v>11</v>
      </c>
      <c r="I5" s="120"/>
      <c r="J5" s="120"/>
      <c r="K5" s="120"/>
      <c r="L5" s="139"/>
      <c r="N5" s="119" t="s">
        <v>12</v>
      </c>
      <c r="O5" s="120"/>
      <c r="P5" s="120"/>
      <c r="Q5" s="120"/>
      <c r="R5" s="120"/>
      <c r="T5" s="137" t="s">
        <v>13</v>
      </c>
      <c r="U5" s="138"/>
      <c r="V5" s="138"/>
      <c r="W5" s="138"/>
      <c r="X5" s="138"/>
    </row>
    <row r="6" spans="1:24" x14ac:dyDescent="0.45">
      <c r="B6" s="6">
        <v>2019</v>
      </c>
      <c r="C6" s="6">
        <v>2020</v>
      </c>
      <c r="D6" s="6">
        <v>2021</v>
      </c>
      <c r="E6" s="1" t="s">
        <v>14</v>
      </c>
      <c r="F6" s="14" t="s">
        <v>15</v>
      </c>
      <c r="H6" s="6">
        <v>2019</v>
      </c>
      <c r="I6" s="6">
        <v>2020</v>
      </c>
      <c r="J6" s="6">
        <v>2021</v>
      </c>
      <c r="K6" s="1" t="s">
        <v>14</v>
      </c>
      <c r="L6" s="6" t="s">
        <v>16</v>
      </c>
      <c r="N6" s="1">
        <v>2019</v>
      </c>
      <c r="O6" s="1">
        <v>2020</v>
      </c>
      <c r="P6" s="1">
        <v>2021</v>
      </c>
      <c r="Q6" s="1" t="s">
        <v>14</v>
      </c>
      <c r="R6" s="1" t="s">
        <v>16</v>
      </c>
      <c r="T6" s="1">
        <v>2019</v>
      </c>
      <c r="U6" s="1">
        <v>2020</v>
      </c>
      <c r="V6" s="1">
        <v>2021</v>
      </c>
      <c r="W6" s="1" t="s">
        <v>14</v>
      </c>
      <c r="X6" s="1" t="s">
        <v>16</v>
      </c>
    </row>
    <row r="7" spans="1:24" x14ac:dyDescent="0.45">
      <c r="B7" s="4">
        <f>-48/2239</f>
        <v>-2.1438142027690933E-2</v>
      </c>
      <c r="C7" s="5">
        <f>621/1709</f>
        <v>0.3633703920421299</v>
      </c>
      <c r="D7" s="4">
        <f>-14/1760</f>
        <v>-7.9545454545454537E-3</v>
      </c>
      <c r="E7" s="4">
        <f>9/836</f>
        <v>1.076555023923445E-2</v>
      </c>
      <c r="F7" s="15">
        <f>-20/893</f>
        <v>-2.2396416573348264E-2</v>
      </c>
      <c r="H7" s="4">
        <f>2239/2294</f>
        <v>0.97602441150828245</v>
      </c>
      <c r="I7" s="5">
        <f>1709/2204</f>
        <v>0.77540834845735029</v>
      </c>
      <c r="J7" s="4">
        <f>1760/2095</f>
        <v>0.84009546539379476</v>
      </c>
      <c r="K7" s="4">
        <f>836/2172</f>
        <v>0.38489871086556171</v>
      </c>
      <c r="L7" s="4">
        <f>893/2092</f>
        <v>0.42686424474187379</v>
      </c>
      <c r="N7" s="5">
        <f>14/10</f>
        <v>1.4</v>
      </c>
      <c r="O7" s="5">
        <f>-52/6</f>
        <v>-8.6666666666666661</v>
      </c>
      <c r="P7" s="5">
        <f>9/3</f>
        <v>3</v>
      </c>
      <c r="Q7" s="1">
        <f>27/2</f>
        <v>13.5</v>
      </c>
      <c r="R7" s="5">
        <f>-3/1</f>
        <v>-3</v>
      </c>
      <c r="T7" s="5">
        <f>1234/761</f>
        <v>1.621550591327201</v>
      </c>
      <c r="U7" s="5">
        <f>1490/538</f>
        <v>2.7695167286245352</v>
      </c>
      <c r="V7" s="5">
        <f>1339/597</f>
        <v>2.2428810720268006</v>
      </c>
      <c r="W7" s="5">
        <f>1389/586</f>
        <v>2.3703071672354947</v>
      </c>
      <c r="X7" s="5">
        <f>1284/620</f>
        <v>2.0709677419354837</v>
      </c>
    </row>
    <row r="8" spans="1:24" x14ac:dyDescent="0.45">
      <c r="B8" s="7"/>
      <c r="C8" s="8"/>
      <c r="D8" s="7"/>
      <c r="E8" s="7"/>
    </row>
    <row r="9" spans="1:24" x14ac:dyDescent="0.45">
      <c r="N9" s="11"/>
      <c r="O9" s="11"/>
      <c r="P9" s="11"/>
      <c r="Q9" s="11"/>
    </row>
    <row r="10" spans="1:24" x14ac:dyDescent="0.45">
      <c r="B10" s="127" t="s">
        <v>17</v>
      </c>
      <c r="C10" s="127"/>
      <c r="D10" s="127"/>
      <c r="E10" s="127"/>
      <c r="F10" s="127"/>
      <c r="H10" s="127" t="s">
        <v>18</v>
      </c>
      <c r="I10" s="127"/>
      <c r="J10" s="127"/>
      <c r="K10" s="127"/>
      <c r="L10" s="127"/>
      <c r="N10" s="127" t="s">
        <v>19</v>
      </c>
      <c r="O10" s="127"/>
      <c r="P10" s="127"/>
      <c r="Q10" s="127"/>
      <c r="R10" s="127"/>
      <c r="T10" s="134" t="s">
        <v>20</v>
      </c>
      <c r="U10" s="135"/>
      <c r="V10" s="135"/>
      <c r="W10" s="135"/>
      <c r="X10" s="135"/>
    </row>
    <row r="11" spans="1:24" x14ac:dyDescent="0.45">
      <c r="B11" s="119" t="s">
        <v>21</v>
      </c>
      <c r="C11" s="120"/>
      <c r="D11" s="120"/>
      <c r="E11" s="120"/>
      <c r="F11" s="139"/>
      <c r="H11" s="119" t="s">
        <v>22</v>
      </c>
      <c r="I11" s="120"/>
      <c r="J11" s="120"/>
      <c r="K11" s="120"/>
      <c r="L11" s="120"/>
      <c r="N11" s="129" t="s">
        <v>23</v>
      </c>
      <c r="O11" s="129"/>
      <c r="P11" s="129"/>
      <c r="Q11" s="129"/>
      <c r="R11" s="129"/>
      <c r="T11" s="137" t="s">
        <v>24</v>
      </c>
      <c r="U11" s="138"/>
      <c r="V11" s="138"/>
      <c r="W11" s="138"/>
      <c r="X11" s="138"/>
    </row>
    <row r="12" spans="1:24" x14ac:dyDescent="0.45">
      <c r="B12" s="6">
        <v>2019</v>
      </c>
      <c r="C12" s="6">
        <v>2020</v>
      </c>
      <c r="D12" s="6">
        <v>2021</v>
      </c>
      <c r="E12" s="1" t="s">
        <v>14</v>
      </c>
      <c r="F12" s="6" t="s">
        <v>16</v>
      </c>
      <c r="H12" s="6">
        <v>2019</v>
      </c>
      <c r="I12" s="6">
        <v>2020</v>
      </c>
      <c r="J12" s="6">
        <v>2021</v>
      </c>
      <c r="K12" s="1" t="s">
        <v>14</v>
      </c>
      <c r="L12" s="6" t="s">
        <v>16</v>
      </c>
      <c r="N12" s="6">
        <v>2019</v>
      </c>
      <c r="O12" s="6">
        <v>2020</v>
      </c>
      <c r="P12" s="6">
        <v>2021</v>
      </c>
      <c r="Q12" s="1" t="s">
        <v>14</v>
      </c>
      <c r="R12" s="6" t="s">
        <v>16</v>
      </c>
      <c r="T12" s="1">
        <v>2019</v>
      </c>
      <c r="U12" s="1">
        <v>2020</v>
      </c>
      <c r="V12" s="1">
        <v>2021</v>
      </c>
      <c r="W12" s="1" t="s">
        <v>14</v>
      </c>
      <c r="X12" s="1" t="s">
        <v>16</v>
      </c>
    </row>
    <row r="13" spans="1:24" x14ac:dyDescent="0.45">
      <c r="B13" s="4">
        <f>729/2239</f>
        <v>0.32559178204555606</v>
      </c>
      <c r="C13" s="5">
        <f>494/1709</f>
        <v>0.2890579286132241</v>
      </c>
      <c r="D13" s="4">
        <f>497/1760</f>
        <v>0.28238636363636366</v>
      </c>
      <c r="E13" s="17">
        <f>252/836</f>
        <v>0.30143540669856461</v>
      </c>
      <c r="F13" s="4">
        <f>260/893</f>
        <v>0.29115341545352741</v>
      </c>
      <c r="H13" s="5">
        <f>2239/1060</f>
        <v>2.1122641509433961</v>
      </c>
      <c r="I13" s="5">
        <f>1709/714</f>
        <v>2.3935574229691876</v>
      </c>
      <c r="J13" s="5">
        <f>1760/756</f>
        <v>2.3280423280423279</v>
      </c>
      <c r="K13" s="5">
        <f>836/783</f>
        <v>1.0676883780332056</v>
      </c>
      <c r="L13" s="5">
        <v>1.1051980198019802</v>
      </c>
      <c r="N13" s="5">
        <f>(1402+761)/130</f>
        <v>16.638461538461538</v>
      </c>
      <c r="O13" s="5">
        <f>(1046+538)/620</f>
        <v>2.5548387096774192</v>
      </c>
      <c r="P13" s="5">
        <f>(812+597)/685</f>
        <v>2.0569343065693433</v>
      </c>
      <c r="Q13" s="5">
        <f>(873+586)/713</f>
        <v>2.0462833099579241</v>
      </c>
      <c r="R13" s="5">
        <f>(685+620)/787</f>
        <v>1.6581956797966964</v>
      </c>
      <c r="T13" s="5">
        <f>(1234-436)/761</f>
        <v>1.0486202365308803</v>
      </c>
      <c r="U13" s="5">
        <f>(1490-389)/538</f>
        <v>2.0464684014869889</v>
      </c>
      <c r="V13" s="5">
        <f>(1339-418)/597</f>
        <v>1.5427135678391959</v>
      </c>
      <c r="W13" s="5">
        <f>(1389-445)/586</f>
        <v>1.6109215017064846</v>
      </c>
      <c r="X13" s="5">
        <f>(1284-537)/620</f>
        <v>1.2048387096774194</v>
      </c>
    </row>
    <row r="14" spans="1:24" x14ac:dyDescent="0.45">
      <c r="B14" s="7"/>
      <c r="C14" s="8"/>
      <c r="D14" s="7"/>
      <c r="E14" s="7"/>
    </row>
    <row r="15" spans="1:24" x14ac:dyDescent="0.45">
      <c r="B15" s="140" t="s">
        <v>25</v>
      </c>
      <c r="C15" s="140"/>
      <c r="D15" s="140"/>
      <c r="E15" s="140"/>
      <c r="F15" s="140"/>
    </row>
    <row r="16" spans="1:24" x14ac:dyDescent="0.45">
      <c r="B16" s="127" t="s">
        <v>26</v>
      </c>
      <c r="C16" s="127"/>
      <c r="D16" s="127"/>
      <c r="E16" s="127"/>
      <c r="F16" s="127"/>
      <c r="H16" s="127" t="s">
        <v>27</v>
      </c>
      <c r="I16" s="127"/>
      <c r="J16" s="127"/>
      <c r="K16" s="127"/>
      <c r="L16" s="127"/>
      <c r="N16" s="127" t="s">
        <v>28</v>
      </c>
      <c r="O16" s="127"/>
      <c r="P16" s="127"/>
      <c r="Q16" s="127"/>
      <c r="R16" s="127"/>
      <c r="T16" s="134" t="s">
        <v>29</v>
      </c>
      <c r="U16" s="135"/>
      <c r="V16" s="135"/>
      <c r="W16" s="135"/>
      <c r="X16" s="135"/>
    </row>
    <row r="17" spans="2:24" x14ac:dyDescent="0.45">
      <c r="B17" s="119" t="s">
        <v>30</v>
      </c>
      <c r="C17" s="120"/>
      <c r="D17" s="120"/>
      <c r="E17" s="120"/>
      <c r="F17" s="139"/>
      <c r="H17" s="129" t="s">
        <v>31</v>
      </c>
      <c r="I17" s="129"/>
      <c r="J17" s="129"/>
      <c r="K17" s="129"/>
      <c r="L17" s="129"/>
      <c r="N17" s="137" t="s">
        <v>32</v>
      </c>
      <c r="O17" s="138"/>
      <c r="P17" s="138"/>
      <c r="Q17" s="138"/>
      <c r="R17" s="138"/>
      <c r="T17" s="137" t="s">
        <v>31</v>
      </c>
      <c r="U17" s="138"/>
      <c r="V17" s="138"/>
      <c r="W17" s="138"/>
      <c r="X17" s="138"/>
    </row>
    <row r="18" spans="2:24" ht="14.25" customHeight="1" x14ac:dyDescent="0.45">
      <c r="B18" s="6">
        <v>2019</v>
      </c>
      <c r="C18" s="6">
        <v>2020</v>
      </c>
      <c r="D18" s="6">
        <v>2021</v>
      </c>
      <c r="E18" s="13" t="s">
        <v>14</v>
      </c>
      <c r="F18" s="6" t="s">
        <v>16</v>
      </c>
      <c r="H18" s="6">
        <v>2019</v>
      </c>
      <c r="I18" s="6">
        <v>2020</v>
      </c>
      <c r="J18" s="6">
        <v>2021</v>
      </c>
      <c r="K18" s="6" t="s">
        <v>14</v>
      </c>
      <c r="L18" s="6" t="s">
        <v>16</v>
      </c>
      <c r="N18" s="6">
        <v>2019</v>
      </c>
      <c r="O18" s="6">
        <v>2020</v>
      </c>
      <c r="P18" s="6">
        <v>2021</v>
      </c>
      <c r="Q18" s="1" t="s">
        <v>14</v>
      </c>
      <c r="R18" s="6" t="s">
        <v>16</v>
      </c>
      <c r="T18" s="1">
        <v>2019</v>
      </c>
      <c r="U18" s="1">
        <v>2020</v>
      </c>
      <c r="V18" s="1">
        <v>2021</v>
      </c>
      <c r="W18" s="1" t="s">
        <v>14</v>
      </c>
      <c r="X18" s="1" t="s">
        <v>16</v>
      </c>
    </row>
    <row r="19" spans="2:24" ht="14.25" customHeight="1" x14ac:dyDescent="0.45">
      <c r="B19" s="4">
        <f>14/2239</f>
        <v>6.2527914247431891E-3</v>
      </c>
      <c r="C19" s="5">
        <f>-52/1709</f>
        <v>-3.0427150380339378E-2</v>
      </c>
      <c r="D19" s="4">
        <f>9/1760</f>
        <v>5.1136363636363636E-3</v>
      </c>
      <c r="E19" s="13">
        <f>27/836</f>
        <v>3.2296650717703351E-2</v>
      </c>
      <c r="F19" s="4">
        <f>-3/893</f>
        <v>-3.3594624860022394E-3</v>
      </c>
      <c r="H19" s="4">
        <f>1510/436</f>
        <v>3.4633027522935782</v>
      </c>
      <c r="I19" s="5">
        <f>1215/389</f>
        <v>3.1233933161953726</v>
      </c>
      <c r="J19" s="4">
        <f>1760/418</f>
        <v>4.2105263157894735</v>
      </c>
      <c r="K19" s="4">
        <f>584/445</f>
        <v>1.3123595505617978</v>
      </c>
      <c r="L19" s="4">
        <f>633/537</f>
        <v>1.1787709497206704</v>
      </c>
      <c r="N19" s="5">
        <f>(1402+761)/(1402+761+130)</f>
        <v>0.94330571303968602</v>
      </c>
      <c r="O19" s="5">
        <f>(1046+538)/(1046+538+620)</f>
        <v>0.7186932849364791</v>
      </c>
      <c r="P19" s="5">
        <f>(812+597)/(812+597+685)</f>
        <v>0.67287488061127032</v>
      </c>
      <c r="Q19" s="5">
        <f>(873+586)/(873+586+713)</f>
        <v>0.67173112338858199</v>
      </c>
      <c r="R19" s="5">
        <f>(685+620)/(685+620+787)</f>
        <v>0.62380497131931167</v>
      </c>
      <c r="T19" s="5">
        <f>1510/((498+436)/2)</f>
        <v>3.2334047109207709</v>
      </c>
      <c r="U19" s="5">
        <f>1215/((436+389)/2)</f>
        <v>2.9454545454545453</v>
      </c>
      <c r="V19" s="5">
        <f>1263/((389+418)/2)</f>
        <v>3.1301115241635689</v>
      </c>
      <c r="W19" s="5">
        <f>(584)/((389+445))/2</f>
        <v>0.3501199040767386</v>
      </c>
      <c r="X19" s="5">
        <f>633/((418+537)/2)</f>
        <v>1.3256544502617802</v>
      </c>
    </row>
    <row r="20" spans="2:24" ht="14.25" customHeight="1" x14ac:dyDescent="0.45">
      <c r="B20" s="7"/>
      <c r="C20" s="8"/>
      <c r="D20" s="7"/>
      <c r="E20" s="7"/>
    </row>
    <row r="21" spans="2:24" ht="14.25" customHeight="1" x14ac:dyDescent="0.45"/>
    <row r="22" spans="2:24" ht="14.25" customHeight="1" x14ac:dyDescent="0.45">
      <c r="B22" s="127" t="s">
        <v>33</v>
      </c>
      <c r="C22" s="127"/>
      <c r="D22" s="127"/>
      <c r="E22" s="127"/>
      <c r="F22" s="127"/>
      <c r="H22" s="157"/>
      <c r="I22" s="157"/>
      <c r="J22" s="157"/>
      <c r="K22" s="157"/>
      <c r="N22" s="127" t="s">
        <v>34</v>
      </c>
      <c r="O22" s="127"/>
      <c r="P22" s="127"/>
      <c r="Q22" s="127"/>
      <c r="R22" s="127"/>
      <c r="T22" s="134" t="s">
        <v>35</v>
      </c>
      <c r="U22" s="135"/>
      <c r="V22" s="135"/>
      <c r="W22" s="135"/>
      <c r="X22" s="135"/>
    </row>
    <row r="23" spans="2:24" x14ac:dyDescent="0.45">
      <c r="B23" s="119" t="s">
        <v>36</v>
      </c>
      <c r="C23" s="120"/>
      <c r="D23" s="120"/>
      <c r="E23" s="120"/>
      <c r="F23" s="139"/>
      <c r="H23" s="157"/>
      <c r="I23" s="157"/>
      <c r="J23" s="157"/>
      <c r="K23" s="157"/>
      <c r="N23" s="137" t="s">
        <v>37</v>
      </c>
      <c r="O23" s="138"/>
      <c r="P23" s="138"/>
      <c r="Q23" s="138"/>
      <c r="R23" s="138"/>
      <c r="T23" s="137" t="s">
        <v>38</v>
      </c>
      <c r="U23" s="138"/>
      <c r="V23" s="138"/>
      <c r="W23" s="138"/>
      <c r="X23" s="138"/>
    </row>
    <row r="24" spans="2:24" x14ac:dyDescent="0.45">
      <c r="B24" s="6">
        <v>2019</v>
      </c>
      <c r="C24" s="6">
        <v>2020</v>
      </c>
      <c r="D24" s="6">
        <v>2021</v>
      </c>
      <c r="E24" s="13" t="s">
        <v>14</v>
      </c>
      <c r="F24" s="6" t="s">
        <v>16</v>
      </c>
      <c r="H24" s="158"/>
      <c r="I24" s="158"/>
      <c r="J24" s="158"/>
      <c r="K24" s="158"/>
      <c r="N24" s="6">
        <v>2019</v>
      </c>
      <c r="O24" s="6">
        <v>2020</v>
      </c>
      <c r="P24" s="6">
        <v>2021</v>
      </c>
      <c r="Q24" s="1" t="s">
        <v>14</v>
      </c>
      <c r="R24" s="6" t="s">
        <v>16</v>
      </c>
      <c r="T24" s="1">
        <v>2019</v>
      </c>
      <c r="U24" s="1">
        <v>2020</v>
      </c>
      <c r="V24" s="1">
        <v>2021</v>
      </c>
      <c r="W24" s="1" t="s">
        <v>14</v>
      </c>
      <c r="X24" s="1" t="s">
        <v>16</v>
      </c>
    </row>
    <row r="25" spans="2:24" x14ac:dyDescent="0.45">
      <c r="B25" s="4">
        <f>(-48+10)/2294</f>
        <v>-1.6564952048823016E-2</v>
      </c>
      <c r="C25" s="5">
        <f>(621+6)/224</f>
        <v>2.7991071428571428</v>
      </c>
      <c r="D25" s="4">
        <f>(-14+3)/2095</f>
        <v>-5.2505966587112173E-3</v>
      </c>
      <c r="E25" s="18">
        <f>(9+2)/2172</f>
        <v>5.0644567219152855E-3</v>
      </c>
      <c r="F25" s="4">
        <f>(-20+1)/2092</f>
        <v>-9.0822179732313584E-3</v>
      </c>
      <c r="G25" s="7"/>
      <c r="H25" s="159"/>
      <c r="I25" s="159"/>
      <c r="J25" s="159"/>
      <c r="K25" s="159"/>
      <c r="N25" s="12">
        <v>0</v>
      </c>
      <c r="O25" s="12">
        <v>0</v>
      </c>
      <c r="P25" s="12">
        <v>0</v>
      </c>
      <c r="Q25" s="1">
        <v>0</v>
      </c>
      <c r="R25" s="12">
        <v>0</v>
      </c>
      <c r="T25" s="12">
        <f>1510/2</f>
        <v>755</v>
      </c>
      <c r="U25" s="5">
        <f>1215/198</f>
        <v>6.1363636363636367</v>
      </c>
      <c r="V25" s="5">
        <f>1263/252</f>
        <v>5.0119047619047619</v>
      </c>
      <c r="W25" s="5">
        <f>584/240</f>
        <v>2.4333333333333331</v>
      </c>
      <c r="X25" s="5">
        <f>633/271</f>
        <v>2.3357933579335795</v>
      </c>
    </row>
    <row r="26" spans="2:24" x14ac:dyDescent="0.45">
      <c r="B26" s="7"/>
      <c r="C26" s="8"/>
      <c r="D26" s="7"/>
      <c r="E26" s="7"/>
      <c r="G26" s="7"/>
      <c r="H26" s="8"/>
      <c r="I26" s="7"/>
      <c r="J26" s="7"/>
    </row>
    <row r="27" spans="2:24" x14ac:dyDescent="0.45">
      <c r="B27" s="2"/>
      <c r="C27" s="2"/>
      <c r="D27" s="2"/>
      <c r="E27" s="2"/>
      <c r="G27" s="7"/>
      <c r="H27" s="8"/>
      <c r="I27" s="7"/>
      <c r="J27" s="7"/>
    </row>
    <row r="28" spans="2:24" ht="14.45" customHeight="1" x14ac:dyDescent="0.45">
      <c r="B28" s="127" t="s">
        <v>39</v>
      </c>
      <c r="C28" s="127"/>
      <c r="D28" s="127"/>
      <c r="E28" s="127"/>
      <c r="F28" s="127"/>
      <c r="N28" s="136" t="s">
        <v>40</v>
      </c>
      <c r="O28" s="136"/>
      <c r="P28" s="136"/>
      <c r="Q28" s="136"/>
      <c r="R28" s="136"/>
      <c r="T28" s="134" t="s">
        <v>41</v>
      </c>
      <c r="U28" s="135"/>
      <c r="V28" s="135"/>
      <c r="W28" s="135"/>
      <c r="X28" s="135"/>
    </row>
    <row r="29" spans="2:24" x14ac:dyDescent="0.45">
      <c r="B29" s="119" t="s">
        <v>42</v>
      </c>
      <c r="C29" s="120"/>
      <c r="D29" s="120"/>
      <c r="E29" s="120"/>
      <c r="F29" s="139"/>
      <c r="N29" s="137" t="s">
        <v>43</v>
      </c>
      <c r="O29" s="138"/>
      <c r="P29" s="138"/>
      <c r="Q29" s="138"/>
      <c r="R29" s="138"/>
      <c r="T29" s="137" t="s">
        <v>44</v>
      </c>
      <c r="U29" s="138"/>
      <c r="V29" s="138"/>
      <c r="W29" s="138"/>
      <c r="X29" s="138"/>
    </row>
    <row r="30" spans="2:24" x14ac:dyDescent="0.45">
      <c r="B30" s="1">
        <v>2019</v>
      </c>
      <c r="C30" s="1">
        <v>2020</v>
      </c>
      <c r="D30" s="1">
        <v>2021</v>
      </c>
      <c r="E30" s="13" t="s">
        <v>14</v>
      </c>
      <c r="F30" s="1" t="s">
        <v>16</v>
      </c>
      <c r="N30" s="1">
        <v>2019</v>
      </c>
      <c r="O30" s="1">
        <v>2020</v>
      </c>
      <c r="P30" s="1">
        <v>2021</v>
      </c>
      <c r="Q30" s="1" t="s">
        <v>14</v>
      </c>
      <c r="R30" s="1" t="s">
        <v>16</v>
      </c>
      <c r="T30" s="1">
        <v>2019</v>
      </c>
      <c r="U30" s="1">
        <v>2020</v>
      </c>
      <c r="V30" s="1">
        <v>2021</v>
      </c>
      <c r="W30" s="1" t="s">
        <v>14</v>
      </c>
      <c r="X30" s="1" t="s">
        <v>16</v>
      </c>
    </row>
    <row r="31" spans="2:24" x14ac:dyDescent="0.45">
      <c r="B31" s="4">
        <f>(-48+10)/2239</f>
        <v>-1.6971862438588656E-2</v>
      </c>
      <c r="C31" s="5">
        <f>(621+6)/1709</f>
        <v>0.36688121708601523</v>
      </c>
      <c r="D31" s="4">
        <f>(-14+3)/1760</f>
        <v>-6.2500000000000003E-3</v>
      </c>
      <c r="E31" s="16">
        <f>(9+2)/836</f>
        <v>1.3157894736842105E-2</v>
      </c>
      <c r="F31" s="5">
        <f>(-20+1)/893</f>
        <v>-2.1276595744680851E-2</v>
      </c>
      <c r="N31" s="4">
        <f>10/(1402-5-19)</f>
        <v>7.2568940493468797E-3</v>
      </c>
      <c r="O31" s="4">
        <f>6/(1046-16-4)</f>
        <v>5.8479532163742687E-3</v>
      </c>
      <c r="P31" s="3">
        <f>3/(812-12-6)</f>
        <v>3.778337531486146E-3</v>
      </c>
      <c r="Q31" s="3">
        <f>2/(873-17-5)</f>
        <v>2.3501762632197414E-3</v>
      </c>
      <c r="R31" s="3">
        <f>1/(685-12-8)</f>
        <v>1.5037593984962407E-3</v>
      </c>
      <c r="T31" s="5">
        <f>365/T19</f>
        <v>112.8841059602649</v>
      </c>
      <c r="U31" s="5">
        <f t="shared" ref="U31:V31" si="0">365/U19</f>
        <v>123.91975308641976</v>
      </c>
      <c r="V31" s="5">
        <f t="shared" si="0"/>
        <v>116.60926365795724</v>
      </c>
      <c r="W31" s="16">
        <f>365/W19</f>
        <v>1042.5</v>
      </c>
      <c r="X31" s="5">
        <f>365/X19</f>
        <v>275.33570300157976</v>
      </c>
    </row>
    <row r="32" spans="2:24" x14ac:dyDescent="0.45">
      <c r="B32" s="7"/>
      <c r="C32" s="8"/>
      <c r="D32" s="7"/>
      <c r="E32" s="8"/>
      <c r="G32" s="8"/>
      <c r="H32" s="8"/>
      <c r="J32" s="8"/>
    </row>
    <row r="33" spans="2:24" x14ac:dyDescent="0.45">
      <c r="B33" s="2"/>
      <c r="C33" s="2"/>
      <c r="D33" s="2"/>
      <c r="E33" s="2"/>
      <c r="N33" s="134" t="s">
        <v>45</v>
      </c>
      <c r="O33" s="135"/>
      <c r="P33" s="135"/>
      <c r="Q33" s="135"/>
      <c r="R33" s="135"/>
      <c r="T33" s="134" t="s">
        <v>46</v>
      </c>
      <c r="U33" s="135"/>
      <c r="V33" s="135"/>
      <c r="W33" s="135"/>
      <c r="X33" s="135"/>
    </row>
    <row r="34" spans="2:24" ht="54" customHeight="1" x14ac:dyDescent="0.45">
      <c r="B34" s="121" t="s">
        <v>47</v>
      </c>
      <c r="C34" s="122"/>
      <c r="D34" s="122"/>
      <c r="E34" s="122"/>
      <c r="F34" s="122"/>
      <c r="N34" s="130" t="s">
        <v>48</v>
      </c>
      <c r="O34" s="131"/>
      <c r="P34" s="131"/>
      <c r="Q34" s="131"/>
      <c r="R34" s="131"/>
      <c r="T34" s="130" t="s">
        <v>49</v>
      </c>
      <c r="U34" s="131"/>
      <c r="V34" s="131"/>
      <c r="W34" s="131"/>
      <c r="X34" s="131"/>
    </row>
    <row r="35" spans="2:24" x14ac:dyDescent="0.45">
      <c r="B35" s="119" t="s">
        <v>50</v>
      </c>
      <c r="C35" s="120"/>
      <c r="D35" s="120"/>
      <c r="E35" s="120"/>
      <c r="F35" s="120"/>
      <c r="N35" s="6">
        <v>2019</v>
      </c>
      <c r="O35" s="6">
        <v>2020</v>
      </c>
      <c r="P35" s="6">
        <v>2021</v>
      </c>
      <c r="Q35" s="1" t="s">
        <v>14</v>
      </c>
      <c r="R35" s="6" t="s">
        <v>16</v>
      </c>
      <c r="T35" s="1">
        <v>2019</v>
      </c>
      <c r="U35" s="1">
        <v>2020</v>
      </c>
      <c r="V35" s="1">
        <v>2021</v>
      </c>
      <c r="W35" s="1" t="s">
        <v>14</v>
      </c>
      <c r="X35" s="1" t="s">
        <v>16</v>
      </c>
    </row>
    <row r="36" spans="2:24" x14ac:dyDescent="0.45">
      <c r="B36" s="6">
        <v>2019</v>
      </c>
      <c r="C36" s="6">
        <v>2020</v>
      </c>
      <c r="D36" s="6">
        <v>2021</v>
      </c>
      <c r="E36" s="13" t="s">
        <v>14</v>
      </c>
      <c r="F36" s="6" t="s">
        <v>16</v>
      </c>
      <c r="N36" s="5">
        <f>1402/130</f>
        <v>10.784615384615385</v>
      </c>
      <c r="O36" s="5">
        <f>1046/620</f>
        <v>1.6870967741935483</v>
      </c>
      <c r="P36" s="5">
        <f>812/685</f>
        <v>1.1854014598540146</v>
      </c>
      <c r="Q36" s="5">
        <f>(873-17-5)/713</f>
        <v>1.1935483870967742</v>
      </c>
      <c r="R36" s="5">
        <f>685/787</f>
        <v>0.87039390088945368</v>
      </c>
      <c r="T36" s="5">
        <f>365/T25</f>
        <v>0.48344370860927155</v>
      </c>
      <c r="U36" s="5">
        <f>365/U25</f>
        <v>59.481481481481481</v>
      </c>
      <c r="V36" s="5">
        <f>365/V25</f>
        <v>72.826603325415675</v>
      </c>
      <c r="W36" s="16">
        <f>365/W25</f>
        <v>150</v>
      </c>
      <c r="X36" s="5">
        <f>365/X25</f>
        <v>156.26382306477092</v>
      </c>
    </row>
    <row r="37" spans="2:24" x14ac:dyDescent="0.45">
      <c r="B37" s="4">
        <f>(-48+10)/(130+1402-19-5)</f>
        <v>-2.5198938992042442E-2</v>
      </c>
      <c r="C37" s="5">
        <f>(621+6)/(620+1046-16-4)</f>
        <v>0.38092345078979345</v>
      </c>
      <c r="D37" s="4">
        <f>(-14+3)/(685+812-12-6)</f>
        <v>-7.4374577417173765E-3</v>
      </c>
      <c r="E37" s="3">
        <f>(9+2)/(713+873-17-5)</f>
        <v>7.0332480818414318E-3</v>
      </c>
      <c r="F37" s="4">
        <f>(-20+1)/(787+685-12-8)</f>
        <v>-1.3085399449035813E-2</v>
      </c>
    </row>
    <row r="38" spans="2:24" x14ac:dyDescent="0.45">
      <c r="B38" s="7"/>
      <c r="C38" s="8"/>
      <c r="D38" s="7"/>
      <c r="E38" s="7"/>
      <c r="G38" s="8"/>
      <c r="H38" s="8"/>
      <c r="I38" s="8"/>
      <c r="J38" s="8"/>
    </row>
    <row r="39" spans="2:24" x14ac:dyDescent="0.45">
      <c r="T39" s="134" t="s">
        <v>51</v>
      </c>
      <c r="U39" s="135"/>
      <c r="V39" s="135"/>
      <c r="W39" s="135"/>
      <c r="X39" s="135"/>
    </row>
    <row r="40" spans="2:24" x14ac:dyDescent="0.45">
      <c r="B40" s="127" t="s">
        <v>52</v>
      </c>
      <c r="C40" s="127"/>
      <c r="D40" s="127"/>
      <c r="E40" s="127"/>
      <c r="F40" s="127"/>
      <c r="T40" s="132" t="s">
        <v>53</v>
      </c>
      <c r="U40" s="133"/>
      <c r="V40" s="133"/>
      <c r="W40" s="133"/>
      <c r="X40" s="133"/>
    </row>
    <row r="41" spans="2:24" x14ac:dyDescent="0.45">
      <c r="B41" s="119" t="s">
        <v>54</v>
      </c>
      <c r="C41" s="120"/>
      <c r="D41" s="120"/>
      <c r="E41" s="120"/>
      <c r="F41" s="120"/>
      <c r="T41" s="130" t="s">
        <v>55</v>
      </c>
      <c r="U41" s="131"/>
      <c r="V41" s="131"/>
      <c r="W41" s="131"/>
      <c r="X41" s="131"/>
    </row>
    <row r="42" spans="2:24" x14ac:dyDescent="0.45">
      <c r="B42" s="1">
        <v>2019</v>
      </c>
      <c r="C42" s="1">
        <v>2020</v>
      </c>
      <c r="D42" s="1">
        <v>2021</v>
      </c>
      <c r="E42" s="13" t="s">
        <v>14</v>
      </c>
      <c r="F42" s="1" t="s">
        <v>16</v>
      </c>
      <c r="T42" s="1">
        <v>2019</v>
      </c>
      <c r="U42" s="1">
        <v>2020</v>
      </c>
      <c r="V42" s="1">
        <v>2021</v>
      </c>
      <c r="W42" s="1" t="s">
        <v>14</v>
      </c>
      <c r="X42" s="1" t="s">
        <v>16</v>
      </c>
    </row>
    <row r="43" spans="2:24" x14ac:dyDescent="0.45">
      <c r="B43" s="5">
        <f>-48/2294</f>
        <v>-2.0924149956408022E-2</v>
      </c>
      <c r="C43" s="5">
        <f>621/2204</f>
        <v>0.28176043557168784</v>
      </c>
      <c r="D43" s="5">
        <f>-14/2095</f>
        <v>-6.6825775656324578E-3</v>
      </c>
      <c r="E43" s="3">
        <f>9/2172</f>
        <v>4.1436464088397788E-3</v>
      </c>
      <c r="F43" s="5">
        <f>-20/2092</f>
        <v>-9.5602294455066923E-3</v>
      </c>
      <c r="T43" s="5">
        <f>2239/((420+408))/2</f>
        <v>1.3520531400966183</v>
      </c>
      <c r="U43" s="5">
        <f>1709/((408+297)/2)</f>
        <v>4.8482269503546096</v>
      </c>
      <c r="V43" s="5">
        <f>1760/((297+307)/2)</f>
        <v>5.8278145695364234</v>
      </c>
      <c r="W43" s="5">
        <f>836/((293+297)/2)</f>
        <v>2.8338983050847459</v>
      </c>
      <c r="X43" s="5">
        <f>893/((307+537)/2)</f>
        <v>2.1161137440758293</v>
      </c>
    </row>
    <row r="44" spans="2:24" x14ac:dyDescent="0.45">
      <c r="B44" s="8"/>
      <c r="C44" s="8"/>
      <c r="D44" s="8"/>
      <c r="E44" s="8"/>
      <c r="G44" s="9"/>
      <c r="H44" s="10"/>
      <c r="I44" s="9"/>
      <c r="J44" s="10"/>
    </row>
    <row r="45" spans="2:24" x14ac:dyDescent="0.45">
      <c r="B45" s="8"/>
      <c r="C45" s="8"/>
      <c r="D45" s="8"/>
      <c r="E45" s="8"/>
      <c r="G45" s="9"/>
      <c r="H45" s="10"/>
      <c r="I45" s="9"/>
      <c r="J45" s="10"/>
      <c r="T45" s="134" t="s">
        <v>56</v>
      </c>
      <c r="U45" s="135"/>
      <c r="V45" s="135"/>
      <c r="W45" s="135"/>
      <c r="X45" s="135"/>
    </row>
    <row r="46" spans="2:24" x14ac:dyDescent="0.45">
      <c r="B46" s="134" t="s">
        <v>57</v>
      </c>
      <c r="C46" s="135"/>
      <c r="D46" s="135"/>
      <c r="E46" s="135"/>
      <c r="F46" s="135"/>
      <c r="T46" s="137" t="s">
        <v>58</v>
      </c>
      <c r="U46" s="138"/>
      <c r="V46" s="138"/>
      <c r="W46" s="138"/>
      <c r="X46" s="138"/>
    </row>
    <row r="47" spans="2:24" x14ac:dyDescent="0.45">
      <c r="B47" s="119" t="s">
        <v>59</v>
      </c>
      <c r="C47" s="120"/>
      <c r="D47" s="120"/>
      <c r="E47" s="120"/>
      <c r="F47" s="120"/>
      <c r="T47" s="1">
        <v>2019</v>
      </c>
      <c r="U47" s="1">
        <v>2020</v>
      </c>
      <c r="V47" s="1">
        <v>2021</v>
      </c>
      <c r="W47" s="1" t="s">
        <v>14</v>
      </c>
      <c r="X47" s="1" t="s">
        <v>16</v>
      </c>
    </row>
    <row r="48" spans="2:24" x14ac:dyDescent="0.45">
      <c r="B48" s="1">
        <v>2019</v>
      </c>
      <c r="C48" s="1">
        <v>2020</v>
      </c>
      <c r="D48" s="1">
        <v>2021</v>
      </c>
      <c r="E48" s="13" t="s">
        <v>14</v>
      </c>
      <c r="F48" s="1" t="s">
        <v>16</v>
      </c>
      <c r="T48" s="5">
        <f>365/T43</f>
        <v>269.95980348369812</v>
      </c>
      <c r="U48" s="5">
        <f t="shared" ref="U48:V48" si="1">365/U43</f>
        <v>75.285254534815692</v>
      </c>
      <c r="V48" s="5">
        <f t="shared" si="1"/>
        <v>62.63068181818182</v>
      </c>
      <c r="W48" s="5">
        <f>365/W43</f>
        <v>128.79784688995215</v>
      </c>
      <c r="X48" s="5">
        <f>365/X43</f>
        <v>172.48600223964166</v>
      </c>
    </row>
    <row r="49" spans="2:24" x14ac:dyDescent="0.45">
      <c r="B49" s="5">
        <f>B43*B60</f>
        <v>-0.36923076923076925</v>
      </c>
      <c r="C49" s="5">
        <f>C43*C60</f>
        <v>1.0016129032258063</v>
      </c>
      <c r="D49" s="5">
        <f>D43*D60</f>
        <v>-2.0437956204379562E-2</v>
      </c>
      <c r="E49" s="4">
        <f>9/713</f>
        <v>1.2622720897615708E-2</v>
      </c>
      <c r="F49" s="5">
        <f>F43*E60</f>
        <v>-2.5412960609911054E-2</v>
      </c>
    </row>
    <row r="50" spans="2:24" x14ac:dyDescent="0.45">
      <c r="B50" s="8"/>
      <c r="C50" s="8"/>
      <c r="D50" s="8"/>
      <c r="E50" s="8"/>
      <c r="T50" s="134" t="s">
        <v>60</v>
      </c>
      <c r="U50" s="135"/>
      <c r="V50" s="135"/>
      <c r="W50" s="135"/>
      <c r="X50" s="135"/>
    </row>
    <row r="51" spans="2:24" x14ac:dyDescent="0.45">
      <c r="B51" s="2"/>
      <c r="C51" s="2"/>
      <c r="D51" s="2"/>
      <c r="E51" s="2"/>
      <c r="T51" s="137" t="s">
        <v>61</v>
      </c>
      <c r="U51" s="138"/>
      <c r="V51" s="138"/>
      <c r="W51" s="138"/>
      <c r="X51" s="138"/>
    </row>
    <row r="52" spans="2:24" x14ac:dyDescent="0.45">
      <c r="B52" s="127" t="s">
        <v>62</v>
      </c>
      <c r="C52" s="127"/>
      <c r="D52" s="127"/>
      <c r="E52" s="127"/>
      <c r="F52" s="127"/>
      <c r="T52" s="1">
        <v>2019</v>
      </c>
      <c r="U52" s="1">
        <v>2020</v>
      </c>
      <c r="V52" s="1">
        <v>2021</v>
      </c>
      <c r="W52" s="1" t="s">
        <v>14</v>
      </c>
      <c r="X52" s="1" t="s">
        <v>16</v>
      </c>
    </row>
    <row r="53" spans="2:24" x14ac:dyDescent="0.45">
      <c r="B53" s="119" t="s">
        <v>63</v>
      </c>
      <c r="C53" s="120"/>
      <c r="D53" s="120"/>
      <c r="E53" s="120"/>
      <c r="F53" s="120"/>
      <c r="T53" s="5">
        <f>T48+T31-T36</f>
        <v>382.36046573535373</v>
      </c>
      <c r="U53" s="5">
        <f>U48+U31-U36</f>
        <v>139.72352613975397</v>
      </c>
      <c r="V53" s="5">
        <f>V48+V31-V36</f>
        <v>106.41334215072339</v>
      </c>
      <c r="W53" s="5">
        <f>W48+W31-W36</f>
        <v>1021.2978468899521</v>
      </c>
      <c r="X53" s="5">
        <f>X48+X31-X36</f>
        <v>291.55788217645051</v>
      </c>
    </row>
    <row r="54" spans="2:24" x14ac:dyDescent="0.45">
      <c r="B54" s="6">
        <v>2019</v>
      </c>
      <c r="C54" s="6">
        <v>2020</v>
      </c>
      <c r="D54" s="6">
        <v>2021</v>
      </c>
      <c r="E54" s="13" t="s">
        <v>14</v>
      </c>
      <c r="F54" s="6" t="s">
        <v>16</v>
      </c>
    </row>
    <row r="55" spans="2:24" x14ac:dyDescent="0.45">
      <c r="B55" s="4">
        <f>-48000000/167751190</f>
        <v>-0.28613805958693944</v>
      </c>
      <c r="C55" s="5">
        <f>621000000/167751190</f>
        <v>3.701911145906029</v>
      </c>
      <c r="D55" s="4">
        <f>-14000000/165003570</f>
        <v>-8.4846649075532118E-2</v>
      </c>
      <c r="E55" s="4">
        <f>9000000/165003570</f>
        <v>5.4544274405699221E-2</v>
      </c>
      <c r="F55" s="4">
        <f>-20000000/165003570</f>
        <v>-0.1212094986793316</v>
      </c>
      <c r="T55" s="134" t="s">
        <v>64</v>
      </c>
      <c r="U55" s="135"/>
      <c r="V55" s="135"/>
      <c r="W55" s="135"/>
      <c r="X55" s="135"/>
    </row>
    <row r="56" spans="2:24" x14ac:dyDescent="0.45">
      <c r="T56" s="137" t="s">
        <v>65</v>
      </c>
      <c r="U56" s="138"/>
      <c r="V56" s="138"/>
      <c r="W56" s="138"/>
      <c r="X56" s="138"/>
    </row>
    <row r="57" spans="2:24" x14ac:dyDescent="0.45">
      <c r="B57" s="127" t="s">
        <v>66</v>
      </c>
      <c r="C57" s="127"/>
      <c r="D57" s="127"/>
      <c r="E57" s="127"/>
      <c r="F57" s="127"/>
      <c r="T57" s="1">
        <v>2019</v>
      </c>
      <c r="U57" s="1">
        <v>2020</v>
      </c>
      <c r="V57" s="1">
        <v>2021</v>
      </c>
      <c r="W57" s="1" t="s">
        <v>14</v>
      </c>
      <c r="X57" s="1" t="s">
        <v>16</v>
      </c>
    </row>
    <row r="58" spans="2:24" x14ac:dyDescent="0.45">
      <c r="B58" s="129" t="s">
        <v>67</v>
      </c>
      <c r="C58" s="129"/>
      <c r="D58" s="129"/>
      <c r="E58" s="129"/>
      <c r="F58" s="129"/>
      <c r="T58" s="5">
        <f>107/761</f>
        <v>0.14060446780551905</v>
      </c>
      <c r="U58" s="5">
        <f>585/538</f>
        <v>1.0873605947955389</v>
      </c>
      <c r="V58" s="5">
        <f>398/597</f>
        <v>0.66666666666666663</v>
      </c>
      <c r="W58" s="5">
        <f>428/586</f>
        <v>0.7303754266211604</v>
      </c>
      <c r="X58" s="5">
        <f>197/620</f>
        <v>0.31774193548387097</v>
      </c>
    </row>
    <row r="59" spans="2:24" x14ac:dyDescent="0.45">
      <c r="B59" s="1">
        <v>2019</v>
      </c>
      <c r="C59" s="1">
        <v>2020</v>
      </c>
      <c r="D59" s="1">
        <v>2021</v>
      </c>
      <c r="E59" s="1" t="s">
        <v>16</v>
      </c>
      <c r="F59" s="13" t="s">
        <v>14</v>
      </c>
    </row>
    <row r="60" spans="2:24" x14ac:dyDescent="0.45">
      <c r="B60" s="5">
        <f>2294/130</f>
        <v>17.646153846153847</v>
      </c>
      <c r="C60" s="5">
        <f>2204/620</f>
        <v>3.5548387096774192</v>
      </c>
      <c r="D60" s="5">
        <f>2095/685</f>
        <v>3.0583941605839415</v>
      </c>
      <c r="E60" s="5">
        <f>2092/787</f>
        <v>2.6581956797966964</v>
      </c>
      <c r="F60" s="4">
        <f>2172/713</f>
        <v>3.0462833099579241</v>
      </c>
    </row>
    <row r="62" spans="2:24" x14ac:dyDescent="0.45">
      <c r="B62" s="127" t="s">
        <v>68</v>
      </c>
      <c r="C62" s="127"/>
      <c r="D62" s="127"/>
      <c r="E62" s="127"/>
      <c r="F62" s="127"/>
    </row>
    <row r="63" spans="2:24" x14ac:dyDescent="0.45">
      <c r="B63" s="129" t="s">
        <v>69</v>
      </c>
      <c r="C63" s="129"/>
      <c r="D63" s="129"/>
      <c r="E63" s="129"/>
      <c r="F63" s="129"/>
    </row>
    <row r="64" spans="2:24" x14ac:dyDescent="0.45">
      <c r="B64" s="1">
        <v>2019</v>
      </c>
      <c r="C64" s="1">
        <v>2020</v>
      </c>
      <c r="D64" s="1">
        <v>2021</v>
      </c>
      <c r="E64" s="1" t="s">
        <v>16</v>
      </c>
      <c r="F64" s="13" t="s">
        <v>14</v>
      </c>
    </row>
    <row r="65" spans="2:6" x14ac:dyDescent="0.45">
      <c r="B65" s="5">
        <f>B49/B25</f>
        <v>22.289878542510124</v>
      </c>
      <c r="C65" s="5">
        <f>C49/C25</f>
        <v>0.35783299891958631</v>
      </c>
      <c r="D65" s="5">
        <f>D49/D25</f>
        <v>3.8925016589250165</v>
      </c>
      <c r="E65" s="5">
        <f>F49/F25</f>
        <v>2.7981007155754694</v>
      </c>
      <c r="F65" s="4">
        <f>E49/E25</f>
        <v>2.4924136172383013</v>
      </c>
    </row>
  </sheetData>
  <mergeCells count="71">
    <mergeCell ref="T17:X17"/>
    <mergeCell ref="T22:X22"/>
    <mergeCell ref="T23:X23"/>
    <mergeCell ref="T28:X28"/>
    <mergeCell ref="T29:X29"/>
    <mergeCell ref="T56:X56"/>
    <mergeCell ref="T45:X45"/>
    <mergeCell ref="T46:X46"/>
    <mergeCell ref="T50:X50"/>
    <mergeCell ref="T51:X51"/>
    <mergeCell ref="T55:X55"/>
    <mergeCell ref="B57:F57"/>
    <mergeCell ref="B58:F58"/>
    <mergeCell ref="B63:F63"/>
    <mergeCell ref="B62:F62"/>
    <mergeCell ref="B40:F40"/>
    <mergeCell ref="B41:F41"/>
    <mergeCell ref="B46:F46"/>
    <mergeCell ref="B47:F47"/>
    <mergeCell ref="B52:F52"/>
    <mergeCell ref="B53:F53"/>
    <mergeCell ref="B28:F28"/>
    <mergeCell ref="B29:F29"/>
    <mergeCell ref="H4:L4"/>
    <mergeCell ref="H5:L5"/>
    <mergeCell ref="H10:L10"/>
    <mergeCell ref="H11:L11"/>
    <mergeCell ref="B5:F5"/>
    <mergeCell ref="B4:F4"/>
    <mergeCell ref="B10:F10"/>
    <mergeCell ref="B11:F11"/>
    <mergeCell ref="B16:F16"/>
    <mergeCell ref="B15:F15"/>
    <mergeCell ref="B17:F17"/>
    <mergeCell ref="B22:F22"/>
    <mergeCell ref="B23:F23"/>
    <mergeCell ref="N11:R11"/>
    <mergeCell ref="N16:R16"/>
    <mergeCell ref="N17:R17"/>
    <mergeCell ref="N22:R22"/>
    <mergeCell ref="N23:R23"/>
    <mergeCell ref="T5:X5"/>
    <mergeCell ref="T4:X4"/>
    <mergeCell ref="T10:X10"/>
    <mergeCell ref="T11:X11"/>
    <mergeCell ref="T16:X16"/>
    <mergeCell ref="T41:X41"/>
    <mergeCell ref="T40:X40"/>
    <mergeCell ref="T39:X39"/>
    <mergeCell ref="N28:R28"/>
    <mergeCell ref="N29:R29"/>
    <mergeCell ref="N33:R33"/>
    <mergeCell ref="N34:R34"/>
    <mergeCell ref="T34:X34"/>
    <mergeCell ref="T33:X33"/>
    <mergeCell ref="B35:F35"/>
    <mergeCell ref="B34:F34"/>
    <mergeCell ref="T1:W1"/>
    <mergeCell ref="N1:Q1"/>
    <mergeCell ref="N2:Q2"/>
    <mergeCell ref="B1:E1"/>
    <mergeCell ref="H1:K1"/>
    <mergeCell ref="H3:L3"/>
    <mergeCell ref="N3:R3"/>
    <mergeCell ref="N4:R4"/>
    <mergeCell ref="N5:R5"/>
    <mergeCell ref="N10:R10"/>
    <mergeCell ref="H16:L16"/>
    <mergeCell ref="H17:L17"/>
    <mergeCell ref="H23:K23"/>
    <mergeCell ref="H22:K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82168-E480-4ACF-8478-5E697656050A}">
  <sheetPr codeName="Sheet3"/>
  <dimension ref="B3:O61"/>
  <sheetViews>
    <sheetView workbookViewId="0">
      <selection activeCell="D25" sqref="D25:G25"/>
    </sheetView>
  </sheetViews>
  <sheetFormatPr defaultRowHeight="14.25" x14ac:dyDescent="0.45"/>
  <cols>
    <col min="2" max="2" width="42.59765625" customWidth="1"/>
    <col min="10" max="10" width="38.73046875" customWidth="1"/>
    <col min="11" max="11" width="11.86328125" customWidth="1"/>
    <col min="12" max="12" width="9.59765625" customWidth="1"/>
  </cols>
  <sheetData>
    <row r="3" spans="2:15" x14ac:dyDescent="0.45">
      <c r="B3" s="104"/>
      <c r="C3" s="115" t="s">
        <v>72</v>
      </c>
      <c r="D3" s="115">
        <v>2019</v>
      </c>
      <c r="E3" s="115">
        <v>2020</v>
      </c>
      <c r="F3" s="115">
        <v>2021</v>
      </c>
      <c r="G3" s="115" t="s">
        <v>71</v>
      </c>
      <c r="H3" s="100"/>
      <c r="I3" s="100"/>
      <c r="J3" s="116" t="s">
        <v>70</v>
      </c>
      <c r="K3" s="115">
        <v>2019</v>
      </c>
      <c r="L3" s="115">
        <v>2020</v>
      </c>
      <c r="M3" s="115">
        <v>2021</v>
      </c>
      <c r="N3" s="115">
        <v>2022</v>
      </c>
      <c r="O3" s="115" t="s">
        <v>16</v>
      </c>
    </row>
    <row r="4" spans="2:15" x14ac:dyDescent="0.45">
      <c r="B4" s="101" t="s">
        <v>74</v>
      </c>
      <c r="C4" s="101">
        <v>1115</v>
      </c>
      <c r="D4" s="101">
        <v>2239</v>
      </c>
      <c r="E4" s="101">
        <v>1709</v>
      </c>
      <c r="F4" s="101">
        <v>1760</v>
      </c>
      <c r="G4" s="101">
        <v>893</v>
      </c>
      <c r="H4" s="100"/>
      <c r="I4" s="100"/>
      <c r="J4" s="105" t="s">
        <v>73</v>
      </c>
      <c r="K4" s="104"/>
      <c r="L4" s="104"/>
      <c r="M4" s="104"/>
      <c r="N4" s="104"/>
      <c r="O4" s="104"/>
    </row>
    <row r="5" spans="2:15" x14ac:dyDescent="0.45">
      <c r="B5" s="106" t="s">
        <v>76</v>
      </c>
      <c r="C5" s="106">
        <v>-745</v>
      </c>
      <c r="D5" s="106">
        <v>-1510</v>
      </c>
      <c r="E5" s="106">
        <v>-1215</v>
      </c>
      <c r="F5" s="106">
        <v>-1263</v>
      </c>
      <c r="G5" s="106">
        <v>-633</v>
      </c>
      <c r="H5" s="100"/>
      <c r="I5" s="100"/>
      <c r="J5" s="107" t="s">
        <v>75</v>
      </c>
      <c r="K5" s="102">
        <v>1060</v>
      </c>
      <c r="L5" s="102">
        <v>714</v>
      </c>
      <c r="M5" s="102">
        <v>756</v>
      </c>
      <c r="N5" s="102">
        <v>738</v>
      </c>
      <c r="O5" s="102">
        <v>808</v>
      </c>
    </row>
    <row r="6" spans="2:15" x14ac:dyDescent="0.45">
      <c r="B6" s="102" t="s">
        <v>78</v>
      </c>
      <c r="C6" s="102">
        <v>369</v>
      </c>
      <c r="D6" s="102">
        <v>729</v>
      </c>
      <c r="E6" s="102">
        <v>494</v>
      </c>
      <c r="F6" s="102">
        <v>497</v>
      </c>
      <c r="G6" s="102">
        <v>260</v>
      </c>
      <c r="H6" s="100"/>
      <c r="I6" s="100"/>
      <c r="J6" s="108" t="s">
        <v>77</v>
      </c>
      <c r="K6" s="109">
        <v>492</v>
      </c>
      <c r="L6" s="109">
        <v>265</v>
      </c>
      <c r="M6" s="109">
        <v>280</v>
      </c>
      <c r="N6" s="109">
        <v>273</v>
      </c>
      <c r="O6" s="109">
        <v>302</v>
      </c>
    </row>
    <row r="7" spans="2:15" x14ac:dyDescent="0.45">
      <c r="B7" s="106" t="s">
        <v>84</v>
      </c>
      <c r="C7" s="106">
        <v>-324</v>
      </c>
      <c r="D7" s="106">
        <v>-715</v>
      </c>
      <c r="E7" s="106">
        <v>-547</v>
      </c>
      <c r="F7" s="106">
        <v>-489</v>
      </c>
      <c r="G7" s="106">
        <v>-240</v>
      </c>
      <c r="H7" s="100"/>
      <c r="I7" s="100"/>
      <c r="J7" s="108" t="s">
        <v>79</v>
      </c>
      <c r="K7" s="109">
        <v>74</v>
      </c>
      <c r="L7" s="109">
        <v>19</v>
      </c>
      <c r="M7" s="109">
        <v>13</v>
      </c>
      <c r="N7" s="109">
        <v>17</v>
      </c>
      <c r="O7" s="109">
        <v>38</v>
      </c>
    </row>
    <row r="8" spans="2:15" x14ac:dyDescent="0.45">
      <c r="B8" s="109" t="s">
        <v>80</v>
      </c>
      <c r="C8" s="109">
        <v>-158</v>
      </c>
      <c r="D8" s="109">
        <v>-299</v>
      </c>
      <c r="E8" s="109">
        <v>-223</v>
      </c>
      <c r="F8" s="109">
        <v>-231</v>
      </c>
      <c r="G8" s="109">
        <v>-122</v>
      </c>
      <c r="H8" s="100"/>
      <c r="I8" s="100"/>
      <c r="J8" s="108" t="s">
        <v>81</v>
      </c>
      <c r="K8" s="109">
        <v>142</v>
      </c>
      <c r="L8" s="109">
        <v>127</v>
      </c>
      <c r="M8" s="109">
        <v>129</v>
      </c>
      <c r="N8" s="109">
        <v>128</v>
      </c>
      <c r="O8" s="109">
        <v>130</v>
      </c>
    </row>
    <row r="9" spans="2:15" x14ac:dyDescent="0.45">
      <c r="B9" s="109" t="s">
        <v>82</v>
      </c>
      <c r="C9" s="109">
        <v>-72</v>
      </c>
      <c r="D9" s="109">
        <v>-147</v>
      </c>
      <c r="E9" s="109">
        <v>-95</v>
      </c>
      <c r="F9" s="109">
        <v>-95</v>
      </c>
      <c r="G9" s="109">
        <v>-48</v>
      </c>
      <c r="H9" s="100"/>
      <c r="I9" s="100"/>
      <c r="J9" s="108" t="s">
        <v>83</v>
      </c>
      <c r="K9" s="109">
        <v>110</v>
      </c>
      <c r="L9" s="109">
        <v>78</v>
      </c>
      <c r="M9" s="109">
        <v>68</v>
      </c>
      <c r="N9" s="109">
        <v>76</v>
      </c>
      <c r="O9" s="109">
        <v>66</v>
      </c>
    </row>
    <row r="10" spans="2:15" x14ac:dyDescent="0.45">
      <c r="B10" s="109" t="s">
        <v>84</v>
      </c>
      <c r="C10" s="109">
        <v>-87</v>
      </c>
      <c r="D10" s="109">
        <v>-176</v>
      </c>
      <c r="E10" s="109">
        <v>-144</v>
      </c>
      <c r="F10" s="109">
        <v>-155</v>
      </c>
      <c r="G10" s="109">
        <v>-84</v>
      </c>
      <c r="H10" s="100"/>
      <c r="I10" s="100"/>
      <c r="J10" s="108" t="s">
        <v>85</v>
      </c>
      <c r="K10" s="109">
        <v>4</v>
      </c>
      <c r="L10" s="109">
        <v>0</v>
      </c>
      <c r="M10" s="109">
        <v>1</v>
      </c>
      <c r="N10" s="109">
        <v>0</v>
      </c>
      <c r="O10" s="109">
        <v>1</v>
      </c>
    </row>
    <row r="11" spans="2:15" ht="28.5" x14ac:dyDescent="0.45">
      <c r="B11" s="108" t="s">
        <v>86</v>
      </c>
      <c r="C11" s="109">
        <v>-3</v>
      </c>
      <c r="D11" s="109">
        <v>-4</v>
      </c>
      <c r="E11" s="109">
        <v>-2</v>
      </c>
      <c r="F11" s="109">
        <v>-2</v>
      </c>
      <c r="G11" s="109">
        <v>0</v>
      </c>
      <c r="H11" s="100"/>
      <c r="I11" s="100"/>
      <c r="J11" s="108" t="s">
        <v>87</v>
      </c>
      <c r="K11" s="109">
        <v>8</v>
      </c>
      <c r="L11" s="109">
        <v>7</v>
      </c>
      <c r="M11" s="109">
        <v>8</v>
      </c>
      <c r="N11" s="109">
        <v>8</v>
      </c>
      <c r="O11" s="109">
        <v>6</v>
      </c>
    </row>
    <row r="12" spans="2:15" x14ac:dyDescent="0.45">
      <c r="B12" s="109" t="s">
        <v>88</v>
      </c>
      <c r="C12" s="109">
        <v>25</v>
      </c>
      <c r="D12" s="109">
        <v>42</v>
      </c>
      <c r="E12" s="109">
        <v>39</v>
      </c>
      <c r="F12" s="109">
        <v>41</v>
      </c>
      <c r="G12" s="109">
        <v>0</v>
      </c>
      <c r="H12" s="100"/>
      <c r="I12" s="100"/>
      <c r="J12" s="108" t="s">
        <v>90</v>
      </c>
      <c r="K12" s="109">
        <v>0</v>
      </c>
      <c r="L12" s="109">
        <v>0</v>
      </c>
      <c r="M12" s="109">
        <v>40</v>
      </c>
      <c r="N12" s="109">
        <v>61</v>
      </c>
      <c r="O12" s="109">
        <v>56</v>
      </c>
    </row>
    <row r="13" spans="2:15" x14ac:dyDescent="0.45">
      <c r="B13" s="109" t="s">
        <v>89</v>
      </c>
      <c r="C13" s="109">
        <v>-29</v>
      </c>
      <c r="D13" s="109">
        <v>-131</v>
      </c>
      <c r="E13" s="109">
        <v>-122</v>
      </c>
      <c r="F13" s="109">
        <v>-47</v>
      </c>
      <c r="G13" s="109">
        <v>14</v>
      </c>
      <c r="H13" s="100"/>
      <c r="I13" s="100"/>
      <c r="J13" s="108" t="s">
        <v>91</v>
      </c>
      <c r="K13" s="109">
        <v>21</v>
      </c>
      <c r="L13" s="109">
        <v>15</v>
      </c>
      <c r="M13" s="109">
        <v>12</v>
      </c>
      <c r="N13" s="109">
        <v>14</v>
      </c>
      <c r="O13" s="109">
        <v>10</v>
      </c>
    </row>
    <row r="14" spans="2:15" x14ac:dyDescent="0.45">
      <c r="B14" s="102" t="s">
        <v>92</v>
      </c>
      <c r="C14" s="102">
        <v>46</v>
      </c>
      <c r="D14" s="102">
        <v>14</v>
      </c>
      <c r="E14" s="102">
        <v>-52</v>
      </c>
      <c r="F14" s="102">
        <v>9</v>
      </c>
      <c r="G14" s="102">
        <v>-3</v>
      </c>
      <c r="H14" s="100"/>
      <c r="I14" s="100"/>
      <c r="J14" s="108" t="s">
        <v>93</v>
      </c>
      <c r="K14" s="109">
        <v>62</v>
      </c>
      <c r="L14" s="109">
        <v>68</v>
      </c>
      <c r="M14" s="109">
        <v>70</v>
      </c>
      <c r="N14" s="109">
        <v>75</v>
      </c>
      <c r="O14" s="109">
        <v>73</v>
      </c>
    </row>
    <row r="15" spans="2:15" x14ac:dyDescent="0.45">
      <c r="B15" s="103" t="s">
        <v>94</v>
      </c>
      <c r="C15" s="103">
        <v>-4</v>
      </c>
      <c r="D15" s="103">
        <v>-8</v>
      </c>
      <c r="E15" s="103">
        <v>-4</v>
      </c>
      <c r="F15" s="103">
        <v>-1</v>
      </c>
      <c r="G15" s="103">
        <v>-1</v>
      </c>
      <c r="H15" s="100"/>
      <c r="I15" s="100"/>
      <c r="J15" s="108" t="s">
        <v>95</v>
      </c>
      <c r="K15" s="109">
        <v>24</v>
      </c>
      <c r="L15" s="109">
        <v>16</v>
      </c>
      <c r="M15" s="109">
        <v>11</v>
      </c>
      <c r="N15" s="109">
        <v>14</v>
      </c>
      <c r="O15" s="109">
        <v>10</v>
      </c>
    </row>
    <row r="16" spans="2:15" x14ac:dyDescent="0.45">
      <c r="B16" s="109" t="s">
        <v>96</v>
      </c>
      <c r="C16" s="109">
        <v>1</v>
      </c>
      <c r="D16" s="109">
        <v>2</v>
      </c>
      <c r="E16" s="109">
        <v>1</v>
      </c>
      <c r="F16" s="109">
        <v>2</v>
      </c>
      <c r="G16" s="109">
        <v>1</v>
      </c>
      <c r="H16" s="100"/>
      <c r="I16" s="100"/>
      <c r="J16" s="108" t="s">
        <v>97</v>
      </c>
      <c r="K16" s="109">
        <v>125</v>
      </c>
      <c r="L16" s="109">
        <v>120</v>
      </c>
      <c r="M16" s="109">
        <v>124</v>
      </c>
      <c r="N16" s="109">
        <v>117</v>
      </c>
      <c r="O16" s="109">
        <v>117</v>
      </c>
    </row>
    <row r="17" spans="2:15" x14ac:dyDescent="0.45">
      <c r="B17" s="109" t="s">
        <v>98</v>
      </c>
      <c r="C17" s="109">
        <v>-5</v>
      </c>
      <c r="D17" s="109">
        <v>-10</v>
      </c>
      <c r="E17" s="109">
        <v>-6</v>
      </c>
      <c r="F17" s="109">
        <v>-3</v>
      </c>
      <c r="G17" s="109">
        <v>-1</v>
      </c>
      <c r="H17" s="100"/>
      <c r="I17" s="100"/>
      <c r="J17" s="107" t="s">
        <v>99</v>
      </c>
      <c r="K17" s="102">
        <v>1234</v>
      </c>
      <c r="L17" s="102">
        <v>1490</v>
      </c>
      <c r="M17" s="102">
        <v>1339</v>
      </c>
      <c r="N17" s="102">
        <v>1389</v>
      </c>
      <c r="O17" s="102">
        <v>1284</v>
      </c>
    </row>
    <row r="18" spans="2:15" x14ac:dyDescent="0.45">
      <c r="B18" s="103" t="s">
        <v>100</v>
      </c>
      <c r="C18" s="103">
        <v>-16</v>
      </c>
      <c r="D18" s="103">
        <v>-30</v>
      </c>
      <c r="E18" s="103">
        <v>-26</v>
      </c>
      <c r="F18" s="103">
        <v>-6</v>
      </c>
      <c r="G18" s="103">
        <v>-9</v>
      </c>
      <c r="H18" s="100"/>
      <c r="I18" s="100"/>
      <c r="J18" s="108" t="s">
        <v>101</v>
      </c>
      <c r="K18" s="109">
        <v>436</v>
      </c>
      <c r="L18" s="109">
        <v>389</v>
      </c>
      <c r="M18" s="109">
        <v>418</v>
      </c>
      <c r="N18" s="109">
        <v>445</v>
      </c>
      <c r="O18" s="109">
        <v>537</v>
      </c>
    </row>
    <row r="19" spans="2:15" x14ac:dyDescent="0.45">
      <c r="B19" s="109" t="s">
        <v>102</v>
      </c>
      <c r="C19" s="109">
        <v>4</v>
      </c>
      <c r="D19" s="109">
        <v>8</v>
      </c>
      <c r="E19" s="109">
        <v>2</v>
      </c>
      <c r="F19" s="109">
        <v>10</v>
      </c>
      <c r="G19" s="109">
        <v>5</v>
      </c>
      <c r="H19" s="100"/>
      <c r="I19" s="100"/>
      <c r="J19" s="108" t="s">
        <v>91</v>
      </c>
      <c r="K19" s="109">
        <v>408</v>
      </c>
      <c r="L19" s="109">
        <v>297</v>
      </c>
      <c r="M19" s="109">
        <v>307</v>
      </c>
      <c r="N19" s="109">
        <v>293</v>
      </c>
      <c r="O19" s="109">
        <v>323</v>
      </c>
    </row>
    <row r="20" spans="2:15" x14ac:dyDescent="0.45">
      <c r="B20" s="109" t="s">
        <v>103</v>
      </c>
      <c r="C20" s="109">
        <v>-20</v>
      </c>
      <c r="D20" s="109">
        <v>-38</v>
      </c>
      <c r="E20" s="109">
        <v>-28</v>
      </c>
      <c r="F20" s="109">
        <v>-16</v>
      </c>
      <c r="G20" s="109">
        <v>-14</v>
      </c>
      <c r="H20" s="100"/>
      <c r="I20" s="100"/>
      <c r="J20" s="108" t="s">
        <v>104</v>
      </c>
      <c r="K20" s="109">
        <v>100</v>
      </c>
      <c r="L20" s="109">
        <v>64</v>
      </c>
      <c r="M20" s="109">
        <v>76</v>
      </c>
      <c r="N20" s="109">
        <v>69</v>
      </c>
      <c r="O20" s="109">
        <v>96</v>
      </c>
    </row>
    <row r="21" spans="2:15" x14ac:dyDescent="0.45">
      <c r="B21" s="103" t="s">
        <v>105</v>
      </c>
      <c r="C21" s="103">
        <v>-20</v>
      </c>
      <c r="D21" s="103">
        <v>-38</v>
      </c>
      <c r="E21" s="103">
        <v>-31</v>
      </c>
      <c r="F21" s="103">
        <v>-8</v>
      </c>
      <c r="G21" s="103">
        <v>-9</v>
      </c>
      <c r="H21" s="100"/>
      <c r="I21" s="100"/>
      <c r="J21" s="108" t="s">
        <v>106</v>
      </c>
      <c r="K21" s="109">
        <v>75</v>
      </c>
      <c r="L21" s="109">
        <v>63</v>
      </c>
      <c r="M21" s="109">
        <v>63</v>
      </c>
      <c r="N21" s="109">
        <v>57</v>
      </c>
      <c r="O21" s="109">
        <v>60</v>
      </c>
    </row>
    <row r="22" spans="2:15" x14ac:dyDescent="0.45">
      <c r="B22" s="109" t="s">
        <v>107</v>
      </c>
      <c r="C22" s="109">
        <v>0</v>
      </c>
      <c r="D22" s="109">
        <v>-1</v>
      </c>
      <c r="E22" s="109">
        <v>0</v>
      </c>
      <c r="F22" s="109">
        <v>0</v>
      </c>
      <c r="G22" s="109">
        <v>0</v>
      </c>
      <c r="H22" s="100"/>
      <c r="I22" s="100"/>
      <c r="J22" s="108" t="s">
        <v>109</v>
      </c>
      <c r="K22" s="109">
        <v>25</v>
      </c>
      <c r="L22" s="109">
        <v>15</v>
      </c>
      <c r="M22" s="109">
        <v>19</v>
      </c>
      <c r="N22" s="109">
        <v>32</v>
      </c>
      <c r="O22" s="109">
        <v>25</v>
      </c>
    </row>
    <row r="23" spans="2:15" x14ac:dyDescent="0.45">
      <c r="B23" s="102" t="s">
        <v>110</v>
      </c>
      <c r="C23" s="102">
        <v>26</v>
      </c>
      <c r="D23" s="102">
        <v>-25</v>
      </c>
      <c r="E23" s="102">
        <v>-83</v>
      </c>
      <c r="F23" s="102">
        <v>1</v>
      </c>
      <c r="G23" s="102">
        <v>-13</v>
      </c>
      <c r="H23" s="100"/>
      <c r="I23" s="100"/>
      <c r="J23" s="108" t="s">
        <v>112</v>
      </c>
      <c r="K23" s="109"/>
      <c r="L23" s="109">
        <v>9</v>
      </c>
      <c r="M23" s="109">
        <v>2</v>
      </c>
      <c r="N23" s="109">
        <v>11</v>
      </c>
      <c r="O23" s="109">
        <v>1</v>
      </c>
    </row>
    <row r="24" spans="2:15" x14ac:dyDescent="0.45">
      <c r="B24" s="109" t="s">
        <v>111</v>
      </c>
      <c r="C24" s="109">
        <v>-14</v>
      </c>
      <c r="D24" s="109">
        <v>-28</v>
      </c>
      <c r="E24" s="109">
        <v>-15</v>
      </c>
      <c r="F24" s="109">
        <v>-15</v>
      </c>
      <c r="G24" s="109">
        <v>-7</v>
      </c>
      <c r="H24" s="100"/>
      <c r="I24" s="100"/>
      <c r="J24" s="108" t="s">
        <v>93</v>
      </c>
      <c r="K24" s="109">
        <v>34</v>
      </c>
      <c r="L24" s="109">
        <v>29</v>
      </c>
      <c r="M24" s="109">
        <v>30</v>
      </c>
      <c r="N24" s="109">
        <v>19</v>
      </c>
      <c r="O24" s="109">
        <v>20</v>
      </c>
    </row>
    <row r="25" spans="2:15" x14ac:dyDescent="0.45">
      <c r="B25" s="110" t="s">
        <v>113</v>
      </c>
      <c r="C25" s="110">
        <v>12</v>
      </c>
      <c r="D25" s="110">
        <v>-53</v>
      </c>
      <c r="E25" s="110">
        <v>-98</v>
      </c>
      <c r="F25" s="110">
        <v>-14</v>
      </c>
      <c r="G25" s="110">
        <v>-20</v>
      </c>
      <c r="H25" s="100"/>
      <c r="I25" s="100"/>
      <c r="J25" s="108" t="s">
        <v>114</v>
      </c>
      <c r="K25" s="109">
        <v>15</v>
      </c>
      <c r="L25" s="109">
        <v>9</v>
      </c>
      <c r="M25" s="109">
        <v>4</v>
      </c>
      <c r="N25" s="109">
        <v>1</v>
      </c>
      <c r="O25" s="109">
        <v>7</v>
      </c>
    </row>
    <row r="26" spans="2:15" x14ac:dyDescent="0.45">
      <c r="B26" s="109" t="s">
        <v>115</v>
      </c>
      <c r="C26" s="109"/>
      <c r="D26" s="109"/>
      <c r="E26" s="109"/>
      <c r="F26" s="109"/>
      <c r="G26" s="109"/>
      <c r="H26" s="100"/>
      <c r="I26" s="100"/>
      <c r="J26" s="108" t="s">
        <v>116</v>
      </c>
      <c r="K26" s="109">
        <v>21</v>
      </c>
      <c r="L26" s="109">
        <v>18</v>
      </c>
      <c r="M26" s="109">
        <v>18</v>
      </c>
      <c r="N26" s="109">
        <v>24</v>
      </c>
      <c r="O26" s="109">
        <v>17</v>
      </c>
    </row>
    <row r="27" spans="2:15" x14ac:dyDescent="0.45">
      <c r="B27" s="109" t="s">
        <v>117</v>
      </c>
      <c r="C27" s="109"/>
      <c r="D27" s="109">
        <v>5</v>
      </c>
      <c r="E27" s="109">
        <v>719</v>
      </c>
      <c r="F27" s="109">
        <v>0</v>
      </c>
      <c r="G27" s="109"/>
      <c r="H27" s="100"/>
      <c r="I27" s="100"/>
      <c r="J27" s="108" t="s">
        <v>118</v>
      </c>
      <c r="K27" s="109">
        <v>1</v>
      </c>
      <c r="L27" s="109">
        <v>9</v>
      </c>
      <c r="M27" s="109">
        <v>1</v>
      </c>
      <c r="N27" s="109">
        <v>6</v>
      </c>
      <c r="O27" s="109">
        <v>4</v>
      </c>
    </row>
    <row r="28" spans="2:15" x14ac:dyDescent="0.45">
      <c r="B28" s="109" t="s">
        <v>119</v>
      </c>
      <c r="C28" s="109">
        <v>12</v>
      </c>
      <c r="D28" s="109">
        <v>-48</v>
      </c>
      <c r="E28" s="109">
        <v>621</v>
      </c>
      <c r="F28" s="109">
        <v>-14</v>
      </c>
      <c r="G28" s="109">
        <v>-20</v>
      </c>
      <c r="H28" s="100"/>
      <c r="I28" s="100"/>
      <c r="J28" s="108" t="s">
        <v>120</v>
      </c>
      <c r="K28" s="109">
        <v>107</v>
      </c>
      <c r="L28" s="109">
        <v>585</v>
      </c>
      <c r="M28" s="109">
        <v>398</v>
      </c>
      <c r="N28" s="109">
        <v>428</v>
      </c>
      <c r="O28" s="109">
        <v>191</v>
      </c>
    </row>
    <row r="29" spans="2:15" x14ac:dyDescent="0.45">
      <c r="B29" s="100"/>
      <c r="C29" s="100"/>
      <c r="D29" s="100"/>
      <c r="E29" s="100"/>
      <c r="F29" s="100"/>
      <c r="G29" s="100"/>
      <c r="H29" s="100"/>
      <c r="I29" s="100"/>
      <c r="J29" s="108" t="s">
        <v>121</v>
      </c>
      <c r="K29" s="109">
        <v>10</v>
      </c>
      <c r="L29" s="109">
        <v>4</v>
      </c>
      <c r="M29" s="109">
        <v>3</v>
      </c>
      <c r="N29" s="109">
        <v>2</v>
      </c>
      <c r="O29" s="109">
        <v>2</v>
      </c>
    </row>
    <row r="30" spans="2:15" x14ac:dyDescent="0.45">
      <c r="B30" s="100"/>
      <c r="C30" s="100"/>
      <c r="D30" s="100"/>
      <c r="E30" s="100"/>
      <c r="F30" s="100"/>
      <c r="G30" s="100"/>
      <c r="H30" s="100"/>
      <c r="I30" s="100"/>
      <c r="J30" s="111" t="s">
        <v>122</v>
      </c>
      <c r="K30" s="101">
        <v>2294</v>
      </c>
      <c r="L30" s="101">
        <v>2204</v>
      </c>
      <c r="M30" s="101">
        <v>2095</v>
      </c>
      <c r="N30" s="101">
        <v>2172</v>
      </c>
      <c r="O30" s="101">
        <v>2092</v>
      </c>
    </row>
    <row r="31" spans="2:15" x14ac:dyDescent="0.45">
      <c r="B31" s="100"/>
      <c r="C31" s="100"/>
      <c r="D31" s="100"/>
      <c r="E31" s="100"/>
      <c r="F31" s="100"/>
      <c r="G31" s="100"/>
      <c r="H31" s="100"/>
      <c r="I31" s="100"/>
      <c r="J31" s="105" t="s">
        <v>123</v>
      </c>
      <c r="K31" s="104"/>
      <c r="L31" s="104"/>
      <c r="M31" s="104"/>
      <c r="N31" s="104"/>
      <c r="O31" s="104"/>
    </row>
    <row r="32" spans="2:15" x14ac:dyDescent="0.45">
      <c r="B32" s="100"/>
      <c r="C32" s="100"/>
      <c r="D32" s="100"/>
      <c r="E32" s="100"/>
      <c r="F32" s="100"/>
      <c r="G32" s="100"/>
      <c r="H32" s="100"/>
      <c r="I32" s="100"/>
      <c r="J32" s="112" t="s">
        <v>124</v>
      </c>
      <c r="K32" s="113">
        <v>130</v>
      </c>
      <c r="L32" s="113">
        <v>620</v>
      </c>
      <c r="M32" s="113">
        <v>685</v>
      </c>
      <c r="N32" s="113">
        <v>713</v>
      </c>
      <c r="O32" s="113">
        <v>787</v>
      </c>
    </row>
    <row r="33" spans="2:15" x14ac:dyDescent="0.45">
      <c r="B33" s="100"/>
      <c r="C33" s="100"/>
      <c r="D33" s="100"/>
      <c r="E33" s="100"/>
      <c r="F33" s="100"/>
      <c r="G33" s="100"/>
      <c r="H33" s="100"/>
      <c r="I33" s="100"/>
      <c r="J33" s="108" t="s">
        <v>125</v>
      </c>
      <c r="K33" s="109">
        <v>83</v>
      </c>
      <c r="L33" s="109">
        <v>570</v>
      </c>
      <c r="M33" s="109">
        <v>632</v>
      </c>
      <c r="N33" s="109">
        <v>662</v>
      </c>
      <c r="O33" s="109">
        <v>736</v>
      </c>
    </row>
    <row r="34" spans="2:15" x14ac:dyDescent="0.45">
      <c r="B34" s="100"/>
      <c r="C34" s="100"/>
      <c r="D34" s="100"/>
      <c r="E34" s="100"/>
      <c r="F34" s="100"/>
      <c r="G34" s="100"/>
      <c r="H34" s="100"/>
      <c r="I34" s="100"/>
      <c r="J34" s="108" t="s">
        <v>126</v>
      </c>
      <c r="K34" s="109">
        <v>187</v>
      </c>
      <c r="L34" s="109">
        <v>187</v>
      </c>
      <c r="M34" s="109">
        <v>187</v>
      </c>
      <c r="N34" s="109">
        <v>187</v>
      </c>
      <c r="O34" s="109">
        <v>187</v>
      </c>
    </row>
    <row r="35" spans="2:15" x14ac:dyDescent="0.45">
      <c r="B35" s="100"/>
      <c r="C35" s="100"/>
      <c r="D35" s="100"/>
      <c r="E35" s="100"/>
      <c r="F35" s="100"/>
      <c r="G35" s="100"/>
      <c r="H35" s="100"/>
      <c r="I35" s="100"/>
      <c r="J35" s="108" t="s">
        <v>127</v>
      </c>
      <c r="K35" s="109">
        <v>210</v>
      </c>
      <c r="L35" s="109">
        <v>210</v>
      </c>
      <c r="M35" s="109">
        <v>210</v>
      </c>
      <c r="N35" s="109">
        <v>210</v>
      </c>
      <c r="O35" s="109">
        <v>210</v>
      </c>
    </row>
    <row r="36" spans="2:15" x14ac:dyDescent="0.45">
      <c r="B36" s="100"/>
      <c r="C36" s="100"/>
      <c r="D36" s="100"/>
      <c r="E36" s="100"/>
      <c r="F36" s="100"/>
      <c r="G36" s="100"/>
      <c r="H36" s="100"/>
      <c r="I36" s="100"/>
      <c r="J36" s="108" t="s">
        <v>128</v>
      </c>
      <c r="K36" s="109">
        <v>803</v>
      </c>
      <c r="L36" s="109">
        <v>1412</v>
      </c>
      <c r="M36" s="109">
        <v>1.284</v>
      </c>
      <c r="N36" s="109">
        <v>1332</v>
      </c>
      <c r="O36" s="109">
        <v>1242</v>
      </c>
    </row>
    <row r="37" spans="2:15" x14ac:dyDescent="0.45">
      <c r="B37" s="100"/>
      <c r="C37" s="100"/>
      <c r="D37" s="100"/>
      <c r="E37" s="100"/>
      <c r="F37" s="100"/>
      <c r="G37" s="100"/>
      <c r="H37" s="100"/>
      <c r="I37" s="100"/>
      <c r="J37" s="108" t="s">
        <v>129</v>
      </c>
      <c r="K37" s="109">
        <v>-84</v>
      </c>
      <c r="L37" s="109">
        <v>-76</v>
      </c>
      <c r="M37" s="109">
        <v>-1</v>
      </c>
      <c r="N37" s="109">
        <v>4</v>
      </c>
      <c r="O37" s="109">
        <v>-4</v>
      </c>
    </row>
    <row r="38" spans="2:15" x14ac:dyDescent="0.45">
      <c r="B38" s="100"/>
      <c r="C38" s="100"/>
      <c r="D38" s="100"/>
      <c r="E38" s="100"/>
      <c r="F38" s="100"/>
      <c r="G38" s="100"/>
      <c r="H38" s="100"/>
      <c r="I38" s="100"/>
      <c r="J38" s="108" t="s">
        <v>130</v>
      </c>
      <c r="K38" s="109">
        <v>-5</v>
      </c>
      <c r="L38" s="109">
        <v>-42</v>
      </c>
      <c r="M38" s="109">
        <v>-15</v>
      </c>
      <c r="N38" s="109">
        <v>-28</v>
      </c>
      <c r="O38" s="109">
        <v>15</v>
      </c>
    </row>
    <row r="39" spans="2:15" ht="28.5" x14ac:dyDescent="0.45">
      <c r="B39" s="100"/>
      <c r="C39" s="100"/>
      <c r="D39" s="100"/>
      <c r="E39" s="100"/>
      <c r="F39" s="100"/>
      <c r="G39" s="100"/>
      <c r="H39" s="100"/>
      <c r="I39" s="100"/>
      <c r="J39" s="108" t="s">
        <v>131</v>
      </c>
      <c r="K39" s="109">
        <v>-1028</v>
      </c>
      <c r="L39" s="109">
        <v>-1122</v>
      </c>
      <c r="M39" s="109">
        <v>-1033</v>
      </c>
      <c r="N39" s="109">
        <v>-1043</v>
      </c>
      <c r="O39" s="109">
        <v>-914</v>
      </c>
    </row>
    <row r="40" spans="2:15" x14ac:dyDescent="0.45">
      <c r="B40" s="100"/>
      <c r="C40" s="100"/>
      <c r="D40" s="100"/>
      <c r="E40" s="100"/>
      <c r="F40" s="100"/>
      <c r="G40" s="100"/>
      <c r="H40" s="100"/>
      <c r="I40" s="100"/>
      <c r="J40" s="108" t="s">
        <v>132</v>
      </c>
      <c r="K40" s="109">
        <v>47</v>
      </c>
      <c r="L40" s="109">
        <v>51</v>
      </c>
      <c r="M40" s="109">
        <v>54</v>
      </c>
      <c r="N40" s="109">
        <v>52</v>
      </c>
      <c r="O40" s="109">
        <v>51</v>
      </c>
    </row>
    <row r="41" spans="2:15" x14ac:dyDescent="0.45">
      <c r="B41" s="100"/>
      <c r="C41" s="100"/>
      <c r="D41" s="100"/>
      <c r="E41" s="100"/>
      <c r="F41" s="100"/>
      <c r="G41" s="100"/>
      <c r="H41" s="100"/>
      <c r="I41" s="100"/>
      <c r="J41" s="112" t="s">
        <v>133</v>
      </c>
      <c r="K41" s="113">
        <v>1402</v>
      </c>
      <c r="L41" s="113">
        <v>1046</v>
      </c>
      <c r="M41" s="113">
        <v>812</v>
      </c>
      <c r="N41" s="113">
        <v>873</v>
      </c>
      <c r="O41" s="113">
        <v>685</v>
      </c>
    </row>
    <row r="42" spans="2:15" ht="28.5" x14ac:dyDescent="0.45">
      <c r="B42" s="100"/>
      <c r="C42" s="100"/>
      <c r="D42" s="100"/>
      <c r="E42" s="100"/>
      <c r="F42" s="100"/>
      <c r="G42" s="100"/>
      <c r="H42" s="100"/>
      <c r="I42" s="100"/>
      <c r="J42" s="108" t="s">
        <v>134</v>
      </c>
      <c r="K42" s="109">
        <v>1137</v>
      </c>
      <c r="L42" s="109">
        <v>956</v>
      </c>
      <c r="M42" s="109">
        <v>735</v>
      </c>
      <c r="N42" s="109">
        <v>784</v>
      </c>
      <c r="O42" s="109">
        <v>608</v>
      </c>
    </row>
    <row r="43" spans="2:15" x14ac:dyDescent="0.45">
      <c r="B43" s="100"/>
      <c r="C43" s="100"/>
      <c r="D43" s="100"/>
      <c r="E43" s="100"/>
      <c r="F43" s="100"/>
      <c r="G43" s="100"/>
      <c r="H43" s="100"/>
      <c r="I43" s="100"/>
      <c r="J43" s="108" t="s">
        <v>135</v>
      </c>
      <c r="K43" s="109">
        <v>12</v>
      </c>
      <c r="L43" s="109">
        <v>13</v>
      </c>
      <c r="M43" s="109">
        <v>11</v>
      </c>
      <c r="N43" s="109">
        <v>13</v>
      </c>
      <c r="O43" s="109">
        <v>12</v>
      </c>
    </row>
    <row r="44" spans="2:15" x14ac:dyDescent="0.45">
      <c r="B44" s="100"/>
      <c r="C44" s="100"/>
      <c r="D44" s="100"/>
      <c r="E44" s="100"/>
      <c r="F44" s="100"/>
      <c r="G44" s="100"/>
      <c r="H44" s="100"/>
      <c r="I44" s="100"/>
      <c r="J44" s="108" t="s">
        <v>136</v>
      </c>
      <c r="K44" s="109">
        <v>225</v>
      </c>
      <c r="L44" s="109">
        <v>54</v>
      </c>
      <c r="M44" s="109">
        <v>46</v>
      </c>
      <c r="N44" s="109">
        <v>53</v>
      </c>
      <c r="O44" s="109">
        <v>45</v>
      </c>
    </row>
    <row r="45" spans="2:15" x14ac:dyDescent="0.45">
      <c r="B45" s="100"/>
      <c r="C45" s="100"/>
      <c r="D45" s="100"/>
      <c r="E45" s="100"/>
      <c r="F45" s="100"/>
      <c r="G45" s="100"/>
      <c r="H45" s="100"/>
      <c r="I45" s="100"/>
      <c r="J45" s="108" t="s">
        <v>137</v>
      </c>
      <c r="K45" s="109">
        <v>5</v>
      </c>
      <c r="L45" s="109">
        <v>16</v>
      </c>
      <c r="M45" s="109">
        <v>12</v>
      </c>
      <c r="N45" s="109">
        <v>17</v>
      </c>
      <c r="O45" s="109">
        <v>12</v>
      </c>
    </row>
    <row r="46" spans="2:15" x14ac:dyDescent="0.45">
      <c r="B46" s="100"/>
      <c r="C46" s="100"/>
      <c r="D46" s="100"/>
      <c r="E46" s="100"/>
      <c r="F46" s="100"/>
      <c r="G46" s="100"/>
      <c r="H46" s="100"/>
      <c r="I46" s="100"/>
      <c r="J46" s="108" t="s">
        <v>138</v>
      </c>
      <c r="K46" s="109">
        <v>19</v>
      </c>
      <c r="L46" s="109">
        <v>4</v>
      </c>
      <c r="M46" s="109">
        <v>6</v>
      </c>
      <c r="N46" s="109">
        <v>5</v>
      </c>
      <c r="O46" s="109">
        <v>8</v>
      </c>
    </row>
    <row r="47" spans="2:15" x14ac:dyDescent="0.45">
      <c r="B47" s="100"/>
      <c r="C47" s="100"/>
      <c r="D47" s="100"/>
      <c r="E47" s="100"/>
      <c r="F47" s="100"/>
      <c r="G47" s="100"/>
      <c r="H47" s="100"/>
      <c r="I47" s="100"/>
      <c r="J47" s="108" t="s">
        <v>139</v>
      </c>
      <c r="K47" s="109">
        <v>2</v>
      </c>
      <c r="L47" s="109"/>
      <c r="M47" s="109"/>
      <c r="N47" s="109"/>
      <c r="O47" s="109"/>
    </row>
    <row r="48" spans="2:15" x14ac:dyDescent="0.45">
      <c r="B48" s="100"/>
      <c r="C48" s="100"/>
      <c r="D48" s="100"/>
      <c r="E48" s="100"/>
      <c r="F48" s="100"/>
      <c r="G48" s="100"/>
      <c r="H48" s="100"/>
      <c r="I48" s="100"/>
      <c r="J48" s="108" t="s">
        <v>140</v>
      </c>
      <c r="K48" s="109">
        <v>1</v>
      </c>
      <c r="L48" s="109">
        <v>2</v>
      </c>
      <c r="M48" s="109">
        <v>1</v>
      </c>
      <c r="N48" s="109">
        <v>2</v>
      </c>
      <c r="O48" s="109" t="s">
        <v>108</v>
      </c>
    </row>
    <row r="49" spans="2:15" x14ac:dyDescent="0.45">
      <c r="B49" s="100"/>
      <c r="C49" s="100"/>
      <c r="D49" s="100"/>
      <c r="E49" s="100"/>
      <c r="F49" s="100"/>
      <c r="G49" s="100"/>
      <c r="H49" s="100"/>
      <c r="I49" s="100"/>
      <c r="J49" s="108" t="s">
        <v>141</v>
      </c>
      <c r="K49" s="109">
        <v>1</v>
      </c>
      <c r="L49" s="109">
        <v>1</v>
      </c>
      <c r="M49" s="109" t="s">
        <v>108</v>
      </c>
      <c r="N49" s="109" t="s">
        <v>108</v>
      </c>
      <c r="O49" s="109">
        <v>2</v>
      </c>
    </row>
    <row r="50" spans="2:15" x14ac:dyDescent="0.45">
      <c r="B50" s="100"/>
      <c r="C50" s="100"/>
      <c r="D50" s="100"/>
      <c r="E50" s="100"/>
      <c r="F50" s="100"/>
      <c r="G50" s="100"/>
      <c r="H50" s="100"/>
      <c r="I50" s="100"/>
      <c r="J50" s="112" t="s">
        <v>142</v>
      </c>
      <c r="K50" s="113">
        <v>761</v>
      </c>
      <c r="L50" s="113">
        <v>538</v>
      </c>
      <c r="M50" s="113">
        <v>597</v>
      </c>
      <c r="N50" s="113">
        <v>568</v>
      </c>
      <c r="O50" s="113">
        <v>620</v>
      </c>
    </row>
    <row r="51" spans="2:15" x14ac:dyDescent="0.45">
      <c r="B51" s="100"/>
      <c r="C51" s="100"/>
      <c r="D51" s="100"/>
      <c r="E51" s="100"/>
      <c r="F51" s="100"/>
      <c r="G51" s="100"/>
      <c r="H51" s="100"/>
      <c r="I51" s="100"/>
      <c r="J51" s="108" t="s">
        <v>136</v>
      </c>
      <c r="K51" s="109">
        <v>101</v>
      </c>
      <c r="L51" s="109">
        <v>29</v>
      </c>
      <c r="M51" s="109">
        <v>27</v>
      </c>
      <c r="N51" s="109">
        <v>27</v>
      </c>
      <c r="O51" s="109">
        <v>26</v>
      </c>
    </row>
    <row r="52" spans="2:15" x14ac:dyDescent="0.45">
      <c r="B52" s="100"/>
      <c r="C52" s="100"/>
      <c r="D52" s="100"/>
      <c r="E52" s="100"/>
      <c r="F52" s="100"/>
      <c r="G52" s="100"/>
      <c r="H52" s="100"/>
      <c r="I52" s="100"/>
      <c r="J52" s="108" t="s">
        <v>137</v>
      </c>
      <c r="K52" s="109">
        <v>45</v>
      </c>
      <c r="L52" s="109">
        <v>63</v>
      </c>
      <c r="M52" s="109">
        <v>42</v>
      </c>
      <c r="N52" s="109">
        <v>34</v>
      </c>
      <c r="O52" s="109">
        <v>36</v>
      </c>
    </row>
    <row r="53" spans="2:15" x14ac:dyDescent="0.45">
      <c r="B53" s="100"/>
      <c r="C53" s="100"/>
      <c r="D53" s="100"/>
      <c r="E53" s="100"/>
      <c r="F53" s="100"/>
      <c r="G53" s="100"/>
      <c r="H53" s="100"/>
      <c r="I53" s="100"/>
      <c r="J53" s="108" t="s">
        <v>139</v>
      </c>
      <c r="K53" s="109">
        <v>232</v>
      </c>
      <c r="L53" s="109">
        <v>198</v>
      </c>
      <c r="M53" s="109">
        <v>252</v>
      </c>
      <c r="N53" s="109">
        <v>240</v>
      </c>
      <c r="O53" s="109">
        <v>271</v>
      </c>
    </row>
    <row r="54" spans="2:15" x14ac:dyDescent="0.45">
      <c r="B54" s="100"/>
      <c r="C54" s="100"/>
      <c r="D54" s="100"/>
      <c r="E54" s="100"/>
      <c r="F54" s="100"/>
      <c r="G54" s="100"/>
      <c r="H54" s="100"/>
      <c r="I54" s="100"/>
      <c r="J54" s="108" t="s">
        <v>140</v>
      </c>
      <c r="K54" s="109">
        <v>151</v>
      </c>
      <c r="L54" s="109">
        <v>103</v>
      </c>
      <c r="M54" s="109">
        <v>111</v>
      </c>
      <c r="N54" s="109">
        <v>120</v>
      </c>
      <c r="O54" s="109">
        <v>132</v>
      </c>
    </row>
    <row r="55" spans="2:15" x14ac:dyDescent="0.45">
      <c r="B55" s="100"/>
      <c r="C55" s="100"/>
      <c r="D55" s="100"/>
      <c r="E55" s="100"/>
      <c r="F55" s="100"/>
      <c r="G55" s="100"/>
      <c r="H55" s="100"/>
      <c r="I55" s="100"/>
      <c r="J55" s="108" t="s">
        <v>143</v>
      </c>
      <c r="K55" s="109">
        <v>49</v>
      </c>
      <c r="L55" s="109">
        <v>23</v>
      </c>
      <c r="M55" s="109">
        <v>28</v>
      </c>
      <c r="N55" s="109">
        <v>26</v>
      </c>
      <c r="O55" s="109">
        <v>25</v>
      </c>
    </row>
    <row r="56" spans="2:15" x14ac:dyDescent="0.45">
      <c r="B56" s="100"/>
      <c r="C56" s="100"/>
      <c r="D56" s="100"/>
      <c r="E56" s="100"/>
      <c r="F56" s="100"/>
      <c r="G56" s="100"/>
      <c r="H56" s="100"/>
      <c r="I56" s="100"/>
      <c r="J56" s="108" t="s">
        <v>144</v>
      </c>
      <c r="K56" s="109">
        <v>38</v>
      </c>
      <c r="L56" s="109">
        <v>24</v>
      </c>
      <c r="M56" s="109">
        <v>28</v>
      </c>
      <c r="N56" s="109">
        <v>35</v>
      </c>
      <c r="O56" s="109">
        <v>23</v>
      </c>
    </row>
    <row r="57" spans="2:15" x14ac:dyDescent="0.45">
      <c r="B57" s="100"/>
      <c r="C57" s="100"/>
      <c r="D57" s="100"/>
      <c r="E57" s="100"/>
      <c r="F57" s="100"/>
      <c r="G57" s="100"/>
      <c r="H57" s="100"/>
      <c r="I57" s="100"/>
      <c r="J57" s="108" t="s">
        <v>145</v>
      </c>
      <c r="K57" s="109">
        <v>9</v>
      </c>
      <c r="L57" s="109">
        <v>8</v>
      </c>
      <c r="M57" s="109">
        <v>9</v>
      </c>
      <c r="N57" s="109">
        <v>8</v>
      </c>
      <c r="O57" s="109">
        <v>11</v>
      </c>
    </row>
    <row r="58" spans="2:15" x14ac:dyDescent="0.45">
      <c r="B58" s="100"/>
      <c r="C58" s="100"/>
      <c r="D58" s="100"/>
      <c r="E58" s="100"/>
      <c r="F58" s="100"/>
      <c r="G58" s="100"/>
      <c r="H58" s="100"/>
      <c r="I58" s="100"/>
      <c r="J58" s="108" t="s">
        <v>146</v>
      </c>
      <c r="K58" s="109">
        <v>130</v>
      </c>
      <c r="L58" s="109">
        <v>88</v>
      </c>
      <c r="M58" s="109">
        <v>99</v>
      </c>
      <c r="N58" s="109">
        <v>90</v>
      </c>
      <c r="O58" s="109">
        <v>84</v>
      </c>
    </row>
    <row r="59" spans="2:15" x14ac:dyDescent="0.45">
      <c r="B59" s="100"/>
      <c r="C59" s="100"/>
      <c r="D59" s="100"/>
      <c r="E59" s="100"/>
      <c r="F59" s="100"/>
      <c r="G59" s="100"/>
      <c r="H59" s="100"/>
      <c r="I59" s="100"/>
      <c r="J59" s="108" t="s">
        <v>147</v>
      </c>
      <c r="K59" s="109">
        <v>1</v>
      </c>
      <c r="L59" s="109">
        <v>1</v>
      </c>
      <c r="M59" s="109" t="s">
        <v>108</v>
      </c>
      <c r="N59" s="109">
        <v>3</v>
      </c>
      <c r="O59" s="109">
        <v>1</v>
      </c>
    </row>
    <row r="60" spans="2:15" x14ac:dyDescent="0.45">
      <c r="B60" s="100"/>
      <c r="C60" s="100"/>
      <c r="D60" s="100"/>
      <c r="E60" s="100"/>
      <c r="F60" s="100"/>
      <c r="G60" s="100"/>
      <c r="H60" s="100"/>
      <c r="I60" s="100"/>
      <c r="J60" s="108" t="s">
        <v>118</v>
      </c>
      <c r="K60" s="109">
        <v>5</v>
      </c>
      <c r="L60" s="109">
        <v>2</v>
      </c>
      <c r="M60" s="109">
        <v>2</v>
      </c>
      <c r="N60" s="109">
        <v>3</v>
      </c>
      <c r="O60" s="109">
        <v>10</v>
      </c>
    </row>
    <row r="61" spans="2:15" x14ac:dyDescent="0.45">
      <c r="B61" s="100"/>
      <c r="C61" s="100"/>
      <c r="D61" s="100"/>
      <c r="E61" s="100"/>
      <c r="F61" s="100"/>
      <c r="G61" s="100"/>
      <c r="H61" s="100"/>
      <c r="I61" s="100"/>
      <c r="J61" s="111" t="s">
        <v>148</v>
      </c>
      <c r="K61" s="101">
        <v>2294</v>
      </c>
      <c r="L61" s="101">
        <v>2204</v>
      </c>
      <c r="M61" s="101">
        <v>2095</v>
      </c>
      <c r="N61" s="101">
        <v>2172</v>
      </c>
      <c r="O61" s="101">
        <v>2092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73FB1-5E45-459E-A4BE-F043097C4C55}">
  <sheetPr codeName="Sheet4"/>
  <dimension ref="B2:V76"/>
  <sheetViews>
    <sheetView topLeftCell="A43" workbookViewId="0">
      <selection activeCell="F3" sqref="F3"/>
    </sheetView>
  </sheetViews>
  <sheetFormatPr defaultRowHeight="14.25" x14ac:dyDescent="0.45"/>
  <cols>
    <col min="2" max="2" width="44.1328125" customWidth="1"/>
    <col min="12" max="12" width="38" customWidth="1"/>
    <col min="14" max="14" width="9" customWidth="1"/>
    <col min="21" max="21" width="5" customWidth="1"/>
    <col min="22" max="22" width="2.59765625" hidden="1" customWidth="1"/>
    <col min="23" max="23" width="33" customWidth="1"/>
  </cols>
  <sheetData>
    <row r="2" spans="2:16" x14ac:dyDescent="0.45">
      <c r="B2" s="140" t="s">
        <v>149</v>
      </c>
      <c r="C2" s="140"/>
      <c r="D2" s="140"/>
      <c r="E2" s="140"/>
      <c r="F2" s="140"/>
      <c r="G2" s="140"/>
    </row>
    <row r="3" spans="2:16" x14ac:dyDescent="0.45">
      <c r="B3" s="16"/>
      <c r="C3" s="16" t="s">
        <v>72</v>
      </c>
      <c r="D3" s="16">
        <v>2019</v>
      </c>
      <c r="E3" s="16">
        <v>2020</v>
      </c>
      <c r="F3" s="16">
        <v>2021</v>
      </c>
      <c r="G3" s="16" t="s">
        <v>71</v>
      </c>
      <c r="L3" s="16"/>
      <c r="M3" s="16">
        <v>2019</v>
      </c>
      <c r="N3" s="16">
        <v>2020</v>
      </c>
      <c r="O3" s="16">
        <v>2021</v>
      </c>
      <c r="P3" s="16" t="s">
        <v>71</v>
      </c>
    </row>
    <row r="4" spans="2:16" x14ac:dyDescent="0.45">
      <c r="B4" s="20" t="s">
        <v>74</v>
      </c>
      <c r="C4" s="33">
        <v>1115</v>
      </c>
      <c r="D4" s="33">
        <v>2239</v>
      </c>
      <c r="E4" s="33">
        <v>1709</v>
      </c>
      <c r="F4" s="33">
        <v>1760</v>
      </c>
      <c r="G4" s="33">
        <v>893</v>
      </c>
      <c r="L4" s="20" t="s">
        <v>74</v>
      </c>
      <c r="M4" s="33">
        <v>2239</v>
      </c>
      <c r="N4" s="33">
        <v>1709</v>
      </c>
      <c r="O4" s="33">
        <v>1760</v>
      </c>
      <c r="P4" s="33">
        <v>893</v>
      </c>
    </row>
    <row r="5" spans="2:16" x14ac:dyDescent="0.45">
      <c r="B5" s="20"/>
      <c r="C5" s="59"/>
      <c r="D5" s="57"/>
      <c r="E5" s="77">
        <f>(E4-$D4)/($D4)</f>
        <v>-0.23671281822242071</v>
      </c>
      <c r="F5" s="77">
        <f>(F4-$D4)/($D4)</f>
        <v>-0.21393479231799911</v>
      </c>
      <c r="G5" s="77">
        <f>(G4-C4)/(C4)</f>
        <v>-0.19910313901345292</v>
      </c>
      <c r="L5" s="20"/>
      <c r="M5" s="77">
        <f>M4/M4</f>
        <v>1</v>
      </c>
      <c r="N5" s="77">
        <f t="shared" ref="N5:P5" si="0">N4/N4</f>
        <v>1</v>
      </c>
      <c r="O5" s="77">
        <f t="shared" si="0"/>
        <v>1</v>
      </c>
      <c r="P5" s="77">
        <f t="shared" si="0"/>
        <v>1</v>
      </c>
    </row>
    <row r="6" spans="2:16" x14ac:dyDescent="0.45">
      <c r="B6" s="32" t="s">
        <v>76</v>
      </c>
      <c r="C6" s="69">
        <v>-745</v>
      </c>
      <c r="D6" s="69">
        <v>-1510</v>
      </c>
      <c r="E6" s="69">
        <v>-1215</v>
      </c>
      <c r="F6" s="69">
        <v>-1263</v>
      </c>
      <c r="G6" s="69">
        <v>-633</v>
      </c>
      <c r="L6" s="22" t="s">
        <v>76</v>
      </c>
      <c r="M6" s="69">
        <v>-1510</v>
      </c>
      <c r="N6" s="69">
        <v>-1215</v>
      </c>
      <c r="O6" s="69">
        <v>-1263</v>
      </c>
      <c r="P6" s="69">
        <v>-633</v>
      </c>
    </row>
    <row r="7" spans="2:16" x14ac:dyDescent="0.45">
      <c r="B7" s="32"/>
      <c r="C7" s="60"/>
      <c r="D7" s="58"/>
      <c r="E7" s="58">
        <f>(E6-D6)/(D6)</f>
        <v>-0.19536423841059603</v>
      </c>
      <c r="F7" s="58">
        <f>(F6-D6)/(D6)</f>
        <v>-0.16357615894039734</v>
      </c>
      <c r="G7" s="58">
        <f>(G6-C6)/(C6)</f>
        <v>-0.15033557046979865</v>
      </c>
      <c r="L7" s="22"/>
      <c r="M7" s="58">
        <f>M6/M4</f>
        <v>-0.67440821795444394</v>
      </c>
      <c r="N7" s="58">
        <f t="shared" ref="N7:P7" si="1">N6/N4</f>
        <v>-0.7109420713867759</v>
      </c>
      <c r="O7" s="58">
        <f t="shared" si="1"/>
        <v>-0.7176136363636364</v>
      </c>
      <c r="P7" s="58">
        <f t="shared" si="1"/>
        <v>-0.70884658454647254</v>
      </c>
    </row>
    <row r="8" spans="2:16" x14ac:dyDescent="0.45">
      <c r="B8" s="23" t="s">
        <v>78</v>
      </c>
      <c r="C8" s="26">
        <v>369</v>
      </c>
      <c r="D8" s="26">
        <v>729</v>
      </c>
      <c r="E8" s="26">
        <v>494</v>
      </c>
      <c r="F8" s="26">
        <v>497</v>
      </c>
      <c r="G8" s="26">
        <v>260</v>
      </c>
      <c r="L8" s="23" t="s">
        <v>78</v>
      </c>
      <c r="M8" s="26">
        <v>729</v>
      </c>
      <c r="N8" s="26">
        <v>494</v>
      </c>
      <c r="O8" s="26">
        <v>497</v>
      </c>
      <c r="P8" s="26">
        <v>260</v>
      </c>
    </row>
    <row r="9" spans="2:16" x14ac:dyDescent="0.45">
      <c r="B9" s="23"/>
      <c r="C9" s="61"/>
      <c r="D9" s="70"/>
      <c r="E9" s="70">
        <f>(E8-D8)/(D8)</f>
        <v>-0.3223593964334705</v>
      </c>
      <c r="F9" s="70">
        <f>(F8-D8)/(D8)</f>
        <v>-0.31824417009602196</v>
      </c>
      <c r="G9" s="70">
        <f>(G8-C8)/(C8)</f>
        <v>-0.29539295392953929</v>
      </c>
      <c r="L9" s="23"/>
      <c r="M9" s="70">
        <f>M8/M4</f>
        <v>0.32559178204555606</v>
      </c>
      <c r="N9" s="70">
        <f t="shared" ref="N9:P9" si="2">N8/N4</f>
        <v>0.2890579286132241</v>
      </c>
      <c r="O9" s="70">
        <f t="shared" si="2"/>
        <v>0.28238636363636366</v>
      </c>
      <c r="P9" s="70">
        <f t="shared" si="2"/>
        <v>0.29115341545352741</v>
      </c>
    </row>
    <row r="10" spans="2:16" x14ac:dyDescent="0.45">
      <c r="B10" s="32" t="s">
        <v>84</v>
      </c>
      <c r="C10" s="69">
        <v>-324</v>
      </c>
      <c r="D10" s="69">
        <v>-715</v>
      </c>
      <c r="E10" s="69">
        <v>-547</v>
      </c>
      <c r="F10" s="69">
        <v>-489</v>
      </c>
      <c r="G10" s="69">
        <v>-240</v>
      </c>
      <c r="L10" s="22" t="s">
        <v>84</v>
      </c>
      <c r="M10" s="69">
        <v>-715</v>
      </c>
      <c r="N10" s="69">
        <v>-547</v>
      </c>
      <c r="O10" s="69">
        <v>-489</v>
      </c>
      <c r="P10" s="69">
        <v>-240</v>
      </c>
    </row>
    <row r="11" spans="2:16" x14ac:dyDescent="0.45">
      <c r="B11" s="32"/>
      <c r="C11" s="60"/>
      <c r="D11" s="58"/>
      <c r="E11" s="58">
        <f>(E10-D10)/(D10)</f>
        <v>-0.23496503496503496</v>
      </c>
      <c r="F11" s="58">
        <f>(F10-D10)/(D10)</f>
        <v>-0.31608391608391606</v>
      </c>
      <c r="G11" s="58">
        <f>(G10-C10)/(C10)</f>
        <v>-0.25925925925925924</v>
      </c>
      <c r="L11" s="22"/>
      <c r="M11" s="39">
        <f>M10/M4</f>
        <v>-0.31933899062081289</v>
      </c>
      <c r="N11" s="39">
        <f t="shared" ref="N11:P11" si="3">N10/N4</f>
        <v>-0.32007021650087769</v>
      </c>
      <c r="O11" s="39">
        <f t="shared" si="3"/>
        <v>-0.27784090909090908</v>
      </c>
      <c r="P11" s="39">
        <f t="shared" si="3"/>
        <v>-0.26875699888017918</v>
      </c>
    </row>
    <row r="12" spans="2:16" x14ac:dyDescent="0.45">
      <c r="B12" s="35" t="s">
        <v>80</v>
      </c>
      <c r="C12" s="48">
        <v>-158</v>
      </c>
      <c r="D12" s="48">
        <v>-299</v>
      </c>
      <c r="E12" s="48">
        <v>-223</v>
      </c>
      <c r="F12" s="48">
        <v>-231</v>
      </c>
      <c r="G12" s="48">
        <v>-122</v>
      </c>
      <c r="L12" s="35" t="s">
        <v>80</v>
      </c>
      <c r="M12" s="48">
        <v>-299</v>
      </c>
      <c r="N12" s="48">
        <v>-223</v>
      </c>
      <c r="O12" s="48">
        <v>-231</v>
      </c>
      <c r="P12" s="48">
        <v>-122</v>
      </c>
    </row>
    <row r="13" spans="2:16" x14ac:dyDescent="0.45">
      <c r="B13" s="35"/>
      <c r="C13" s="63"/>
      <c r="D13" s="64"/>
      <c r="E13" s="64">
        <f>(E12-D12)/(D12)</f>
        <v>-0.25418060200668896</v>
      </c>
      <c r="F13" s="64">
        <f>(F12-D12)/(D12)</f>
        <v>-0.22742474916387959</v>
      </c>
      <c r="G13" s="64">
        <f>(G12-C12)/(C12)</f>
        <v>-0.22784810126582278</v>
      </c>
      <c r="L13" s="35"/>
      <c r="M13" s="40">
        <f>M12/M4</f>
        <v>-0.1335417597141581</v>
      </c>
      <c r="N13" s="40">
        <f t="shared" ref="N13:P13" si="4">N12/N4</f>
        <v>-0.13048566413107079</v>
      </c>
      <c r="O13" s="40">
        <f t="shared" si="4"/>
        <v>-0.13125000000000001</v>
      </c>
      <c r="P13" s="40">
        <f t="shared" si="4"/>
        <v>-0.1366181410974244</v>
      </c>
    </row>
    <row r="14" spans="2:16" x14ac:dyDescent="0.45">
      <c r="B14" s="35" t="s">
        <v>82</v>
      </c>
      <c r="C14" s="48">
        <v>-72</v>
      </c>
      <c r="D14" s="48">
        <v>-147</v>
      </c>
      <c r="E14" s="48">
        <v>-95</v>
      </c>
      <c r="F14" s="48">
        <v>-95</v>
      </c>
      <c r="G14" s="48">
        <v>-48</v>
      </c>
      <c r="L14" s="35" t="s">
        <v>82</v>
      </c>
      <c r="M14" s="48">
        <v>-147</v>
      </c>
      <c r="N14" s="48">
        <v>-95</v>
      </c>
      <c r="O14" s="48">
        <v>-95</v>
      </c>
      <c r="P14" s="48">
        <v>-48</v>
      </c>
    </row>
    <row r="15" spans="2:16" x14ac:dyDescent="0.45">
      <c r="B15" s="35"/>
      <c r="C15" s="63"/>
      <c r="D15" s="64"/>
      <c r="E15" s="64">
        <f>(E14-D14)/(D14)</f>
        <v>-0.35374149659863946</v>
      </c>
      <c r="F15" s="64">
        <f>(F14-D14)/(D14)</f>
        <v>-0.35374149659863946</v>
      </c>
      <c r="G15" s="64">
        <f>(G14-C14)/(C14)</f>
        <v>-0.33333333333333331</v>
      </c>
      <c r="L15" s="35"/>
      <c r="M15" s="40">
        <f>M14/M4</f>
        <v>-6.5654309959803481E-2</v>
      </c>
      <c r="N15" s="40">
        <f t="shared" ref="N15:P15" si="5">N14/N4</f>
        <v>-5.5588063194850788E-2</v>
      </c>
      <c r="O15" s="40">
        <f t="shared" si="5"/>
        <v>-5.3977272727272728E-2</v>
      </c>
      <c r="P15" s="40">
        <f t="shared" si="5"/>
        <v>-5.3751399776035831E-2</v>
      </c>
    </row>
    <row r="16" spans="2:16" x14ac:dyDescent="0.45">
      <c r="B16" s="35" t="s">
        <v>84</v>
      </c>
      <c r="C16" s="48">
        <v>-87</v>
      </c>
      <c r="D16" s="48">
        <v>-176</v>
      </c>
      <c r="E16" s="48">
        <v>-144</v>
      </c>
      <c r="F16" s="48">
        <v>-155</v>
      </c>
      <c r="G16" s="48">
        <v>-84</v>
      </c>
      <c r="L16" s="35" t="s">
        <v>84</v>
      </c>
      <c r="M16" s="48">
        <v>-176</v>
      </c>
      <c r="N16" s="48">
        <v>-144</v>
      </c>
      <c r="O16" s="48">
        <v>-155</v>
      </c>
      <c r="P16" s="48">
        <v>-84</v>
      </c>
    </row>
    <row r="17" spans="2:16" x14ac:dyDescent="0.45">
      <c r="B17" s="35"/>
      <c r="C17" s="63"/>
      <c r="D17" s="64"/>
      <c r="E17" s="64">
        <f>(E16-D16)/(D16)</f>
        <v>-0.18181818181818182</v>
      </c>
      <c r="F17" s="64">
        <f>(F16-D16)/(D16)</f>
        <v>-0.11931818181818182</v>
      </c>
      <c r="G17" s="64">
        <f>(G16-C16)/(C16)</f>
        <v>-3.4482758620689655E-2</v>
      </c>
      <c r="L17" s="35"/>
      <c r="M17" s="40">
        <f>M16/M4</f>
        <v>-7.8606520768200086E-2</v>
      </c>
      <c r="N17" s="40">
        <f t="shared" ref="N17:P17" si="6">N16/N4</f>
        <v>-8.4259801053247513E-2</v>
      </c>
      <c r="O17" s="40">
        <f t="shared" si="6"/>
        <v>-8.8068181818181823E-2</v>
      </c>
      <c r="P17" s="40">
        <f t="shared" si="6"/>
        <v>-9.4064949608062706E-2</v>
      </c>
    </row>
    <row r="18" spans="2:16" x14ac:dyDescent="0.45">
      <c r="B18" s="35" t="s">
        <v>86</v>
      </c>
      <c r="C18" s="48">
        <v>-3</v>
      </c>
      <c r="D18" s="48">
        <v>-4</v>
      </c>
      <c r="E18" s="48">
        <v>-2</v>
      </c>
      <c r="F18" s="48">
        <v>-2</v>
      </c>
      <c r="G18" s="48">
        <v>0</v>
      </c>
      <c r="L18" s="35" t="s">
        <v>86</v>
      </c>
      <c r="M18" s="48">
        <v>-4</v>
      </c>
      <c r="N18" s="48">
        <v>-2</v>
      </c>
      <c r="O18" s="48">
        <v>-2</v>
      </c>
      <c r="P18" s="48">
        <v>0</v>
      </c>
    </row>
    <row r="19" spans="2:16" x14ac:dyDescent="0.45">
      <c r="B19" s="35"/>
      <c r="C19" s="63"/>
      <c r="D19" s="64"/>
      <c r="E19" s="64">
        <f>(E18-D18)/(D18)</f>
        <v>-0.5</v>
      </c>
      <c r="F19" s="64">
        <f>(F18-D18)/(D18)</f>
        <v>-0.5</v>
      </c>
      <c r="G19" s="64">
        <v>0</v>
      </c>
      <c r="L19" s="35"/>
      <c r="M19" s="40">
        <f>M18/M4</f>
        <v>-1.786511835640911E-3</v>
      </c>
      <c r="N19" s="40">
        <f t="shared" ref="N19:P19" si="7">N18/N4</f>
        <v>-1.1702750146284377E-3</v>
      </c>
      <c r="O19" s="40">
        <f t="shared" si="7"/>
        <v>-1.1363636363636363E-3</v>
      </c>
      <c r="P19" s="40">
        <f t="shared" si="7"/>
        <v>0</v>
      </c>
    </row>
    <row r="20" spans="2:16" x14ac:dyDescent="0.45">
      <c r="B20" s="35" t="s">
        <v>88</v>
      </c>
      <c r="C20" s="48">
        <v>25</v>
      </c>
      <c r="D20" s="48">
        <v>42</v>
      </c>
      <c r="E20" s="48">
        <v>39</v>
      </c>
      <c r="F20" s="48">
        <v>41</v>
      </c>
      <c r="G20" s="48">
        <v>0</v>
      </c>
      <c r="L20" s="35" t="s">
        <v>88</v>
      </c>
      <c r="M20" s="48">
        <v>42</v>
      </c>
      <c r="N20" s="48">
        <v>39</v>
      </c>
      <c r="O20" s="48">
        <v>41</v>
      </c>
      <c r="P20" s="48">
        <v>0</v>
      </c>
    </row>
    <row r="21" spans="2:16" x14ac:dyDescent="0.45">
      <c r="B21" s="35"/>
      <c r="C21" s="63"/>
      <c r="D21" s="64"/>
      <c r="E21" s="64">
        <f>(E20-D20)/(D20)</f>
        <v>-7.1428571428571425E-2</v>
      </c>
      <c r="F21" s="64">
        <f>(F20-D20)/(D20)</f>
        <v>-2.3809523809523808E-2</v>
      </c>
      <c r="G21" s="64">
        <v>0</v>
      </c>
      <c r="L21" s="35"/>
      <c r="M21" s="40">
        <f>M20/M4</f>
        <v>1.8758374274229567E-2</v>
      </c>
      <c r="N21" s="40">
        <f t="shared" ref="N21:P21" si="8">N20/N4</f>
        <v>2.2820362785254535E-2</v>
      </c>
      <c r="O21" s="40">
        <f t="shared" si="8"/>
        <v>2.3295454545454546E-2</v>
      </c>
      <c r="P21" s="40">
        <f t="shared" si="8"/>
        <v>0</v>
      </c>
    </row>
    <row r="22" spans="2:16" x14ac:dyDescent="0.45">
      <c r="B22" s="35" t="s">
        <v>89</v>
      </c>
      <c r="C22" s="48">
        <v>-29</v>
      </c>
      <c r="D22" s="48">
        <v>-131</v>
      </c>
      <c r="E22" s="48">
        <v>-122</v>
      </c>
      <c r="F22" s="48">
        <v>-47</v>
      </c>
      <c r="G22" s="48">
        <v>14</v>
      </c>
      <c r="L22" s="35" t="s">
        <v>89</v>
      </c>
      <c r="M22" s="48">
        <v>-131</v>
      </c>
      <c r="N22" s="48">
        <v>-122</v>
      </c>
      <c r="O22" s="48">
        <v>-47</v>
      </c>
      <c r="P22" s="48">
        <v>14</v>
      </c>
    </row>
    <row r="23" spans="2:16" x14ac:dyDescent="0.45">
      <c r="B23" s="35"/>
      <c r="C23" s="63"/>
      <c r="D23" s="64"/>
      <c r="E23" s="64">
        <f>(E22-D22)/(D22)</f>
        <v>-6.8702290076335881E-2</v>
      </c>
      <c r="F23" s="64">
        <f>(F22-D22)/(D22)</f>
        <v>-0.64122137404580148</v>
      </c>
      <c r="G23" s="64">
        <f>(G22-C22)/(C22)</f>
        <v>-1.4827586206896552</v>
      </c>
      <c r="L23" s="35"/>
      <c r="M23" s="40">
        <f>M22/M4</f>
        <v>-5.8508262617239841E-2</v>
      </c>
      <c r="N23" s="40">
        <f t="shared" ref="N23:P23" si="9">N22/N4</f>
        <v>-7.1386775892334692E-2</v>
      </c>
      <c r="O23" s="40">
        <f t="shared" si="9"/>
        <v>-2.6704545454545453E-2</v>
      </c>
      <c r="P23" s="40">
        <f t="shared" si="9"/>
        <v>1.5677491601343786E-2</v>
      </c>
    </row>
    <row r="24" spans="2:16" x14ac:dyDescent="0.45">
      <c r="B24" s="23" t="s">
        <v>92</v>
      </c>
      <c r="C24" s="26">
        <v>46</v>
      </c>
      <c r="D24" s="26">
        <v>14</v>
      </c>
      <c r="E24" s="26">
        <v>-52</v>
      </c>
      <c r="F24" s="26">
        <v>9</v>
      </c>
      <c r="G24" s="26">
        <v>-3</v>
      </c>
      <c r="L24" s="23" t="s">
        <v>92</v>
      </c>
      <c r="M24" s="26">
        <v>14</v>
      </c>
      <c r="N24" s="26">
        <v>-52</v>
      </c>
      <c r="O24" s="26">
        <v>9</v>
      </c>
      <c r="P24" s="26">
        <v>-3</v>
      </c>
    </row>
    <row r="25" spans="2:16" x14ac:dyDescent="0.45">
      <c r="B25" s="23"/>
      <c r="C25" s="71"/>
      <c r="D25" s="70"/>
      <c r="E25" s="70">
        <f>(E24-D24)/(D24)</f>
        <v>-4.7142857142857144</v>
      </c>
      <c r="F25" s="70">
        <f>(F24-D24)/(D24)</f>
        <v>-0.35714285714285715</v>
      </c>
      <c r="G25" s="70">
        <f>(G24-C24)/(C24)</f>
        <v>-1.0652173913043479</v>
      </c>
      <c r="L25" s="23"/>
      <c r="M25" s="42">
        <f>M24/M4</f>
        <v>6.2527914247431891E-3</v>
      </c>
      <c r="N25" s="42">
        <f t="shared" ref="N25:P25" si="10">N24/N4</f>
        <v>-3.0427150380339378E-2</v>
      </c>
      <c r="O25" s="42">
        <f t="shared" si="10"/>
        <v>5.1136363636363636E-3</v>
      </c>
      <c r="P25" s="42">
        <f t="shared" si="10"/>
        <v>-3.3594624860022394E-3</v>
      </c>
    </row>
    <row r="26" spans="2:16" x14ac:dyDescent="0.45">
      <c r="B26" s="25" t="s">
        <v>94</v>
      </c>
      <c r="C26" s="72">
        <v>-4</v>
      </c>
      <c r="D26" s="72">
        <v>-8</v>
      </c>
      <c r="E26" s="72">
        <v>-4</v>
      </c>
      <c r="F26" s="72">
        <v>-1</v>
      </c>
      <c r="G26" s="72">
        <v>-1</v>
      </c>
      <c r="L26" s="25" t="s">
        <v>94</v>
      </c>
      <c r="M26" s="34">
        <v>-8</v>
      </c>
      <c r="N26" s="34">
        <v>-4</v>
      </c>
      <c r="O26" s="34">
        <v>-1</v>
      </c>
      <c r="P26" s="34">
        <v>-1</v>
      </c>
    </row>
    <row r="27" spans="2:16" x14ac:dyDescent="0.45">
      <c r="B27" s="25"/>
      <c r="C27" s="65"/>
      <c r="D27" s="66"/>
      <c r="E27" s="66">
        <f>(E26-D26)/(D26)</f>
        <v>-0.5</v>
      </c>
      <c r="F27" s="66">
        <f>(F26-D26)/(D26)</f>
        <v>-0.875</v>
      </c>
      <c r="G27" s="66">
        <f>(G26-C26)/(C26)</f>
        <v>-0.75</v>
      </c>
      <c r="L27" s="25"/>
      <c r="M27" s="44">
        <f>M26/M4</f>
        <v>-3.5730236712818221E-3</v>
      </c>
      <c r="N27" s="44">
        <f t="shared" ref="N27:P27" si="11">N26/N4</f>
        <v>-2.3405500292568754E-3</v>
      </c>
      <c r="O27" s="44">
        <f t="shared" si="11"/>
        <v>-5.6818181818181815E-4</v>
      </c>
      <c r="P27" s="44">
        <f t="shared" si="11"/>
        <v>-1.1198208286674132E-3</v>
      </c>
    </row>
    <row r="28" spans="2:16" x14ac:dyDescent="0.45">
      <c r="B28" s="35" t="s">
        <v>96</v>
      </c>
      <c r="C28" s="48">
        <v>1</v>
      </c>
      <c r="D28" s="48">
        <v>2</v>
      </c>
      <c r="E28" s="48">
        <v>1</v>
      </c>
      <c r="F28" s="48">
        <v>2</v>
      </c>
      <c r="G28" s="48">
        <v>1</v>
      </c>
      <c r="L28" s="35" t="s">
        <v>96</v>
      </c>
      <c r="M28" s="35">
        <v>2</v>
      </c>
      <c r="N28" s="35">
        <v>1</v>
      </c>
      <c r="O28" s="35">
        <v>2</v>
      </c>
      <c r="P28" s="35">
        <v>1</v>
      </c>
    </row>
    <row r="29" spans="2:16" x14ac:dyDescent="0.45">
      <c r="B29" s="35"/>
      <c r="C29" s="63"/>
      <c r="D29" s="64"/>
      <c r="E29" s="64">
        <f>(E28-D28)/(D28)</f>
        <v>-0.5</v>
      </c>
      <c r="F29" s="64">
        <f>(F28-D28)/(D28)</f>
        <v>0</v>
      </c>
      <c r="G29" s="64">
        <f>(G28-C28)/(C28)</f>
        <v>0</v>
      </c>
      <c r="L29" s="35"/>
      <c r="M29" s="40">
        <f>M28/M4</f>
        <v>8.9325591782045551E-4</v>
      </c>
      <c r="N29" s="40">
        <f t="shared" ref="N29:P29" si="12">N28/N4</f>
        <v>5.8513750731421885E-4</v>
      </c>
      <c r="O29" s="40">
        <f t="shared" si="12"/>
        <v>1.1363636363636363E-3</v>
      </c>
      <c r="P29" s="40">
        <f t="shared" si="12"/>
        <v>1.1198208286674132E-3</v>
      </c>
    </row>
    <row r="30" spans="2:16" x14ac:dyDescent="0.45">
      <c r="B30" s="35" t="s">
        <v>98</v>
      </c>
      <c r="C30" s="48">
        <v>-5</v>
      </c>
      <c r="D30" s="48">
        <v>-10</v>
      </c>
      <c r="E30" s="48">
        <v>-6</v>
      </c>
      <c r="F30" s="48">
        <v>-3</v>
      </c>
      <c r="G30" s="48">
        <v>-1</v>
      </c>
      <c r="L30" s="35" t="s">
        <v>98</v>
      </c>
      <c r="M30" s="35">
        <v>-10</v>
      </c>
      <c r="N30" s="35">
        <v>-6</v>
      </c>
      <c r="O30" s="35">
        <v>-3</v>
      </c>
      <c r="P30" s="35">
        <v>-1</v>
      </c>
    </row>
    <row r="31" spans="2:16" x14ac:dyDescent="0.45">
      <c r="B31" s="48"/>
      <c r="C31" s="63"/>
      <c r="D31" s="64"/>
      <c r="E31" s="64">
        <f>(E30-D30)/(D30)</f>
        <v>-0.4</v>
      </c>
      <c r="F31" s="64">
        <f>(F30-D30)/(D30)</f>
        <v>-0.7</v>
      </c>
      <c r="G31" s="64">
        <f>(G30-C30)/(C30)</f>
        <v>-0.8</v>
      </c>
      <c r="L31" s="35"/>
      <c r="M31" s="40">
        <f>M30/M4</f>
        <v>-4.4662795891022775E-3</v>
      </c>
      <c r="N31" s="40">
        <f t="shared" ref="N31:P31" si="13">N30/N4</f>
        <v>-3.5108250438853129E-3</v>
      </c>
      <c r="O31" s="40">
        <f t="shared" si="13"/>
        <v>-1.7045454545454545E-3</v>
      </c>
      <c r="P31" s="40">
        <f t="shared" si="13"/>
        <v>-1.1198208286674132E-3</v>
      </c>
    </row>
    <row r="32" spans="2:16" x14ac:dyDescent="0.45">
      <c r="B32" s="25" t="s">
        <v>100</v>
      </c>
      <c r="C32" s="72">
        <v>-16</v>
      </c>
      <c r="D32" s="72">
        <v>-30</v>
      </c>
      <c r="E32" s="72">
        <v>-26</v>
      </c>
      <c r="F32" s="72">
        <v>-6</v>
      </c>
      <c r="G32" s="72">
        <v>-9</v>
      </c>
      <c r="L32" s="25" t="s">
        <v>100</v>
      </c>
      <c r="M32" s="34">
        <v>-30</v>
      </c>
      <c r="N32" s="34">
        <v>-26</v>
      </c>
      <c r="O32" s="34">
        <v>-6</v>
      </c>
      <c r="P32" s="34">
        <v>-9</v>
      </c>
    </row>
    <row r="33" spans="2:16" x14ac:dyDescent="0.45">
      <c r="B33" s="25"/>
      <c r="C33" s="65"/>
      <c r="D33" s="66"/>
      <c r="E33" s="66">
        <f>(E32-D32)/(D32)</f>
        <v>-0.13333333333333333</v>
      </c>
      <c r="F33" s="66">
        <f>(F32-D32)/(D32)</f>
        <v>-0.8</v>
      </c>
      <c r="G33" s="66">
        <f>(G32-C32)/(C32)</f>
        <v>-0.4375</v>
      </c>
      <c r="L33" s="25"/>
      <c r="M33" s="44">
        <f>M32/M4</f>
        <v>-1.3398838767306834E-2</v>
      </c>
      <c r="N33" s="44">
        <f t="shared" ref="N33:P33" si="14">N32/N4</f>
        <v>-1.5213575190169689E-2</v>
      </c>
      <c r="O33" s="44">
        <f t="shared" si="14"/>
        <v>-3.4090909090909089E-3</v>
      </c>
      <c r="P33" s="44">
        <f t="shared" si="14"/>
        <v>-1.0078387458006719E-2</v>
      </c>
    </row>
    <row r="34" spans="2:16" x14ac:dyDescent="0.45">
      <c r="B34" s="35" t="s">
        <v>102</v>
      </c>
      <c r="C34" s="48">
        <v>4</v>
      </c>
      <c r="D34" s="48">
        <v>8</v>
      </c>
      <c r="E34" s="48">
        <v>2</v>
      </c>
      <c r="F34" s="48">
        <v>10</v>
      </c>
      <c r="G34" s="48">
        <v>5</v>
      </c>
      <c r="L34" s="35" t="s">
        <v>102</v>
      </c>
      <c r="M34" s="35">
        <v>8</v>
      </c>
      <c r="N34" s="35">
        <v>2</v>
      </c>
      <c r="O34" s="35">
        <v>10</v>
      </c>
      <c r="P34" s="35">
        <v>5</v>
      </c>
    </row>
    <row r="35" spans="2:16" x14ac:dyDescent="0.45">
      <c r="B35" s="35"/>
      <c r="C35" s="63"/>
      <c r="D35" s="64"/>
      <c r="E35" s="64">
        <f>(E34-D34)/ABS(D34)</f>
        <v>-0.75</v>
      </c>
      <c r="F35" s="64">
        <f>(F34-D34)/ABS(D34)</f>
        <v>0.25</v>
      </c>
      <c r="G35" s="64">
        <f>(G34-C34)/ABS(C34)</f>
        <v>0.25</v>
      </c>
      <c r="L35" s="35"/>
      <c r="M35" s="40">
        <f>M34/M4</f>
        <v>3.5730236712818221E-3</v>
      </c>
      <c r="N35" s="40">
        <f t="shared" ref="N35:P35" si="15">N34/N4</f>
        <v>1.1702750146284377E-3</v>
      </c>
      <c r="O35" s="40">
        <f t="shared" si="15"/>
        <v>5.681818181818182E-3</v>
      </c>
      <c r="P35" s="40">
        <f t="shared" si="15"/>
        <v>5.5991041433370659E-3</v>
      </c>
    </row>
    <row r="36" spans="2:16" x14ac:dyDescent="0.45">
      <c r="B36" s="35" t="s">
        <v>103</v>
      </c>
      <c r="C36" s="48">
        <v>-20</v>
      </c>
      <c r="D36" s="48">
        <v>-38</v>
      </c>
      <c r="E36" s="48">
        <v>-28</v>
      </c>
      <c r="F36" s="48">
        <v>-16</v>
      </c>
      <c r="G36" s="48">
        <v>-14</v>
      </c>
      <c r="L36" s="35" t="s">
        <v>103</v>
      </c>
      <c r="M36" s="35">
        <v>-38</v>
      </c>
      <c r="N36" s="35">
        <v>-28</v>
      </c>
      <c r="O36" s="35">
        <v>-16</v>
      </c>
      <c r="P36" s="35">
        <v>-14</v>
      </c>
    </row>
    <row r="37" spans="2:16" x14ac:dyDescent="0.45">
      <c r="B37" s="35"/>
      <c r="C37" s="63"/>
      <c r="D37" s="64"/>
      <c r="E37" s="64">
        <f>(E36-D36)/(D36)</f>
        <v>-0.26315789473684209</v>
      </c>
      <c r="F37" s="64">
        <f>(F36-D36)/(D36)</f>
        <v>-0.57894736842105265</v>
      </c>
      <c r="G37" s="64">
        <f>(G36-C36)/(C36)</f>
        <v>-0.3</v>
      </c>
      <c r="L37" s="35"/>
      <c r="M37" s="40">
        <f>M36/M4</f>
        <v>-1.6971862438588656E-2</v>
      </c>
      <c r="N37" s="40">
        <f t="shared" ref="N37:P37" si="16">N36/N4</f>
        <v>-1.6383850204798128E-2</v>
      </c>
      <c r="O37" s="40">
        <f t="shared" si="16"/>
        <v>-9.0909090909090905E-3</v>
      </c>
      <c r="P37" s="40">
        <f t="shared" si="16"/>
        <v>-1.5677491601343786E-2</v>
      </c>
    </row>
    <row r="38" spans="2:16" x14ac:dyDescent="0.45">
      <c r="B38" s="25" t="s">
        <v>105</v>
      </c>
      <c r="C38" s="72">
        <v>-20</v>
      </c>
      <c r="D38" s="72">
        <v>-38</v>
      </c>
      <c r="E38" s="72">
        <v>-31</v>
      </c>
      <c r="F38" s="72">
        <v>-8</v>
      </c>
      <c r="G38" s="72">
        <v>-9</v>
      </c>
      <c r="L38" s="25" t="s">
        <v>105</v>
      </c>
      <c r="M38" s="34">
        <v>-38</v>
      </c>
      <c r="N38" s="34">
        <v>-31</v>
      </c>
      <c r="O38" s="34">
        <v>-8</v>
      </c>
      <c r="P38" s="34">
        <v>-9</v>
      </c>
    </row>
    <row r="39" spans="2:16" x14ac:dyDescent="0.45">
      <c r="B39" s="25"/>
      <c r="C39" s="65"/>
      <c r="D39" s="66"/>
      <c r="E39" s="66">
        <f>(E38-D38)/(D38)</f>
        <v>-0.18421052631578946</v>
      </c>
      <c r="F39" s="66">
        <f>(F38-D38)/(D38)</f>
        <v>-0.78947368421052633</v>
      </c>
      <c r="G39" s="66">
        <f>(G38-C38)/(C38)</f>
        <v>-0.55000000000000004</v>
      </c>
      <c r="L39" s="25"/>
      <c r="M39" s="44">
        <f>M38/M4</f>
        <v>-1.6971862438588656E-2</v>
      </c>
      <c r="N39" s="44">
        <f t="shared" ref="N39:P39" si="17">N38/N4</f>
        <v>-1.8139262726740785E-2</v>
      </c>
      <c r="O39" s="44">
        <f t="shared" si="17"/>
        <v>-4.5454545454545452E-3</v>
      </c>
      <c r="P39" s="44">
        <f t="shared" si="17"/>
        <v>-1.0078387458006719E-2</v>
      </c>
    </row>
    <row r="40" spans="2:16" x14ac:dyDescent="0.45">
      <c r="B40" s="26" t="s">
        <v>110</v>
      </c>
      <c r="C40" s="26">
        <v>26</v>
      </c>
      <c r="D40" s="26">
        <v>-25</v>
      </c>
      <c r="E40" s="26">
        <v>-83</v>
      </c>
      <c r="F40" s="26">
        <v>1</v>
      </c>
      <c r="G40" s="26">
        <v>-13</v>
      </c>
      <c r="L40" s="26" t="s">
        <v>110</v>
      </c>
      <c r="M40" s="26">
        <v>-25</v>
      </c>
      <c r="N40" s="26">
        <v>-83</v>
      </c>
      <c r="O40" s="26">
        <v>1</v>
      </c>
      <c r="P40" s="26">
        <v>-13</v>
      </c>
    </row>
    <row r="41" spans="2:16" x14ac:dyDescent="0.45">
      <c r="B41" s="26"/>
      <c r="C41" s="61"/>
      <c r="D41" s="62"/>
      <c r="E41" s="70">
        <f>-(E40-D40)/(D40)</f>
        <v>-2.3199999999999998</v>
      </c>
      <c r="F41" s="70">
        <f>-(F40-D40)/(D40)</f>
        <v>1.04</v>
      </c>
      <c r="G41" s="70">
        <f>-(G40-C40)/(C40)</f>
        <v>1.5</v>
      </c>
      <c r="L41" s="26"/>
      <c r="M41" s="42">
        <f>M40/M4</f>
        <v>-1.1165698972755694E-2</v>
      </c>
      <c r="N41" s="42">
        <f t="shared" ref="N41:P41" si="18">N40/N4</f>
        <v>-4.8566413107080167E-2</v>
      </c>
      <c r="O41" s="42">
        <f t="shared" si="18"/>
        <v>5.6818181818181815E-4</v>
      </c>
      <c r="P41" s="42">
        <f t="shared" si="18"/>
        <v>-1.4557670772676373E-2</v>
      </c>
    </row>
    <row r="42" spans="2:16" x14ac:dyDescent="0.45">
      <c r="B42" s="37" t="s">
        <v>111</v>
      </c>
      <c r="C42" s="48">
        <v>-14</v>
      </c>
      <c r="D42" s="48">
        <v>-28</v>
      </c>
      <c r="E42" s="48">
        <v>-15</v>
      </c>
      <c r="F42" s="48">
        <v>-15</v>
      </c>
      <c r="G42" s="48">
        <v>-7</v>
      </c>
      <c r="L42" s="37" t="s">
        <v>111</v>
      </c>
      <c r="M42" s="35">
        <v>-28</v>
      </c>
      <c r="N42" s="35">
        <v>-15</v>
      </c>
      <c r="O42" s="35">
        <v>-15</v>
      </c>
      <c r="P42" s="35">
        <v>-7</v>
      </c>
    </row>
    <row r="43" spans="2:16" x14ac:dyDescent="0.45">
      <c r="B43" s="49"/>
      <c r="C43" s="35"/>
      <c r="D43" s="64"/>
      <c r="E43" s="64">
        <f>(E42-D42)/(D42)</f>
        <v>-0.4642857142857143</v>
      </c>
      <c r="F43" s="64">
        <f>(F42-D42)/(D42)</f>
        <v>-0.4642857142857143</v>
      </c>
      <c r="G43" s="64">
        <f>(G42-C42)/(C42)</f>
        <v>-0.5</v>
      </c>
      <c r="L43" s="37"/>
      <c r="M43" s="40">
        <f>M42/M4</f>
        <v>-1.2505582849486378E-2</v>
      </c>
      <c r="N43" s="40">
        <f t="shared" ref="N43:P43" si="19">N42/N4</f>
        <v>-8.777062609713282E-3</v>
      </c>
      <c r="O43" s="40">
        <f t="shared" si="19"/>
        <v>-8.5227272727272721E-3</v>
      </c>
      <c r="P43" s="40">
        <f t="shared" si="19"/>
        <v>-7.8387458006718928E-3</v>
      </c>
    </row>
    <row r="44" spans="2:16" x14ac:dyDescent="0.45">
      <c r="B44" s="46" t="s">
        <v>113</v>
      </c>
      <c r="C44" s="46">
        <v>12</v>
      </c>
      <c r="D44" s="46">
        <v>-53</v>
      </c>
      <c r="E44" s="46">
        <v>-98</v>
      </c>
      <c r="F44" s="46">
        <v>-14</v>
      </c>
      <c r="G44" s="46">
        <v>-20</v>
      </c>
      <c r="L44" s="27" t="s">
        <v>113</v>
      </c>
      <c r="M44" s="27">
        <v>-53</v>
      </c>
      <c r="N44" s="27">
        <v>-98</v>
      </c>
      <c r="O44" s="27">
        <v>-14</v>
      </c>
      <c r="P44" s="27">
        <v>-20</v>
      </c>
    </row>
    <row r="45" spans="2:16" x14ac:dyDescent="0.45">
      <c r="B45" s="46"/>
      <c r="C45" s="46"/>
      <c r="D45" s="67"/>
      <c r="E45" s="73">
        <f>-(E44-D44)/(D44)</f>
        <v>-0.84905660377358494</v>
      </c>
      <c r="F45" s="73">
        <f>-(F44-D44)/(D44)</f>
        <v>0.73584905660377353</v>
      </c>
      <c r="G45" s="73">
        <f>-(G44-C44)/(C44)</f>
        <v>2.6666666666666665</v>
      </c>
      <c r="L45" s="27"/>
      <c r="M45" s="54">
        <f>M44/M4</f>
        <v>-2.3671281822242072E-2</v>
      </c>
      <c r="N45" s="54">
        <f t="shared" ref="N45:P45" si="20">N44/N4</f>
        <v>-5.7343475716793449E-2</v>
      </c>
      <c r="O45" s="54">
        <f t="shared" si="20"/>
        <v>-7.9545454545454537E-3</v>
      </c>
      <c r="P45" s="54">
        <f t="shared" si="20"/>
        <v>-2.2396416573348264E-2</v>
      </c>
    </row>
    <row r="46" spans="2:16" x14ac:dyDescent="0.45">
      <c r="B46" s="50" t="s">
        <v>117</v>
      </c>
      <c r="C46" s="74">
        <v>0</v>
      </c>
      <c r="D46" s="74">
        <v>5</v>
      </c>
      <c r="E46" s="74">
        <v>719</v>
      </c>
      <c r="F46" s="74">
        <v>0</v>
      </c>
      <c r="G46" s="74">
        <v>0</v>
      </c>
      <c r="L46" s="50" t="s">
        <v>117</v>
      </c>
      <c r="M46" s="53">
        <v>5</v>
      </c>
      <c r="N46" s="53">
        <v>719</v>
      </c>
      <c r="O46" s="53">
        <v>0</v>
      </c>
      <c r="P46" s="53">
        <v>0</v>
      </c>
    </row>
    <row r="47" spans="2:16" x14ac:dyDescent="0.45">
      <c r="B47" s="50"/>
      <c r="C47" s="50"/>
      <c r="D47" s="68"/>
      <c r="E47" s="75">
        <f>(E46-D46)/(D46)</f>
        <v>142.80000000000001</v>
      </c>
      <c r="F47" s="75">
        <v>0</v>
      </c>
      <c r="G47" s="75">
        <v>0</v>
      </c>
      <c r="L47" s="50"/>
      <c r="M47" s="55">
        <f>M46/M4</f>
        <v>2.2331397945511387E-3</v>
      </c>
      <c r="N47" s="55">
        <f t="shared" ref="N47:P47" si="21">N46/N4</f>
        <v>0.42071386775892333</v>
      </c>
      <c r="O47" s="55">
        <f t="shared" si="21"/>
        <v>0</v>
      </c>
      <c r="P47" s="55">
        <f t="shared" si="21"/>
        <v>0</v>
      </c>
    </row>
    <row r="48" spans="2:16" x14ac:dyDescent="0.45">
      <c r="B48" s="50" t="s">
        <v>119</v>
      </c>
      <c r="C48" s="74">
        <v>12</v>
      </c>
      <c r="D48" s="74">
        <v>-48</v>
      </c>
      <c r="E48" s="74">
        <v>621</v>
      </c>
      <c r="F48" s="74">
        <v>-14</v>
      </c>
      <c r="G48" s="74">
        <v>-20</v>
      </c>
      <c r="L48" s="50" t="s">
        <v>119</v>
      </c>
      <c r="M48" s="53">
        <v>-48</v>
      </c>
      <c r="N48" s="53">
        <v>621</v>
      </c>
      <c r="O48" s="53">
        <v>-14</v>
      </c>
      <c r="P48" s="53">
        <v>-20</v>
      </c>
    </row>
    <row r="49" spans="2:16" x14ac:dyDescent="0.45">
      <c r="B49" s="51"/>
      <c r="C49" s="51"/>
      <c r="D49" s="68"/>
      <c r="E49" s="75">
        <f>(E48-D48)/(D48)</f>
        <v>-13.9375</v>
      </c>
      <c r="F49" s="75">
        <f>(F48-D48)/(D48)</f>
        <v>-0.70833333333333337</v>
      </c>
      <c r="G49" s="75">
        <f>(G48-C48)/(C48)</f>
        <v>-2.6666666666666665</v>
      </c>
      <c r="L49" s="51"/>
      <c r="M49" s="56">
        <f>M48/M4</f>
        <v>-2.1438142027690933E-2</v>
      </c>
      <c r="N49" s="56">
        <f t="shared" ref="N49:P49" si="22">N48/N4</f>
        <v>0.3633703920421299</v>
      </c>
      <c r="O49" s="56">
        <f t="shared" si="22"/>
        <v>-7.9545454545454537E-3</v>
      </c>
      <c r="P49" s="56">
        <f t="shared" si="22"/>
        <v>-2.2396416573348264E-2</v>
      </c>
    </row>
    <row r="53" spans="2:16" x14ac:dyDescent="0.45">
      <c r="B53" s="16"/>
      <c r="C53" s="16">
        <v>2019</v>
      </c>
      <c r="D53" s="16">
        <v>2020</v>
      </c>
      <c r="E53" s="16">
        <v>2021</v>
      </c>
      <c r="F53" s="16" t="s">
        <v>16</v>
      </c>
      <c r="L53" s="16"/>
      <c r="M53" s="16">
        <v>2019</v>
      </c>
      <c r="N53" s="16">
        <v>2020</v>
      </c>
      <c r="O53" s="16">
        <v>2021</v>
      </c>
      <c r="P53" s="16" t="s">
        <v>71</v>
      </c>
    </row>
    <row r="54" spans="2:16" x14ac:dyDescent="0.45">
      <c r="B54" s="20" t="s">
        <v>74</v>
      </c>
      <c r="C54" s="76">
        <v>0</v>
      </c>
      <c r="D54" s="38">
        <v>-0.23671281822242071</v>
      </c>
      <c r="E54" s="38">
        <v>-0.21393479231799911</v>
      </c>
      <c r="F54" s="38">
        <v>-0.19910313901345292</v>
      </c>
      <c r="L54" s="20" t="s">
        <v>74</v>
      </c>
      <c r="M54" s="38">
        <v>1</v>
      </c>
      <c r="N54" s="38">
        <v>1</v>
      </c>
      <c r="O54" s="38">
        <v>1</v>
      </c>
      <c r="P54" s="38">
        <v>1</v>
      </c>
    </row>
    <row r="55" spans="2:16" x14ac:dyDescent="0.45">
      <c r="B55" s="32" t="s">
        <v>76</v>
      </c>
      <c r="C55" s="76">
        <v>0</v>
      </c>
      <c r="D55" s="43">
        <v>0.19536423841059603</v>
      </c>
      <c r="E55" s="43">
        <v>0.16357615894039734</v>
      </c>
      <c r="F55" s="39">
        <v>0.15033557046979865</v>
      </c>
      <c r="L55" s="22" t="s">
        <v>76</v>
      </c>
      <c r="M55" s="39">
        <v>0.67440821795444394</v>
      </c>
      <c r="N55" s="39">
        <v>0.71094207138677601</v>
      </c>
      <c r="O55" s="39">
        <v>0.71761363636363595</v>
      </c>
      <c r="P55" s="39">
        <v>0.70884658454647298</v>
      </c>
    </row>
    <row r="56" spans="2:16" x14ac:dyDescent="0.45">
      <c r="B56" s="23" t="s">
        <v>78</v>
      </c>
      <c r="C56" s="76">
        <v>0</v>
      </c>
      <c r="D56" s="42">
        <v>-0.3223593964334705</v>
      </c>
      <c r="E56" s="42">
        <v>-0.31824417009602196</v>
      </c>
      <c r="F56" s="42">
        <v>-0.29539295392953929</v>
      </c>
      <c r="L56" s="23" t="s">
        <v>78</v>
      </c>
      <c r="M56" s="42">
        <v>0.32559178204555606</v>
      </c>
      <c r="N56" s="42">
        <v>0.2890579286132241</v>
      </c>
      <c r="O56" s="42">
        <v>0.28238636363636366</v>
      </c>
      <c r="P56" s="42">
        <v>0.29115341545352741</v>
      </c>
    </row>
    <row r="57" spans="2:16" x14ac:dyDescent="0.45">
      <c r="B57" s="32" t="s">
        <v>84</v>
      </c>
      <c r="C57" s="76">
        <v>0</v>
      </c>
      <c r="D57" s="43">
        <v>0.23496503496503496</v>
      </c>
      <c r="E57" s="43">
        <v>0.31608391608391606</v>
      </c>
      <c r="F57" s="39">
        <v>0.25925925925925924</v>
      </c>
      <c r="L57" s="22" t="s">
        <v>84</v>
      </c>
      <c r="M57" s="39">
        <v>0.319338990620813</v>
      </c>
      <c r="N57" s="39">
        <v>0.32007021650087802</v>
      </c>
      <c r="O57" s="39">
        <v>0.27784090909090903</v>
      </c>
      <c r="P57" s="39">
        <v>0.26875699888017901</v>
      </c>
    </row>
    <row r="58" spans="2:16" x14ac:dyDescent="0.45">
      <c r="B58" s="35" t="s">
        <v>80</v>
      </c>
      <c r="C58" s="76">
        <v>0</v>
      </c>
      <c r="D58" s="41">
        <v>0.25418060200668896</v>
      </c>
      <c r="E58" s="41">
        <v>0.22742474916387959</v>
      </c>
      <c r="F58" s="40">
        <v>0.22784810126582278</v>
      </c>
      <c r="L58" s="35" t="s">
        <v>80</v>
      </c>
      <c r="M58" s="40">
        <v>0.13354175971415799</v>
      </c>
      <c r="N58" s="40">
        <v>0.13048566413107099</v>
      </c>
      <c r="O58" s="40">
        <v>0.13125000000000001</v>
      </c>
      <c r="P58" s="40">
        <v>0.13661814109742401</v>
      </c>
    </row>
    <row r="59" spans="2:16" x14ac:dyDescent="0.45">
      <c r="B59" s="35" t="s">
        <v>82</v>
      </c>
      <c r="C59" s="76">
        <v>0</v>
      </c>
      <c r="D59" s="41">
        <v>0.35374149659863946</v>
      </c>
      <c r="E59" s="41">
        <v>0.35374149659863946</v>
      </c>
      <c r="F59" s="40">
        <v>0.33333333333333331</v>
      </c>
      <c r="L59" s="35" t="s">
        <v>82</v>
      </c>
      <c r="M59" s="40">
        <v>6.5654309959803495E-2</v>
      </c>
      <c r="N59" s="40">
        <v>5.5588063194850802E-2</v>
      </c>
      <c r="O59" s="40">
        <v>5.39772727272727E-2</v>
      </c>
      <c r="P59" s="40">
        <v>5.3751399776035803E-2</v>
      </c>
    </row>
    <row r="60" spans="2:16" x14ac:dyDescent="0.45">
      <c r="B60" s="35" t="s">
        <v>84</v>
      </c>
      <c r="C60" s="76">
        <v>0</v>
      </c>
      <c r="D60" s="41">
        <v>0.18181818181818182</v>
      </c>
      <c r="E60" s="41">
        <v>0.11931818181818182</v>
      </c>
      <c r="F60" s="40">
        <v>3.4482758620689655E-2</v>
      </c>
      <c r="L60" s="35" t="s">
        <v>84</v>
      </c>
      <c r="M60" s="40">
        <v>7.86065207682001E-2</v>
      </c>
      <c r="N60" s="40">
        <v>8.4259801053247499E-2</v>
      </c>
      <c r="O60" s="40">
        <v>8.8068181818181795E-2</v>
      </c>
      <c r="P60" s="40">
        <v>9.4064949608062706E-2</v>
      </c>
    </row>
    <row r="61" spans="2:16" x14ac:dyDescent="0.45">
      <c r="B61" s="35" t="s">
        <v>86</v>
      </c>
      <c r="C61" s="76">
        <v>0</v>
      </c>
      <c r="D61" s="41">
        <v>0.5</v>
      </c>
      <c r="E61" s="41">
        <v>0.5</v>
      </c>
      <c r="F61" s="40">
        <v>0</v>
      </c>
      <c r="L61" s="35" t="s">
        <v>86</v>
      </c>
      <c r="M61" s="40">
        <v>-1.786511835640911E-3</v>
      </c>
      <c r="N61" s="40">
        <v>-1.1702750146284377E-3</v>
      </c>
      <c r="O61" s="40">
        <v>-1.1363636363636363E-3</v>
      </c>
      <c r="P61" s="40">
        <v>0</v>
      </c>
    </row>
    <row r="62" spans="2:16" x14ac:dyDescent="0.45">
      <c r="B62" s="35" t="s">
        <v>88</v>
      </c>
      <c r="C62" s="76">
        <v>0</v>
      </c>
      <c r="D62" s="41">
        <v>-7.1428571428571425E-2</v>
      </c>
      <c r="E62" s="41">
        <v>-2.3809523809523808E-2</v>
      </c>
      <c r="F62" s="40">
        <v>0</v>
      </c>
      <c r="L62" s="35" t="s">
        <v>88</v>
      </c>
      <c r="M62" s="40">
        <v>1.8758374274229567E-2</v>
      </c>
      <c r="N62" s="40">
        <v>2.2820362785254535E-2</v>
      </c>
      <c r="O62" s="40">
        <v>2.3295454545454546E-2</v>
      </c>
      <c r="P62" s="40">
        <v>0</v>
      </c>
    </row>
    <row r="63" spans="2:16" x14ac:dyDescent="0.45">
      <c r="B63" s="35" t="s">
        <v>89</v>
      </c>
      <c r="C63" s="76">
        <v>0</v>
      </c>
      <c r="D63" s="41">
        <v>6.8702290076335881E-2</v>
      </c>
      <c r="E63" s="41">
        <v>0.64122137404580148</v>
      </c>
      <c r="F63" s="40">
        <v>1.4827586206896552</v>
      </c>
      <c r="L63" s="35" t="s">
        <v>89</v>
      </c>
      <c r="M63" s="40">
        <v>5.8508262617239799E-2</v>
      </c>
      <c r="N63" s="40">
        <v>7.1386775892334706E-2</v>
      </c>
      <c r="O63" s="40">
        <v>2.6704545454545502E-2</v>
      </c>
      <c r="P63" s="40">
        <v>1.5677491601343786E-2</v>
      </c>
    </row>
    <row r="64" spans="2:16" x14ac:dyDescent="0.45">
      <c r="B64" s="23" t="s">
        <v>92</v>
      </c>
      <c r="C64" s="76">
        <v>0</v>
      </c>
      <c r="D64" s="42">
        <v>-4.7142857142857144</v>
      </c>
      <c r="E64" s="42">
        <v>-0.35714285714285715</v>
      </c>
      <c r="F64" s="42">
        <v>-1.0652173913043479</v>
      </c>
      <c r="L64" s="23" t="s">
        <v>92</v>
      </c>
      <c r="M64" s="42">
        <v>6.2527914247431891E-3</v>
      </c>
      <c r="N64" s="42">
        <v>3.0427150380339399E-2</v>
      </c>
      <c r="O64" s="42">
        <v>5.1136363636363636E-3</v>
      </c>
      <c r="P64" s="42">
        <v>-3.3594624860022394E-3</v>
      </c>
    </row>
    <row r="65" spans="2:16" x14ac:dyDescent="0.45">
      <c r="B65" s="25" t="s">
        <v>94</v>
      </c>
      <c r="C65" s="76">
        <v>0</v>
      </c>
      <c r="D65" s="45">
        <v>0.5</v>
      </c>
      <c r="E65" s="45">
        <v>0.875</v>
      </c>
      <c r="F65" s="44">
        <v>0.75</v>
      </c>
      <c r="L65" s="25" t="s">
        <v>94</v>
      </c>
      <c r="M65" s="44">
        <v>-3.5730236712818221E-3</v>
      </c>
      <c r="N65" s="44">
        <v>-2.3405500292568754E-3</v>
      </c>
      <c r="O65" s="44">
        <v>-5.6818181818181815E-4</v>
      </c>
      <c r="P65" s="44">
        <v>-1.1198208286674132E-3</v>
      </c>
    </row>
    <row r="66" spans="2:16" x14ac:dyDescent="0.45">
      <c r="B66" s="35" t="s">
        <v>96</v>
      </c>
      <c r="C66" s="76">
        <v>0</v>
      </c>
      <c r="D66" s="41">
        <v>-0.5</v>
      </c>
      <c r="E66" s="41">
        <v>0</v>
      </c>
      <c r="F66" s="40">
        <v>0</v>
      </c>
      <c r="L66" s="35" t="s">
        <v>96</v>
      </c>
      <c r="M66" s="40">
        <v>8.9325591782045551E-4</v>
      </c>
      <c r="N66" s="40">
        <v>5.8513750731421885E-4</v>
      </c>
      <c r="O66" s="40">
        <v>1.1363636363636363E-3</v>
      </c>
      <c r="P66" s="40">
        <v>1.1198208286674132E-3</v>
      </c>
    </row>
    <row r="67" spans="2:16" x14ac:dyDescent="0.45">
      <c r="B67" s="48" t="s">
        <v>98</v>
      </c>
      <c r="C67" s="76">
        <v>0</v>
      </c>
      <c r="D67" s="41">
        <v>0.4</v>
      </c>
      <c r="E67" s="41">
        <v>0.7</v>
      </c>
      <c r="F67" s="40">
        <v>0.8</v>
      </c>
      <c r="L67" s="35" t="s">
        <v>98</v>
      </c>
      <c r="M67" s="40">
        <v>-4.4662795891022775E-3</v>
      </c>
      <c r="N67" s="40">
        <v>-3.5108250438853129E-3</v>
      </c>
      <c r="O67" s="40">
        <v>-1.7045454545454545E-3</v>
      </c>
      <c r="P67" s="40">
        <v>-1.1198208286674132E-3</v>
      </c>
    </row>
    <row r="68" spans="2:16" x14ac:dyDescent="0.45">
      <c r="B68" s="25" t="s">
        <v>100</v>
      </c>
      <c r="C68" s="76">
        <v>0</v>
      </c>
      <c r="D68" s="45">
        <v>0.13333333333333333</v>
      </c>
      <c r="E68" s="45">
        <v>0.8</v>
      </c>
      <c r="F68" s="44">
        <v>0.4375</v>
      </c>
      <c r="L68" s="25" t="s">
        <v>100</v>
      </c>
      <c r="M68" s="44">
        <v>1.3398838767306799E-2</v>
      </c>
      <c r="N68" s="44">
        <v>1.5213575190169699E-2</v>
      </c>
      <c r="O68" s="44">
        <v>-3.4090909090909089E-3</v>
      </c>
      <c r="P68" s="44">
        <v>1.00783874580067E-2</v>
      </c>
    </row>
    <row r="69" spans="2:16" x14ac:dyDescent="0.45">
      <c r="B69" s="35" t="s">
        <v>102</v>
      </c>
      <c r="C69" s="76">
        <v>0</v>
      </c>
      <c r="D69" s="41">
        <v>-0.75</v>
      </c>
      <c r="E69" s="41">
        <v>0.25</v>
      </c>
      <c r="F69" s="40">
        <v>0.25</v>
      </c>
      <c r="L69" s="35" t="s">
        <v>102</v>
      </c>
      <c r="M69" s="40">
        <v>3.5730236712818221E-3</v>
      </c>
      <c r="N69" s="40">
        <v>1.1702750146284377E-3</v>
      </c>
      <c r="O69" s="40">
        <v>5.681818181818182E-3</v>
      </c>
      <c r="P69" s="40">
        <v>5.5991041433370659E-3</v>
      </c>
    </row>
    <row r="70" spans="2:16" x14ac:dyDescent="0.45">
      <c r="B70" s="35" t="s">
        <v>103</v>
      </c>
      <c r="C70" s="76">
        <v>0</v>
      </c>
      <c r="D70" s="41">
        <v>0.26315789473684209</v>
      </c>
      <c r="E70" s="41">
        <v>0.57894736842105265</v>
      </c>
      <c r="F70" s="40">
        <v>0.3</v>
      </c>
      <c r="L70" s="35" t="s">
        <v>103</v>
      </c>
      <c r="M70" s="40">
        <v>1.6971862438588701E-2</v>
      </c>
      <c r="N70" s="40">
        <v>-1.6383850204798128E-2</v>
      </c>
      <c r="O70" s="40">
        <v>9.0909090909090905E-3</v>
      </c>
      <c r="P70" s="40">
        <v>1.5677491601343799E-2</v>
      </c>
    </row>
    <row r="71" spans="2:16" x14ac:dyDescent="0.45">
      <c r="B71" s="25" t="s">
        <v>105</v>
      </c>
      <c r="C71" s="76">
        <v>0</v>
      </c>
      <c r="D71" s="45">
        <v>0.18421052631578946</v>
      </c>
      <c r="E71" s="45">
        <v>0.78947368421052633</v>
      </c>
      <c r="F71" s="44">
        <v>0.55000000000000004</v>
      </c>
      <c r="L71" s="25" t="s">
        <v>105</v>
      </c>
      <c r="M71" s="44">
        <v>1.6971862438588701E-2</v>
      </c>
      <c r="N71" s="44">
        <v>1.8139262726740799E-2</v>
      </c>
      <c r="O71" s="44">
        <v>-4.5454545454545452E-3</v>
      </c>
      <c r="P71" s="44">
        <v>1.00783874580067E-2</v>
      </c>
    </row>
    <row r="72" spans="2:16" x14ac:dyDescent="0.45">
      <c r="B72" s="26" t="s">
        <v>110</v>
      </c>
      <c r="C72" s="76">
        <v>0</v>
      </c>
      <c r="D72" s="42">
        <v>-2.3199999999999998</v>
      </c>
      <c r="E72" s="42">
        <v>1.04</v>
      </c>
      <c r="F72" s="42">
        <v>-1.5</v>
      </c>
      <c r="L72" s="26" t="s">
        <v>110</v>
      </c>
      <c r="M72" s="42">
        <v>1.1165698972755701E-2</v>
      </c>
      <c r="N72" s="42">
        <v>4.8566413107080202E-2</v>
      </c>
      <c r="O72" s="42">
        <v>5.6818181818181815E-4</v>
      </c>
      <c r="P72" s="42">
        <v>1.45576707726764E-2</v>
      </c>
    </row>
    <row r="73" spans="2:16" x14ac:dyDescent="0.45">
      <c r="B73" s="49" t="s">
        <v>111</v>
      </c>
      <c r="C73" s="76">
        <v>0</v>
      </c>
      <c r="D73" s="41">
        <v>0.4642857142857143</v>
      </c>
      <c r="E73" s="41">
        <v>0.4642857142857143</v>
      </c>
      <c r="F73" s="40">
        <v>0.5</v>
      </c>
      <c r="L73" s="37" t="s">
        <v>111</v>
      </c>
      <c r="M73" s="40">
        <v>1.2505582849486401E-2</v>
      </c>
      <c r="N73" s="40">
        <v>8.7770626097132803E-3</v>
      </c>
      <c r="O73" s="40">
        <v>8.5227272727272704E-3</v>
      </c>
      <c r="P73" s="40">
        <v>7.8387458006718893E-3</v>
      </c>
    </row>
    <row r="74" spans="2:16" x14ac:dyDescent="0.45">
      <c r="B74" s="46" t="s">
        <v>113</v>
      </c>
      <c r="C74" s="76">
        <v>0</v>
      </c>
      <c r="D74" s="47">
        <v>-0.84905660377358494</v>
      </c>
      <c r="E74" s="47">
        <v>0.73584905660377353</v>
      </c>
      <c r="F74" s="47">
        <v>-2.6666666666666665</v>
      </c>
      <c r="L74" s="27" t="s">
        <v>113</v>
      </c>
      <c r="M74" s="54">
        <v>2.36712818222421E-2</v>
      </c>
      <c r="N74" s="54">
        <v>5.7343475716793497E-2</v>
      </c>
      <c r="O74" s="54">
        <v>7.9545454545454503E-3</v>
      </c>
      <c r="P74" s="54">
        <v>2.2396416573348302E-2</v>
      </c>
    </row>
    <row r="75" spans="2:16" x14ac:dyDescent="0.45">
      <c r="B75" s="50" t="s">
        <v>117</v>
      </c>
      <c r="C75" s="76">
        <v>0</v>
      </c>
      <c r="D75" s="52">
        <v>142.80000000000001</v>
      </c>
      <c r="E75" s="52">
        <v>0</v>
      </c>
      <c r="F75" s="52">
        <v>0</v>
      </c>
      <c r="L75" s="37" t="s">
        <v>117</v>
      </c>
      <c r="M75" s="55">
        <v>2.2331397945511387E-3</v>
      </c>
      <c r="N75" s="55">
        <v>0.42071386775892333</v>
      </c>
      <c r="O75" s="55">
        <v>0</v>
      </c>
      <c r="P75" s="55">
        <v>0</v>
      </c>
    </row>
    <row r="76" spans="2:16" x14ac:dyDescent="0.45">
      <c r="B76" s="50" t="s">
        <v>119</v>
      </c>
      <c r="C76" s="76">
        <v>0</v>
      </c>
      <c r="D76" s="52">
        <v>13.9375</v>
      </c>
      <c r="E76" s="52">
        <v>0.70833333333333337</v>
      </c>
      <c r="F76" s="52">
        <v>-2.6666666666666665</v>
      </c>
      <c r="L76" s="37" t="s">
        <v>119</v>
      </c>
      <c r="M76" s="56">
        <v>2.1438142027690898E-2</v>
      </c>
      <c r="N76" s="56">
        <v>0.3633703920421299</v>
      </c>
      <c r="O76" s="56">
        <v>7.9545454545454503E-3</v>
      </c>
      <c r="P76" s="56">
        <v>2.2396416573348302E-2</v>
      </c>
    </row>
  </sheetData>
  <mergeCells count="1">
    <mergeCell ref="B2:G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4EEF1-C068-44C7-ABD2-171812FB07E6}">
  <sheetPr codeName="Sheet5"/>
  <dimension ref="B2:X169"/>
  <sheetViews>
    <sheetView topLeftCell="D66" workbookViewId="0">
      <selection activeCell="L33" sqref="L33:P33"/>
    </sheetView>
  </sheetViews>
  <sheetFormatPr defaultRowHeight="14.25" x14ac:dyDescent="0.45"/>
  <cols>
    <col min="2" max="2" width="22.1328125" customWidth="1"/>
    <col min="19" max="19" width="20.33203125" customWidth="1"/>
  </cols>
  <sheetData>
    <row r="2" spans="2:24" ht="28.5" x14ac:dyDescent="0.45">
      <c r="B2" s="19" t="s">
        <v>70</v>
      </c>
      <c r="C2" s="16">
        <v>2019</v>
      </c>
      <c r="D2" s="16">
        <v>2020</v>
      </c>
      <c r="E2" s="16">
        <v>2021</v>
      </c>
      <c r="F2" s="16">
        <v>2022</v>
      </c>
      <c r="G2" s="16" t="s">
        <v>16</v>
      </c>
      <c r="K2" s="19" t="s">
        <v>70</v>
      </c>
      <c r="L2" s="16">
        <v>2019</v>
      </c>
      <c r="M2" s="16">
        <v>2020</v>
      </c>
      <c r="N2" s="16">
        <v>2021</v>
      </c>
      <c r="O2" s="16">
        <v>2022</v>
      </c>
      <c r="P2" s="16" t="s">
        <v>16</v>
      </c>
      <c r="S2" s="19" t="s">
        <v>70</v>
      </c>
      <c r="T2" s="16">
        <v>2019</v>
      </c>
      <c r="U2" s="16">
        <v>2020</v>
      </c>
      <c r="V2" s="16">
        <v>2021</v>
      </c>
      <c r="W2" s="16">
        <v>2022</v>
      </c>
      <c r="X2" s="16" t="s">
        <v>16</v>
      </c>
    </row>
    <row r="3" spans="2:24" x14ac:dyDescent="0.45">
      <c r="B3" s="30" t="s">
        <v>73</v>
      </c>
      <c r="C3" s="16"/>
      <c r="D3" s="16"/>
      <c r="E3" s="16"/>
      <c r="F3" s="16"/>
      <c r="G3" s="16"/>
      <c r="K3" s="30" t="s">
        <v>73</v>
      </c>
      <c r="L3" s="16"/>
      <c r="M3" s="16"/>
      <c r="N3" s="16"/>
      <c r="O3" s="16"/>
      <c r="P3" s="16"/>
      <c r="S3" s="30" t="s">
        <v>73</v>
      </c>
      <c r="T3" s="16"/>
      <c r="U3" s="16"/>
      <c r="V3" s="16"/>
      <c r="W3" s="16"/>
      <c r="X3" s="16"/>
    </row>
    <row r="4" spans="2:24" ht="42.75" x14ac:dyDescent="0.45">
      <c r="B4" s="28" t="s">
        <v>75</v>
      </c>
      <c r="C4" s="24">
        <v>1060</v>
      </c>
      <c r="D4" s="24">
        <v>714</v>
      </c>
      <c r="E4" s="24">
        <v>756</v>
      </c>
      <c r="F4" s="24">
        <v>738</v>
      </c>
      <c r="G4" s="24">
        <v>808</v>
      </c>
      <c r="K4" s="28" t="s">
        <v>75</v>
      </c>
      <c r="L4" s="24">
        <v>1060</v>
      </c>
      <c r="M4" s="24">
        <v>714</v>
      </c>
      <c r="N4" s="24">
        <v>756</v>
      </c>
      <c r="O4" s="24">
        <v>738</v>
      </c>
      <c r="P4" s="24">
        <v>808</v>
      </c>
      <c r="S4" t="s">
        <v>75</v>
      </c>
      <c r="T4" s="84">
        <f>L4/L$54</f>
        <v>0.46207497820401044</v>
      </c>
      <c r="U4" s="84">
        <f>M4/M$54</f>
        <v>0.323956442831216</v>
      </c>
      <c r="V4" s="84">
        <f>N4/N$54</f>
        <v>0.36085918854415272</v>
      </c>
      <c r="W4" s="84">
        <f>O4/O$54</f>
        <v>0.3397790055248619</v>
      </c>
      <c r="X4" s="84">
        <f>P4/P$54</f>
        <v>0.38623326959847037</v>
      </c>
    </row>
    <row r="5" spans="2:24" x14ac:dyDescent="0.45">
      <c r="B5" s="28"/>
      <c r="C5" s="24"/>
      <c r="D5" s="24"/>
      <c r="E5" s="24"/>
      <c r="F5" s="24"/>
      <c r="G5" s="24"/>
      <c r="K5" s="28"/>
      <c r="L5" s="83">
        <v>0.46207497820401044</v>
      </c>
      <c r="M5" s="83">
        <v>0.323956442831216</v>
      </c>
      <c r="N5" s="83">
        <v>0.36085918854415272</v>
      </c>
      <c r="O5" s="83">
        <v>0.3397790055248619</v>
      </c>
      <c r="P5" s="83">
        <v>0.38623326959847037</v>
      </c>
      <c r="T5" s="84"/>
      <c r="U5" s="84"/>
      <c r="V5" s="84"/>
      <c r="W5" s="84"/>
      <c r="X5" s="84"/>
    </row>
    <row r="6" spans="2:24" x14ac:dyDescent="0.45">
      <c r="B6" s="28"/>
      <c r="C6" s="24"/>
      <c r="D6" s="80">
        <f>(D4-$C4)/$C4</f>
        <v>-0.32641509433962262</v>
      </c>
      <c r="E6" s="80">
        <f>(E4-$C4)/$C4</f>
        <v>-0.28679245283018867</v>
      </c>
      <c r="F6" s="80">
        <f>(F4-$C4)/$C4</f>
        <v>-0.30377358490566037</v>
      </c>
      <c r="G6" s="80">
        <f>(G4-$C4)/$C4</f>
        <v>-0.23773584905660378</v>
      </c>
      <c r="K6" s="36" t="s">
        <v>77</v>
      </c>
      <c r="L6" s="37">
        <v>492</v>
      </c>
      <c r="M6" s="37">
        <v>265</v>
      </c>
      <c r="N6" s="37">
        <v>280</v>
      </c>
      <c r="O6" s="37">
        <v>273</v>
      </c>
      <c r="P6" s="37">
        <v>302</v>
      </c>
      <c r="S6" t="s">
        <v>77</v>
      </c>
      <c r="T6" s="84">
        <f>L6/L$54</f>
        <v>0.21447253705318223</v>
      </c>
      <c r="U6" s="84">
        <f>M6/M$54</f>
        <v>0.12023593466424683</v>
      </c>
      <c r="V6" s="84">
        <f>N6/N$54</f>
        <v>0.13365155131264916</v>
      </c>
      <c r="W6" s="84">
        <f>O6/O$54</f>
        <v>0.12569060773480664</v>
      </c>
      <c r="X6" s="84">
        <f>P6/P$54</f>
        <v>0.14435946462715105</v>
      </c>
    </row>
    <row r="7" spans="2:24" x14ac:dyDescent="0.45">
      <c r="B7" s="28"/>
      <c r="C7" s="24"/>
      <c r="D7" s="80"/>
      <c r="E7" s="80"/>
      <c r="F7" s="80"/>
      <c r="G7" s="80"/>
      <c r="K7" s="36"/>
      <c r="L7" s="82">
        <v>0.21447253705318223</v>
      </c>
      <c r="M7" s="82">
        <v>0.12023593466424683</v>
      </c>
      <c r="N7" s="82">
        <v>0.13365155131264916</v>
      </c>
      <c r="O7" s="82">
        <v>0.12569060773480664</v>
      </c>
      <c r="P7" s="82">
        <v>0.14435946462715105</v>
      </c>
      <c r="T7" s="84"/>
      <c r="U7" s="84"/>
      <c r="V7" s="84"/>
      <c r="W7" s="84"/>
      <c r="X7" s="84"/>
    </row>
    <row r="8" spans="2:24" ht="28.5" x14ac:dyDescent="0.45">
      <c r="B8" s="36" t="s">
        <v>77</v>
      </c>
      <c r="C8" s="37">
        <v>492</v>
      </c>
      <c r="D8" s="37">
        <v>265</v>
      </c>
      <c r="E8" s="37">
        <v>280</v>
      </c>
      <c r="F8" s="37">
        <v>273</v>
      </c>
      <c r="G8" s="37">
        <v>302</v>
      </c>
      <c r="K8" s="36" t="s">
        <v>79</v>
      </c>
      <c r="L8" s="37">
        <v>74</v>
      </c>
      <c r="M8" s="37">
        <v>19</v>
      </c>
      <c r="N8" s="37">
        <v>13</v>
      </c>
      <c r="O8" s="37">
        <v>17</v>
      </c>
      <c r="P8" s="37">
        <v>38</v>
      </c>
      <c r="S8" t="s">
        <v>79</v>
      </c>
      <c r="T8" s="84">
        <f>L8/L$54</f>
        <v>3.2258064516129031E-2</v>
      </c>
      <c r="U8" s="84">
        <f>M8/M$54</f>
        <v>8.6206896551724137E-3</v>
      </c>
      <c r="V8" s="84">
        <f>N8/N$54</f>
        <v>6.205250596658711E-3</v>
      </c>
      <c r="W8" s="84">
        <f>O8/O$54</f>
        <v>7.8268876611418056E-3</v>
      </c>
      <c r="X8" s="84">
        <f>P8/P$54</f>
        <v>1.8164435946462717E-2</v>
      </c>
    </row>
    <row r="9" spans="2:24" x14ac:dyDescent="0.45">
      <c r="B9" s="36"/>
      <c r="C9" s="37"/>
      <c r="D9" s="37"/>
      <c r="E9" s="37"/>
      <c r="F9" s="37"/>
      <c r="G9" s="37"/>
      <c r="K9" s="36"/>
      <c r="L9" s="82">
        <v>3.2258064516129031E-2</v>
      </c>
      <c r="M9" s="82">
        <v>8.6206896551724137E-3</v>
      </c>
      <c r="N9" s="82">
        <v>6.205250596658711E-3</v>
      </c>
      <c r="O9" s="82">
        <v>7.8268876611418056E-3</v>
      </c>
      <c r="P9" s="82">
        <v>1.8164435946462717E-2</v>
      </c>
      <c r="T9" s="84"/>
      <c r="U9" s="84"/>
      <c r="V9" s="84"/>
      <c r="W9" s="84"/>
      <c r="X9" s="84"/>
    </row>
    <row r="10" spans="2:24" ht="57" x14ac:dyDescent="0.45">
      <c r="B10" s="36"/>
      <c r="C10" s="37"/>
      <c r="D10" s="81">
        <f>(D8-$C8)/$C8</f>
        <v>-0.4613821138211382</v>
      </c>
      <c r="E10" s="81">
        <f t="shared" ref="E10:G10" si="0">(E8-$C8)/$C8</f>
        <v>-0.43089430894308944</v>
      </c>
      <c r="F10" s="81">
        <f t="shared" si="0"/>
        <v>-0.4451219512195122</v>
      </c>
      <c r="G10" s="81">
        <f t="shared" si="0"/>
        <v>-0.38617886178861788</v>
      </c>
      <c r="K10" s="36" t="s">
        <v>81</v>
      </c>
      <c r="L10" s="37">
        <v>142</v>
      </c>
      <c r="M10" s="37">
        <v>127</v>
      </c>
      <c r="N10" s="37">
        <v>129</v>
      </c>
      <c r="O10" s="37">
        <v>128</v>
      </c>
      <c r="P10" s="37">
        <v>130</v>
      </c>
      <c r="S10" t="s">
        <v>81</v>
      </c>
      <c r="T10" s="84">
        <f>L10/L$54</f>
        <v>6.1900610287707061E-2</v>
      </c>
      <c r="U10" s="84">
        <f>M10/M$54</f>
        <v>5.7622504537205084E-2</v>
      </c>
      <c r="V10" s="84">
        <f>N10/N$54</f>
        <v>6.1575178997613368E-2</v>
      </c>
      <c r="W10" s="84">
        <f>O10/O$54</f>
        <v>5.8931860036832415E-2</v>
      </c>
      <c r="X10" s="84">
        <f>P10/P$54</f>
        <v>6.2141491395793502E-2</v>
      </c>
    </row>
    <row r="11" spans="2:24" x14ac:dyDescent="0.45">
      <c r="B11" s="36"/>
      <c r="C11" s="37"/>
      <c r="D11" s="81"/>
      <c r="E11" s="81"/>
      <c r="F11" s="81"/>
      <c r="G11" s="81"/>
      <c r="K11" s="36"/>
      <c r="L11" s="82">
        <v>6.1900610287707061E-2</v>
      </c>
      <c r="M11" s="82">
        <v>5.7622504537205084E-2</v>
      </c>
      <c r="N11" s="82">
        <v>6.1575178997613368E-2</v>
      </c>
      <c r="O11" s="82">
        <v>5.8931860036832415E-2</v>
      </c>
      <c r="P11" s="82">
        <v>6.2141491395793502E-2</v>
      </c>
      <c r="T11" s="84"/>
      <c r="U11" s="84"/>
      <c r="V11" s="84"/>
      <c r="W11" s="84"/>
      <c r="X11" s="84"/>
    </row>
    <row r="12" spans="2:24" ht="28.5" x14ac:dyDescent="0.45">
      <c r="B12" s="36" t="s">
        <v>79</v>
      </c>
      <c r="C12" s="37">
        <v>74</v>
      </c>
      <c r="D12" s="37">
        <v>19</v>
      </c>
      <c r="E12" s="37">
        <v>13</v>
      </c>
      <c r="F12" s="37">
        <v>17</v>
      </c>
      <c r="G12" s="37">
        <v>38</v>
      </c>
      <c r="K12" s="36" t="s">
        <v>83</v>
      </c>
      <c r="L12" s="37">
        <v>110</v>
      </c>
      <c r="M12" s="37">
        <v>78</v>
      </c>
      <c r="N12" s="37">
        <v>68</v>
      </c>
      <c r="O12" s="37">
        <v>76</v>
      </c>
      <c r="P12" s="37">
        <v>66</v>
      </c>
      <c r="S12" t="s">
        <v>83</v>
      </c>
      <c r="T12" s="84">
        <f>L12/L$54</f>
        <v>4.7951176983435047E-2</v>
      </c>
      <c r="U12" s="84">
        <f>M12/M$54</f>
        <v>3.5390199637023591E-2</v>
      </c>
      <c r="V12" s="84">
        <f>N12/N$54</f>
        <v>3.2458233890214794E-2</v>
      </c>
      <c r="W12" s="84">
        <f>O12/O$54</f>
        <v>3.4990791896869246E-2</v>
      </c>
      <c r="X12" s="84">
        <f>P12/P$54</f>
        <v>3.1548757170172081E-2</v>
      </c>
    </row>
    <row r="13" spans="2:24" x14ac:dyDescent="0.45">
      <c r="B13" s="36"/>
      <c r="C13" s="37"/>
      <c r="D13" s="37"/>
      <c r="E13" s="37"/>
      <c r="F13" s="37"/>
      <c r="G13" s="37"/>
      <c r="K13" s="36"/>
      <c r="L13" s="82">
        <v>4.7951176983435047E-2</v>
      </c>
      <c r="M13" s="82">
        <v>3.5390199637023591E-2</v>
      </c>
      <c r="N13" s="82">
        <v>3.2458233890214794E-2</v>
      </c>
      <c r="O13" s="82">
        <v>3.4990791896869246E-2</v>
      </c>
      <c r="P13" s="82">
        <v>3.1548757170172081E-2</v>
      </c>
      <c r="T13" s="84"/>
      <c r="U13" s="84"/>
      <c r="V13" s="84"/>
      <c r="W13" s="84"/>
      <c r="X13" s="84"/>
    </row>
    <row r="14" spans="2:24" ht="42.75" x14ac:dyDescent="0.45">
      <c r="B14" s="36"/>
      <c r="C14" s="37"/>
      <c r="D14" s="81">
        <f>(D12-$C12)/$C12</f>
        <v>-0.7432432432432432</v>
      </c>
      <c r="E14" s="81">
        <f t="shared" ref="E14:G14" si="1">(E12-$C12)/$C12</f>
        <v>-0.82432432432432434</v>
      </c>
      <c r="F14" s="81">
        <f t="shared" si="1"/>
        <v>-0.77027027027027029</v>
      </c>
      <c r="G14" s="81">
        <f t="shared" si="1"/>
        <v>-0.48648648648648651</v>
      </c>
      <c r="K14" s="36" t="s">
        <v>85</v>
      </c>
      <c r="L14" s="37">
        <v>4</v>
      </c>
      <c r="M14" s="37">
        <v>0</v>
      </c>
      <c r="N14" s="37">
        <v>1</v>
      </c>
      <c r="O14" s="37">
        <v>0</v>
      </c>
      <c r="P14" s="37">
        <v>1</v>
      </c>
      <c r="S14" t="s">
        <v>85</v>
      </c>
      <c r="T14" s="84">
        <f>L14/L$54</f>
        <v>1.7436791630340018E-3</v>
      </c>
      <c r="U14" s="84">
        <f>M14/M$54</f>
        <v>0</v>
      </c>
      <c r="V14" s="84">
        <f>N14/N$54</f>
        <v>4.7732696897374703E-4</v>
      </c>
      <c r="W14" s="84">
        <f>O14/O$54</f>
        <v>0</v>
      </c>
      <c r="X14" s="84">
        <f>P14/P$54</f>
        <v>4.7801147227533459E-4</v>
      </c>
    </row>
    <row r="15" spans="2:24" x14ac:dyDescent="0.45">
      <c r="B15" s="36"/>
      <c r="C15" s="37"/>
      <c r="D15" s="81"/>
      <c r="E15" s="81"/>
      <c r="F15" s="81"/>
      <c r="G15" s="81"/>
      <c r="K15" s="36"/>
      <c r="L15" s="82">
        <v>1.7436791630340018E-3</v>
      </c>
      <c r="M15" s="82">
        <v>0</v>
      </c>
      <c r="N15" s="82">
        <v>4.7732696897374703E-4</v>
      </c>
      <c r="O15" s="82">
        <v>0</v>
      </c>
      <c r="P15" s="82">
        <v>4.7801147227533459E-4</v>
      </c>
      <c r="T15" s="84"/>
      <c r="U15" s="84"/>
      <c r="V15" s="84"/>
      <c r="W15" s="84"/>
      <c r="X15" s="84"/>
    </row>
    <row r="16" spans="2:24" ht="42.75" x14ac:dyDescent="0.45">
      <c r="B16" s="36" t="s">
        <v>81</v>
      </c>
      <c r="C16" s="37">
        <v>142</v>
      </c>
      <c r="D16" s="37">
        <v>127</v>
      </c>
      <c r="E16" s="37">
        <v>129</v>
      </c>
      <c r="F16" s="37">
        <v>128</v>
      </c>
      <c r="G16" s="37">
        <v>130</v>
      </c>
      <c r="K16" s="36" t="s">
        <v>87</v>
      </c>
      <c r="L16" s="37">
        <v>8</v>
      </c>
      <c r="M16" s="37">
        <v>7</v>
      </c>
      <c r="N16" s="37">
        <v>8</v>
      </c>
      <c r="O16" s="37">
        <v>8</v>
      </c>
      <c r="P16" s="37">
        <v>6</v>
      </c>
      <c r="S16" t="s">
        <v>87</v>
      </c>
      <c r="T16" s="84">
        <f>L16/L$54</f>
        <v>3.4873583260680036E-3</v>
      </c>
      <c r="U16" s="84">
        <f>M16/M$54</f>
        <v>3.1760435571687841E-3</v>
      </c>
      <c r="V16" s="84">
        <f>N16/N$54</f>
        <v>3.8186157517899762E-3</v>
      </c>
      <c r="W16" s="84">
        <f>O16/O$54</f>
        <v>3.6832412523020259E-3</v>
      </c>
      <c r="X16" s="84">
        <f>P16/P$54</f>
        <v>2.8680688336520078E-3</v>
      </c>
    </row>
    <row r="17" spans="2:24" x14ac:dyDescent="0.45">
      <c r="B17" s="36"/>
      <c r="C17" s="37"/>
      <c r="D17" s="37"/>
      <c r="E17" s="37"/>
      <c r="F17" s="37"/>
      <c r="G17" s="37"/>
      <c r="K17" s="36"/>
      <c r="L17" s="82">
        <v>3.4873583260680036E-3</v>
      </c>
      <c r="M17" s="82">
        <v>3.1760435571687841E-3</v>
      </c>
      <c r="N17" s="82">
        <v>3.8186157517899762E-3</v>
      </c>
      <c r="O17" s="82">
        <v>3.6832412523020259E-3</v>
      </c>
      <c r="P17" s="82">
        <v>2.8680688336520078E-3</v>
      </c>
      <c r="T17" s="84"/>
      <c r="U17" s="84"/>
      <c r="V17" s="84"/>
      <c r="W17" s="84"/>
      <c r="X17" s="84"/>
    </row>
    <row r="18" spans="2:24" ht="85.5" x14ac:dyDescent="0.45">
      <c r="B18" s="36"/>
      <c r="C18" s="37"/>
      <c r="D18" s="81">
        <f>(D16-$C16)/$C16</f>
        <v>-0.10563380281690141</v>
      </c>
      <c r="E18" s="81">
        <f t="shared" ref="E18:G18" si="2">(E16-$C16)/$C16</f>
        <v>-9.154929577464789E-2</v>
      </c>
      <c r="F18" s="81">
        <f t="shared" si="2"/>
        <v>-9.8591549295774641E-2</v>
      </c>
      <c r="G18" s="81">
        <f t="shared" si="2"/>
        <v>-8.4507042253521125E-2</v>
      </c>
      <c r="K18" s="36" t="s">
        <v>90</v>
      </c>
      <c r="L18" s="37">
        <v>0</v>
      </c>
      <c r="M18" s="37">
        <v>0</v>
      </c>
      <c r="N18" s="37">
        <v>40</v>
      </c>
      <c r="O18" s="37">
        <v>61</v>
      </c>
      <c r="P18" s="37">
        <v>56</v>
      </c>
      <c r="S18" t="s">
        <v>90</v>
      </c>
      <c r="T18" s="84">
        <f>L18/L$54</f>
        <v>0</v>
      </c>
      <c r="U18" s="84">
        <f>M18/M$54</f>
        <v>0</v>
      </c>
      <c r="V18" s="84">
        <f>N18/N$54</f>
        <v>1.9093078758949882E-2</v>
      </c>
      <c r="W18" s="84">
        <f>O18/O$54</f>
        <v>2.8084714548802948E-2</v>
      </c>
      <c r="X18" s="84">
        <f>P18/P$54</f>
        <v>2.676864244741874E-2</v>
      </c>
    </row>
    <row r="19" spans="2:24" x14ac:dyDescent="0.45">
      <c r="B19" s="36"/>
      <c r="C19" s="37"/>
      <c r="D19" s="81"/>
      <c r="E19" s="81"/>
      <c r="F19" s="81"/>
      <c r="G19" s="81"/>
      <c r="K19" s="36"/>
      <c r="L19" s="82">
        <v>0</v>
      </c>
      <c r="M19" s="82">
        <v>0</v>
      </c>
      <c r="N19" s="82">
        <v>1.9093078758949882E-2</v>
      </c>
      <c r="O19" s="82">
        <v>2.8084714548802948E-2</v>
      </c>
      <c r="P19" s="82">
        <v>2.676864244741874E-2</v>
      </c>
      <c r="T19" s="84"/>
      <c r="U19" s="84"/>
      <c r="V19" s="84"/>
      <c r="W19" s="84"/>
      <c r="X19" s="84"/>
    </row>
    <row r="20" spans="2:24" ht="42.75" x14ac:dyDescent="0.45">
      <c r="B20" s="36" t="s">
        <v>83</v>
      </c>
      <c r="C20" s="37">
        <v>110</v>
      </c>
      <c r="D20" s="37">
        <v>78</v>
      </c>
      <c r="E20" s="37">
        <v>68</v>
      </c>
      <c r="F20" s="37">
        <v>76</v>
      </c>
      <c r="G20" s="37">
        <v>66</v>
      </c>
      <c r="K20" s="36" t="s">
        <v>91</v>
      </c>
      <c r="L20" s="37">
        <v>21</v>
      </c>
      <c r="M20" s="37">
        <v>15</v>
      </c>
      <c r="N20" s="37">
        <v>12</v>
      </c>
      <c r="O20" s="37">
        <v>14</v>
      </c>
      <c r="P20" s="37">
        <v>10</v>
      </c>
      <c r="S20" t="s">
        <v>91</v>
      </c>
      <c r="T20" s="84">
        <f>L20/L$54</f>
        <v>9.1543156059285084E-3</v>
      </c>
      <c r="U20" s="84">
        <f>M20/M$54</f>
        <v>6.8058076225045372E-3</v>
      </c>
      <c r="V20" s="84">
        <f>N20/N$54</f>
        <v>5.7279236276849641E-3</v>
      </c>
      <c r="W20" s="84">
        <f>O20/O$54</f>
        <v>6.4456721915285451E-3</v>
      </c>
      <c r="X20" s="84">
        <f>P20/P$54</f>
        <v>4.7801147227533461E-3</v>
      </c>
    </row>
    <row r="21" spans="2:24" x14ac:dyDescent="0.45">
      <c r="B21" s="36"/>
      <c r="C21" s="37"/>
      <c r="D21" s="37"/>
      <c r="E21" s="37"/>
      <c r="F21" s="37"/>
      <c r="G21" s="37"/>
      <c r="K21" s="36"/>
      <c r="L21" s="82">
        <v>9.1543156059285084E-3</v>
      </c>
      <c r="M21" s="82">
        <v>6.8058076225045372E-3</v>
      </c>
      <c r="N21" s="82">
        <v>5.7279236276849641E-3</v>
      </c>
      <c r="O21" s="82">
        <v>6.4456721915285451E-3</v>
      </c>
      <c r="P21" s="82">
        <v>4.7801147227533461E-3</v>
      </c>
      <c r="T21" s="84"/>
      <c r="U21" s="84"/>
      <c r="V21" s="84"/>
      <c r="W21" s="84"/>
      <c r="X21" s="84"/>
    </row>
    <row r="22" spans="2:24" ht="57" x14ac:dyDescent="0.45">
      <c r="B22" s="36"/>
      <c r="C22" s="37"/>
      <c r="D22" s="81">
        <f>(D20-$C20)/$C20</f>
        <v>-0.29090909090909089</v>
      </c>
      <c r="E22" s="81">
        <f t="shared" ref="E22:G22" si="3">(E20-$C20)/$C20</f>
        <v>-0.38181818181818183</v>
      </c>
      <c r="F22" s="81">
        <f t="shared" si="3"/>
        <v>-0.30909090909090908</v>
      </c>
      <c r="G22" s="81">
        <f t="shared" si="3"/>
        <v>-0.4</v>
      </c>
      <c r="K22" s="36" t="s">
        <v>93</v>
      </c>
      <c r="L22" s="37">
        <v>62</v>
      </c>
      <c r="M22" s="37">
        <v>68</v>
      </c>
      <c r="N22" s="37">
        <v>70</v>
      </c>
      <c r="O22" s="37">
        <v>75</v>
      </c>
      <c r="P22" s="37">
        <v>73</v>
      </c>
      <c r="S22" t="s">
        <v>93</v>
      </c>
      <c r="T22" s="84">
        <f>L22/L$54</f>
        <v>2.7027027027027029E-2</v>
      </c>
      <c r="U22" s="84">
        <f>M22/M$54</f>
        <v>3.0852994555353903E-2</v>
      </c>
      <c r="V22" s="84">
        <f>N22/N$54</f>
        <v>3.3412887828162291E-2</v>
      </c>
      <c r="W22" s="84">
        <f>O22/O$54</f>
        <v>3.4530386740331494E-2</v>
      </c>
      <c r="X22" s="84">
        <f>P22/P$54</f>
        <v>3.4894837476099429E-2</v>
      </c>
    </row>
    <row r="23" spans="2:24" x14ac:dyDescent="0.45">
      <c r="B23" s="36"/>
      <c r="C23" s="37"/>
      <c r="D23" s="81"/>
      <c r="E23" s="81"/>
      <c r="F23" s="81"/>
      <c r="G23" s="81"/>
      <c r="K23" s="36"/>
      <c r="L23" s="82">
        <v>2.7027027027027029E-2</v>
      </c>
      <c r="M23" s="82">
        <v>3.0852994555353903E-2</v>
      </c>
      <c r="N23" s="82">
        <v>3.3412887828162291E-2</v>
      </c>
      <c r="O23" s="82">
        <v>3.4530386740331494E-2</v>
      </c>
      <c r="P23" s="82">
        <v>3.4894837476099429E-2</v>
      </c>
      <c r="T23" s="84"/>
      <c r="U23" s="84"/>
      <c r="V23" s="84"/>
      <c r="W23" s="84"/>
      <c r="X23" s="84"/>
    </row>
    <row r="24" spans="2:24" ht="28.5" x14ac:dyDescent="0.45">
      <c r="B24" s="36" t="s">
        <v>85</v>
      </c>
      <c r="C24" s="37">
        <v>4</v>
      </c>
      <c r="D24" s="37">
        <v>0</v>
      </c>
      <c r="E24" s="37">
        <v>1</v>
      </c>
      <c r="F24" s="37">
        <v>0</v>
      </c>
      <c r="G24" s="37">
        <v>1</v>
      </c>
      <c r="K24" s="36" t="s">
        <v>95</v>
      </c>
      <c r="L24" s="37">
        <v>24</v>
      </c>
      <c r="M24" s="37">
        <v>16</v>
      </c>
      <c r="N24" s="37">
        <v>11</v>
      </c>
      <c r="O24" s="37">
        <v>14</v>
      </c>
      <c r="P24" s="37">
        <v>10</v>
      </c>
      <c r="S24" t="s">
        <v>95</v>
      </c>
      <c r="T24" s="84">
        <f>L24/L$54</f>
        <v>1.0462074978204011E-2</v>
      </c>
      <c r="U24" s="84">
        <f>M24/M$54</f>
        <v>7.2595281306715061E-3</v>
      </c>
      <c r="V24" s="84">
        <f>N24/N$54</f>
        <v>5.2505966587112173E-3</v>
      </c>
      <c r="W24" s="84">
        <f>O24/O$54</f>
        <v>6.4456721915285451E-3</v>
      </c>
      <c r="X24" s="84">
        <f>P24/P$54</f>
        <v>4.7801147227533461E-3</v>
      </c>
    </row>
    <row r="25" spans="2:24" x14ac:dyDescent="0.45">
      <c r="B25" s="36"/>
      <c r="C25" s="37"/>
      <c r="D25" s="37"/>
      <c r="E25" s="37"/>
      <c r="F25" s="37"/>
      <c r="G25" s="37"/>
      <c r="K25" s="36"/>
      <c r="L25" s="82">
        <v>1.0462074978204011E-2</v>
      </c>
      <c r="M25" s="82">
        <v>7.2595281306715061E-3</v>
      </c>
      <c r="N25" s="82">
        <v>5.2505966587112173E-3</v>
      </c>
      <c r="O25" s="82">
        <v>6.4456721915285451E-3</v>
      </c>
      <c r="P25" s="82">
        <v>4.7801147227533461E-3</v>
      </c>
      <c r="T25" s="84"/>
      <c r="U25" s="84"/>
      <c r="V25" s="84"/>
      <c r="W25" s="84"/>
      <c r="X25" s="84"/>
    </row>
    <row r="26" spans="2:24" ht="28.5" x14ac:dyDescent="0.45">
      <c r="B26" s="36"/>
      <c r="C26" s="37"/>
      <c r="D26" s="81">
        <f>(D24-$C24)/$C24</f>
        <v>-1</v>
      </c>
      <c r="E26" s="81">
        <f t="shared" ref="E26:G26" si="4">(E24-$C24)/$C24</f>
        <v>-0.75</v>
      </c>
      <c r="F26" s="81">
        <f t="shared" si="4"/>
        <v>-1</v>
      </c>
      <c r="G26" s="81">
        <f t="shared" si="4"/>
        <v>-0.75</v>
      </c>
      <c r="K26" s="36" t="s">
        <v>97</v>
      </c>
      <c r="L26" s="37">
        <v>125</v>
      </c>
      <c r="M26" s="37">
        <v>120</v>
      </c>
      <c r="N26" s="37">
        <v>124</v>
      </c>
      <c r="O26" s="37">
        <v>117</v>
      </c>
      <c r="P26" s="37">
        <v>117</v>
      </c>
      <c r="S26" t="s">
        <v>97</v>
      </c>
      <c r="T26" s="84">
        <f>L26/L$54</f>
        <v>5.4489973844812557E-2</v>
      </c>
      <c r="U26" s="84">
        <f>M26/M$54</f>
        <v>5.4446460980036297E-2</v>
      </c>
      <c r="V26" s="84">
        <f>N26/N$54</f>
        <v>5.9188544152744632E-2</v>
      </c>
      <c r="W26" s="84">
        <f>O26/O$54</f>
        <v>5.3867403314917128E-2</v>
      </c>
      <c r="X26" s="84">
        <f>P26/P$54</f>
        <v>5.5927342256214152E-2</v>
      </c>
    </row>
    <row r="27" spans="2:24" x14ac:dyDescent="0.45">
      <c r="B27" s="36"/>
      <c r="C27" s="37"/>
      <c r="D27" s="81"/>
      <c r="E27" s="81"/>
      <c r="F27" s="81"/>
      <c r="G27" s="81"/>
      <c r="K27" s="36"/>
      <c r="L27" s="82">
        <v>5.4489973844812557E-2</v>
      </c>
      <c r="M27" s="82">
        <v>5.4446460980036297E-2</v>
      </c>
      <c r="N27" s="82">
        <v>5.9188544152744632E-2</v>
      </c>
      <c r="O27" s="82">
        <v>5.3867403314917128E-2</v>
      </c>
      <c r="P27" s="82">
        <v>5.5927342256214152E-2</v>
      </c>
      <c r="T27" s="84"/>
      <c r="U27" s="84"/>
      <c r="V27" s="84"/>
      <c r="W27" s="84"/>
      <c r="X27" s="84"/>
    </row>
    <row r="28" spans="2:24" ht="28.5" x14ac:dyDescent="0.45">
      <c r="B28" s="36" t="s">
        <v>87</v>
      </c>
      <c r="C28" s="37">
        <v>8</v>
      </c>
      <c r="D28" s="37">
        <v>7</v>
      </c>
      <c r="E28" s="37">
        <v>8</v>
      </c>
      <c r="F28" s="37">
        <v>8</v>
      </c>
      <c r="G28" s="37">
        <v>6</v>
      </c>
      <c r="K28" s="28" t="s">
        <v>99</v>
      </c>
      <c r="L28" s="24">
        <v>1234</v>
      </c>
      <c r="M28" s="24">
        <v>1490</v>
      </c>
      <c r="N28" s="24">
        <v>1339</v>
      </c>
      <c r="O28" s="24">
        <v>1389</v>
      </c>
      <c r="P28" s="24">
        <v>1284</v>
      </c>
      <c r="S28" t="s">
        <v>99</v>
      </c>
      <c r="T28" s="84">
        <f>L28/L$54</f>
        <v>0.53792502179598956</v>
      </c>
      <c r="U28" s="84">
        <f>M28/M$54</f>
        <v>0.67604355716878406</v>
      </c>
      <c r="V28" s="84">
        <f>N28/N$54</f>
        <v>0.63914081145584722</v>
      </c>
      <c r="W28" s="84">
        <f>O28/O$54</f>
        <v>0.63950276243093918</v>
      </c>
      <c r="X28" s="84">
        <f>P28/P$54</f>
        <v>0.61376673040152963</v>
      </c>
    </row>
    <row r="29" spans="2:24" x14ac:dyDescent="0.45">
      <c r="B29" s="36"/>
      <c r="C29" s="37"/>
      <c r="D29" s="37"/>
      <c r="E29" s="37"/>
      <c r="F29" s="37"/>
      <c r="G29" s="37"/>
      <c r="K29" s="28"/>
      <c r="L29" s="83">
        <v>0.53792502179598956</v>
      </c>
      <c r="M29" s="83">
        <v>0.67604355716878406</v>
      </c>
      <c r="N29" s="83">
        <v>0.63914081145584722</v>
      </c>
      <c r="O29" s="83">
        <v>0.63950276243093918</v>
      </c>
      <c r="P29" s="83">
        <v>0.61376673040152963</v>
      </c>
      <c r="T29" s="84"/>
      <c r="U29" s="84"/>
      <c r="V29" s="84"/>
      <c r="W29" s="84"/>
      <c r="X29" s="84"/>
    </row>
    <row r="30" spans="2:24" ht="28.5" x14ac:dyDescent="0.45">
      <c r="B30" s="36"/>
      <c r="C30" s="37"/>
      <c r="D30" s="82">
        <f>(D28-$C28)/$C28</f>
        <v>-0.125</v>
      </c>
      <c r="E30" s="82">
        <f t="shared" ref="E30:G30" si="5">(E28-$C28)/$C28</f>
        <v>0</v>
      </c>
      <c r="F30" s="82">
        <f t="shared" si="5"/>
        <v>0</v>
      </c>
      <c r="G30" s="82">
        <f t="shared" si="5"/>
        <v>-0.25</v>
      </c>
      <c r="K30" s="36" t="s">
        <v>101</v>
      </c>
      <c r="L30" s="37">
        <v>436</v>
      </c>
      <c r="M30" s="37">
        <v>389</v>
      </c>
      <c r="N30" s="37">
        <v>418</v>
      </c>
      <c r="O30" s="37">
        <v>445</v>
      </c>
      <c r="P30" s="37">
        <v>537</v>
      </c>
      <c r="S30" t="s">
        <v>101</v>
      </c>
      <c r="T30" s="84">
        <f>L30/L$54</f>
        <v>0.19006102877070619</v>
      </c>
      <c r="U30" s="84">
        <f>M30/M$54</f>
        <v>0.176497277676951</v>
      </c>
      <c r="V30" s="84">
        <f>N30/N$54</f>
        <v>0.19952267303102625</v>
      </c>
      <c r="W30" s="84">
        <f>O30/O$54</f>
        <v>0.20488029465930019</v>
      </c>
      <c r="X30" s="84">
        <f>P30/P$54</f>
        <v>0.25669216061185468</v>
      </c>
    </row>
    <row r="31" spans="2:24" x14ac:dyDescent="0.45">
      <c r="B31" s="36"/>
      <c r="C31" s="37"/>
      <c r="D31" s="82"/>
      <c r="E31" s="82"/>
      <c r="F31" s="82"/>
      <c r="G31" s="82"/>
      <c r="K31" s="36"/>
      <c r="L31" s="82">
        <v>0.19006102877070619</v>
      </c>
      <c r="M31" s="82">
        <v>0.176497277676951</v>
      </c>
      <c r="N31" s="82">
        <v>0.19952267303102625</v>
      </c>
      <c r="O31" s="82">
        <v>0.20488029465930019</v>
      </c>
      <c r="P31" s="82">
        <v>0.25669216061185468</v>
      </c>
      <c r="T31" s="84"/>
      <c r="U31" s="84"/>
      <c r="V31" s="84"/>
      <c r="W31" s="84"/>
      <c r="X31" s="84"/>
    </row>
    <row r="32" spans="2:24" ht="42.75" x14ac:dyDescent="0.45">
      <c r="B32" s="36" t="s">
        <v>90</v>
      </c>
      <c r="C32" s="37">
        <v>0</v>
      </c>
      <c r="D32" s="37">
        <v>0</v>
      </c>
      <c r="E32" s="37">
        <v>40</v>
      </c>
      <c r="F32" s="37">
        <v>61</v>
      </c>
      <c r="G32" s="37">
        <v>56</v>
      </c>
      <c r="K32" s="36" t="s">
        <v>91</v>
      </c>
      <c r="L32" s="37">
        <v>408</v>
      </c>
      <c r="M32" s="37">
        <v>297</v>
      </c>
      <c r="N32" s="37">
        <v>307</v>
      </c>
      <c r="O32" s="37">
        <v>293</v>
      </c>
      <c r="P32" s="37">
        <v>323</v>
      </c>
      <c r="S32" t="s">
        <v>91</v>
      </c>
      <c r="T32" s="84">
        <f>L32/L$54</f>
        <v>0.17785527462946818</v>
      </c>
      <c r="U32" s="84">
        <f>M32/M$54</f>
        <v>0.13475499092558985</v>
      </c>
      <c r="V32" s="84">
        <f>N32/N$54</f>
        <v>0.14653937947494033</v>
      </c>
      <c r="W32" s="84">
        <f>O32/O$54</f>
        <v>0.13489871086556168</v>
      </c>
      <c r="X32" s="84">
        <f>P32/P$54</f>
        <v>0.15439770554493307</v>
      </c>
    </row>
    <row r="33" spans="2:24" x14ac:dyDescent="0.45">
      <c r="B33" s="36"/>
      <c r="C33" s="37"/>
      <c r="D33" s="37"/>
      <c r="E33" s="37"/>
      <c r="F33" s="37"/>
      <c r="G33" s="37"/>
      <c r="K33" s="36"/>
      <c r="L33" s="82">
        <v>0.17785527462946818</v>
      </c>
      <c r="M33" s="82">
        <v>0.13475499092558985</v>
      </c>
      <c r="N33" s="82">
        <v>0.14653937947494033</v>
      </c>
      <c r="O33" s="82">
        <v>0.13489871086556168</v>
      </c>
      <c r="P33" s="82">
        <v>0.15439770554493307</v>
      </c>
      <c r="T33" s="84"/>
      <c r="U33" s="84"/>
      <c r="V33" s="84"/>
      <c r="W33" s="84"/>
      <c r="X33" s="84"/>
    </row>
    <row r="34" spans="2:24" ht="28.5" x14ac:dyDescent="0.45">
      <c r="B34" s="36"/>
      <c r="C34" s="37"/>
      <c r="D34" s="37" t="e">
        <f>(D32-$C32)/$C32</f>
        <v>#DIV/0!</v>
      </c>
      <c r="E34" s="37" t="e">
        <f t="shared" ref="E34:G34" si="6">(E32-$C32)/$C32</f>
        <v>#DIV/0!</v>
      </c>
      <c r="F34" s="37" t="e">
        <f t="shared" si="6"/>
        <v>#DIV/0!</v>
      </c>
      <c r="G34" s="37" t="e">
        <f t="shared" si="6"/>
        <v>#DIV/0!</v>
      </c>
      <c r="K34" s="36" t="s">
        <v>104</v>
      </c>
      <c r="L34" s="37">
        <v>100</v>
      </c>
      <c r="M34" s="37">
        <v>64</v>
      </c>
      <c r="N34" s="37">
        <v>76</v>
      </c>
      <c r="O34" s="37">
        <v>69</v>
      </c>
      <c r="P34" s="37">
        <v>96</v>
      </c>
      <c r="S34" t="s">
        <v>104</v>
      </c>
      <c r="T34" s="84">
        <f>L34/L$54</f>
        <v>4.3591979075850044E-2</v>
      </c>
      <c r="U34" s="84">
        <f>M34/M$54</f>
        <v>2.9038112522686024E-2</v>
      </c>
      <c r="V34" s="84">
        <f>N34/N$54</f>
        <v>3.6276849642004776E-2</v>
      </c>
      <c r="W34" s="84">
        <f>O34/O$54</f>
        <v>3.1767955801104975E-2</v>
      </c>
      <c r="X34" s="84">
        <f>P34/P$54</f>
        <v>4.5889101338432124E-2</v>
      </c>
    </row>
    <row r="35" spans="2:24" x14ac:dyDescent="0.45">
      <c r="B35" s="36"/>
      <c r="C35" s="37"/>
      <c r="D35" s="37"/>
      <c r="E35" s="37"/>
      <c r="F35" s="37"/>
      <c r="G35" s="37"/>
      <c r="K35" s="36"/>
      <c r="L35" s="37"/>
      <c r="M35" s="37"/>
      <c r="N35" s="37"/>
      <c r="O35" s="37"/>
      <c r="P35" s="37"/>
      <c r="T35" s="84"/>
      <c r="U35" s="84"/>
      <c r="V35" s="84"/>
      <c r="W35" s="84"/>
      <c r="X35" s="84"/>
    </row>
    <row r="36" spans="2:24" ht="42.75" x14ac:dyDescent="0.45">
      <c r="B36" s="36" t="s">
        <v>91</v>
      </c>
      <c r="C36" s="37">
        <v>21</v>
      </c>
      <c r="D36" s="37">
        <v>15</v>
      </c>
      <c r="E36" s="37">
        <v>12</v>
      </c>
      <c r="F36" s="37">
        <v>14</v>
      </c>
      <c r="G36" s="37">
        <v>10</v>
      </c>
      <c r="K36" s="36" t="s">
        <v>106</v>
      </c>
      <c r="L36" s="37">
        <v>75</v>
      </c>
      <c r="M36" s="37">
        <v>63</v>
      </c>
      <c r="N36" s="37">
        <v>63</v>
      </c>
      <c r="O36" s="37">
        <v>57</v>
      </c>
      <c r="P36" s="37">
        <v>60</v>
      </c>
      <c r="S36" t="s">
        <v>106</v>
      </c>
      <c r="T36" s="84">
        <f>L36/L$54</f>
        <v>3.2693984306887532E-2</v>
      </c>
      <c r="U36" s="84">
        <f>M36/M$54</f>
        <v>2.8584392014519056E-2</v>
      </c>
      <c r="V36" s="84">
        <f>N36/N$54</f>
        <v>3.0071599045346061E-2</v>
      </c>
      <c r="W36" s="84">
        <f>O36/O$54</f>
        <v>2.6243093922651933E-2</v>
      </c>
      <c r="X36" s="84">
        <f>P36/P$54</f>
        <v>2.8680688336520075E-2</v>
      </c>
    </row>
    <row r="37" spans="2:24" x14ac:dyDescent="0.45">
      <c r="B37" s="36"/>
      <c r="C37" s="37"/>
      <c r="D37" s="37"/>
      <c r="E37" s="37"/>
      <c r="F37" s="37"/>
      <c r="G37" s="37"/>
      <c r="K37" s="36"/>
      <c r="L37" s="37"/>
      <c r="M37" s="37"/>
      <c r="N37" s="37"/>
      <c r="O37" s="37"/>
      <c r="P37" s="37"/>
      <c r="T37" s="84"/>
      <c r="U37" s="84"/>
      <c r="V37" s="84"/>
      <c r="W37" s="84"/>
      <c r="X37" s="84"/>
    </row>
    <row r="38" spans="2:24" ht="42.75" x14ac:dyDescent="0.45">
      <c r="B38" s="36"/>
      <c r="C38" s="37"/>
      <c r="D38" s="82">
        <f>(D36-$C36)/$C36</f>
        <v>-0.2857142857142857</v>
      </c>
      <c r="E38" s="82">
        <f t="shared" ref="E38:G38" si="7">(E36-$C36)/$C36</f>
        <v>-0.42857142857142855</v>
      </c>
      <c r="F38" s="82">
        <f t="shared" si="7"/>
        <v>-0.33333333333333331</v>
      </c>
      <c r="G38" s="82">
        <f t="shared" si="7"/>
        <v>-0.52380952380952384</v>
      </c>
      <c r="K38" s="36" t="s">
        <v>109</v>
      </c>
      <c r="L38" s="37">
        <v>25</v>
      </c>
      <c r="M38" s="37">
        <v>15</v>
      </c>
      <c r="N38" s="37">
        <v>19</v>
      </c>
      <c r="O38" s="37">
        <v>32</v>
      </c>
      <c r="P38" s="37">
        <v>25</v>
      </c>
      <c r="S38" t="s">
        <v>109</v>
      </c>
      <c r="T38" s="84">
        <f>L38/L$54</f>
        <v>1.0897994768962511E-2</v>
      </c>
      <c r="U38" s="84">
        <f>M38/M$54</f>
        <v>6.8058076225045372E-3</v>
      </c>
      <c r="V38" s="84">
        <f>N38/N$54</f>
        <v>9.0692124105011939E-3</v>
      </c>
      <c r="W38" s="84">
        <f>O38/O$54</f>
        <v>1.4732965009208104E-2</v>
      </c>
      <c r="X38" s="84">
        <f>P38/P$54</f>
        <v>1.1950286806883365E-2</v>
      </c>
    </row>
    <row r="39" spans="2:24" x14ac:dyDescent="0.45">
      <c r="B39" s="36"/>
      <c r="C39" s="37"/>
      <c r="D39" s="82"/>
      <c r="E39" s="82"/>
      <c r="F39" s="82"/>
      <c r="G39" s="82"/>
      <c r="K39" s="36"/>
      <c r="L39" s="37"/>
      <c r="M39" s="37"/>
      <c r="N39" s="37"/>
      <c r="O39" s="37"/>
      <c r="P39" s="37"/>
      <c r="T39" s="84"/>
      <c r="U39" s="84"/>
      <c r="V39" s="84"/>
      <c r="W39" s="84"/>
      <c r="X39" s="84"/>
    </row>
    <row r="40" spans="2:24" ht="42.75" x14ac:dyDescent="0.45">
      <c r="B40" s="36" t="s">
        <v>93</v>
      </c>
      <c r="C40" s="37">
        <v>62</v>
      </c>
      <c r="D40" s="37">
        <v>68</v>
      </c>
      <c r="E40" s="37">
        <v>70</v>
      </c>
      <c r="F40" s="37">
        <v>75</v>
      </c>
      <c r="G40" s="37">
        <v>73</v>
      </c>
      <c r="K40" s="36" t="s">
        <v>112</v>
      </c>
      <c r="L40" s="37"/>
      <c r="M40" s="37">
        <v>9</v>
      </c>
      <c r="N40" s="37">
        <v>2</v>
      </c>
      <c r="O40" s="37">
        <v>11</v>
      </c>
      <c r="P40" s="37">
        <v>1</v>
      </c>
      <c r="S40" t="s">
        <v>112</v>
      </c>
      <c r="T40" s="84">
        <f>L40/L$54</f>
        <v>0</v>
      </c>
      <c r="U40" s="84">
        <f>M40/M$54</f>
        <v>4.0834845735027219E-3</v>
      </c>
      <c r="V40" s="84">
        <f>N40/N$54</f>
        <v>9.5465393794749406E-4</v>
      </c>
      <c r="W40" s="84">
        <f>O40/O$54</f>
        <v>5.0644567219152855E-3</v>
      </c>
      <c r="X40" s="84">
        <f>P40/P$54</f>
        <v>4.7801147227533459E-4</v>
      </c>
    </row>
    <row r="41" spans="2:24" x14ac:dyDescent="0.45">
      <c r="B41" s="36"/>
      <c r="C41" s="37"/>
      <c r="D41" s="37"/>
      <c r="E41" s="37"/>
      <c r="F41" s="37"/>
      <c r="G41" s="37"/>
      <c r="K41" s="36"/>
      <c r="L41" s="37"/>
      <c r="M41" s="37"/>
      <c r="N41" s="37"/>
      <c r="O41" s="37"/>
      <c r="P41" s="37"/>
      <c r="T41" s="84"/>
      <c r="U41" s="84"/>
      <c r="V41" s="84"/>
      <c r="W41" s="84"/>
      <c r="X41" s="84"/>
    </row>
    <row r="42" spans="2:24" ht="57" x14ac:dyDescent="0.45">
      <c r="B42" s="36"/>
      <c r="C42" s="37"/>
      <c r="D42" s="82">
        <f>(D40-$C40)/$C40</f>
        <v>9.6774193548387094E-2</v>
      </c>
      <c r="E42" s="82">
        <f t="shared" ref="E42:G42" si="8">(E40-$C40)/$C40</f>
        <v>0.12903225806451613</v>
      </c>
      <c r="F42" s="82">
        <f t="shared" si="8"/>
        <v>0.20967741935483872</v>
      </c>
      <c r="G42" s="82">
        <f t="shared" si="8"/>
        <v>0.17741935483870969</v>
      </c>
      <c r="K42" s="36" t="s">
        <v>93</v>
      </c>
      <c r="L42" s="37">
        <v>34</v>
      </c>
      <c r="M42" s="37">
        <v>29</v>
      </c>
      <c r="N42" s="37">
        <v>30</v>
      </c>
      <c r="O42" s="37">
        <v>19</v>
      </c>
      <c r="P42" s="37">
        <v>20</v>
      </c>
      <c r="S42" t="s">
        <v>93</v>
      </c>
      <c r="T42" s="84">
        <f>L42/L$54</f>
        <v>1.4821272885789015E-2</v>
      </c>
      <c r="U42" s="84">
        <f>M42/M$54</f>
        <v>1.3157894736842105E-2</v>
      </c>
      <c r="V42" s="84">
        <f>N42/N$54</f>
        <v>1.4319809069212411E-2</v>
      </c>
      <c r="W42" s="84">
        <f>O42/O$54</f>
        <v>8.7476979742173114E-3</v>
      </c>
      <c r="X42" s="84">
        <f>P42/P$54</f>
        <v>9.5602294455066923E-3</v>
      </c>
    </row>
    <row r="43" spans="2:24" x14ac:dyDescent="0.45">
      <c r="B43" s="36"/>
      <c r="C43" s="37"/>
      <c r="D43" s="82"/>
      <c r="E43" s="82"/>
      <c r="F43" s="82"/>
      <c r="G43" s="82"/>
      <c r="K43" s="36"/>
      <c r="L43" s="37"/>
      <c r="M43" s="37"/>
      <c r="N43" s="37"/>
      <c r="O43" s="37"/>
      <c r="P43" s="37"/>
      <c r="T43" s="84"/>
      <c r="U43" s="84"/>
      <c r="V43" s="84"/>
      <c r="W43" s="84"/>
      <c r="X43" s="84"/>
    </row>
    <row r="44" spans="2:24" ht="42.75" x14ac:dyDescent="0.45">
      <c r="B44" s="36" t="s">
        <v>95</v>
      </c>
      <c r="C44" s="37">
        <v>24</v>
      </c>
      <c r="D44" s="37">
        <v>16</v>
      </c>
      <c r="E44" s="37">
        <v>11</v>
      </c>
      <c r="F44" s="37">
        <v>14</v>
      </c>
      <c r="G44" s="37">
        <v>10</v>
      </c>
      <c r="K44" s="36" t="s">
        <v>114</v>
      </c>
      <c r="L44" s="37">
        <v>15</v>
      </c>
      <c r="M44" s="37">
        <v>9</v>
      </c>
      <c r="N44" s="37">
        <v>4</v>
      </c>
      <c r="O44" s="37">
        <v>1</v>
      </c>
      <c r="P44" s="37">
        <v>7</v>
      </c>
      <c r="S44" t="s">
        <v>114</v>
      </c>
      <c r="T44" s="84">
        <f>L44/L$54</f>
        <v>6.5387968613775061E-3</v>
      </c>
      <c r="U44" s="84">
        <f>M44/M$54</f>
        <v>4.0834845735027219E-3</v>
      </c>
      <c r="V44" s="84">
        <f>N44/N$54</f>
        <v>1.9093078758949881E-3</v>
      </c>
      <c r="W44" s="84">
        <f>O44/O$54</f>
        <v>4.6040515653775324E-4</v>
      </c>
      <c r="X44" s="84">
        <f>P44/P$54</f>
        <v>3.3460803059273425E-3</v>
      </c>
    </row>
    <row r="45" spans="2:24" x14ac:dyDescent="0.45">
      <c r="B45" s="36"/>
      <c r="C45" s="37"/>
      <c r="D45" s="37"/>
      <c r="E45" s="37"/>
      <c r="F45" s="37"/>
      <c r="G45" s="37"/>
      <c r="K45" s="36"/>
      <c r="L45" s="37"/>
      <c r="M45" s="37"/>
      <c r="N45" s="37"/>
      <c r="O45" s="37"/>
      <c r="P45" s="37"/>
      <c r="T45" s="84"/>
      <c r="U45" s="84"/>
      <c r="V45" s="84"/>
      <c r="W45" s="84"/>
      <c r="X45" s="84"/>
    </row>
    <row r="46" spans="2:24" ht="42.75" x14ac:dyDescent="0.45">
      <c r="B46" s="36"/>
      <c r="C46" s="37"/>
      <c r="D46" s="82">
        <f>(D44-$C44)/$C44</f>
        <v>-0.33333333333333331</v>
      </c>
      <c r="E46" s="82">
        <f t="shared" ref="E46:G46" si="9">(E44-$C44)/$C44</f>
        <v>-0.54166666666666663</v>
      </c>
      <c r="F46" s="82">
        <f t="shared" si="9"/>
        <v>-0.41666666666666669</v>
      </c>
      <c r="G46" s="82">
        <f t="shared" si="9"/>
        <v>-0.58333333333333337</v>
      </c>
      <c r="K46" s="36" t="s">
        <v>116</v>
      </c>
      <c r="L46" s="37">
        <v>21</v>
      </c>
      <c r="M46" s="37">
        <v>18</v>
      </c>
      <c r="N46" s="37">
        <v>18</v>
      </c>
      <c r="O46" s="37">
        <v>24</v>
      </c>
      <c r="P46" s="37">
        <v>17</v>
      </c>
      <c r="S46" t="s">
        <v>116</v>
      </c>
      <c r="T46" s="84">
        <f>L46/L$54</f>
        <v>9.1543156059285084E-3</v>
      </c>
      <c r="U46" s="84">
        <f>M46/M$54</f>
        <v>8.1669691470054439E-3</v>
      </c>
      <c r="V46" s="84">
        <f>N46/N$54</f>
        <v>8.591885441527447E-3</v>
      </c>
      <c r="W46" s="84">
        <f>O46/O$54</f>
        <v>1.1049723756906077E-2</v>
      </c>
      <c r="X46" s="84">
        <f>P46/P$54</f>
        <v>8.126195028680689E-3</v>
      </c>
    </row>
    <row r="47" spans="2:24" x14ac:dyDescent="0.45">
      <c r="B47" s="36"/>
      <c r="C47" s="37"/>
      <c r="D47" s="82"/>
      <c r="E47" s="82"/>
      <c r="F47" s="82"/>
      <c r="G47" s="82"/>
      <c r="K47" s="36"/>
      <c r="L47" s="37"/>
      <c r="M47" s="37"/>
      <c r="N47" s="37"/>
      <c r="O47" s="37"/>
      <c r="P47" s="37"/>
      <c r="T47" s="84"/>
      <c r="U47" s="84"/>
      <c r="V47" s="84"/>
      <c r="W47" s="84"/>
      <c r="X47" s="84"/>
    </row>
    <row r="48" spans="2:24" ht="57" x14ac:dyDescent="0.45">
      <c r="B48" s="36" t="s">
        <v>97</v>
      </c>
      <c r="C48" s="37">
        <v>125</v>
      </c>
      <c r="D48" s="37">
        <v>120</v>
      </c>
      <c r="E48" s="37">
        <v>124</v>
      </c>
      <c r="F48" s="37">
        <v>117</v>
      </c>
      <c r="G48" s="37">
        <v>117</v>
      </c>
      <c r="K48" s="36" t="s">
        <v>118</v>
      </c>
      <c r="L48" s="37">
        <v>1</v>
      </c>
      <c r="M48" s="37">
        <v>9</v>
      </c>
      <c r="N48" s="37">
        <v>1</v>
      </c>
      <c r="O48" s="37">
        <v>6</v>
      </c>
      <c r="P48" s="37">
        <v>4</v>
      </c>
      <c r="S48" t="s">
        <v>118</v>
      </c>
      <c r="T48" s="84">
        <f>L48/L$54</f>
        <v>4.3591979075850045E-4</v>
      </c>
      <c r="U48" s="84">
        <f>M48/M$54</f>
        <v>4.0834845735027219E-3</v>
      </c>
      <c r="V48" s="84">
        <f>N48/N$54</f>
        <v>4.7732696897374703E-4</v>
      </c>
      <c r="W48" s="84">
        <f>O48/O$54</f>
        <v>2.7624309392265192E-3</v>
      </c>
      <c r="X48" s="84">
        <f>P48/P$54</f>
        <v>1.9120458891013384E-3</v>
      </c>
    </row>
    <row r="49" spans="2:24" x14ac:dyDescent="0.45">
      <c r="B49" s="36"/>
      <c r="C49" s="37"/>
      <c r="D49" s="37"/>
      <c r="E49" s="37"/>
      <c r="F49" s="37"/>
      <c r="G49" s="37"/>
      <c r="K49" s="36"/>
      <c r="L49" s="37"/>
      <c r="M49" s="37"/>
      <c r="N49" s="37"/>
      <c r="O49" s="37"/>
      <c r="P49" s="37"/>
      <c r="T49" s="84"/>
      <c r="U49" s="84"/>
      <c r="V49" s="84"/>
      <c r="W49" s="84"/>
      <c r="X49" s="84"/>
    </row>
    <row r="50" spans="2:24" ht="57" x14ac:dyDescent="0.45">
      <c r="B50" s="36"/>
      <c r="C50" s="37"/>
      <c r="D50" s="82">
        <f>(D48-$C48)/$C48</f>
        <v>-0.04</v>
      </c>
      <c r="E50" s="82">
        <f t="shared" ref="E50:G50" si="10">(E48-$C48)/$C48</f>
        <v>-8.0000000000000002E-3</v>
      </c>
      <c r="F50" s="82">
        <f t="shared" si="10"/>
        <v>-6.4000000000000001E-2</v>
      </c>
      <c r="G50" s="82">
        <f t="shared" si="10"/>
        <v>-6.4000000000000001E-2</v>
      </c>
      <c r="K50" s="36" t="s">
        <v>120</v>
      </c>
      <c r="L50" s="37">
        <v>107</v>
      </c>
      <c r="M50" s="37">
        <v>585</v>
      </c>
      <c r="N50" s="37">
        <v>398</v>
      </c>
      <c r="O50" s="37">
        <v>428</v>
      </c>
      <c r="P50" s="37">
        <v>191</v>
      </c>
      <c r="S50" t="s">
        <v>120</v>
      </c>
      <c r="T50" s="84">
        <f>L50/L$54</f>
        <v>4.6643417611159546E-2</v>
      </c>
      <c r="U50" s="84">
        <f>M50/M$54</f>
        <v>0.26542649727767698</v>
      </c>
      <c r="V50" s="84">
        <f>N50/N$54</f>
        <v>0.1899761336515513</v>
      </c>
      <c r="W50" s="84">
        <f>O50/O$54</f>
        <v>0.19705340699815838</v>
      </c>
      <c r="X50" s="84">
        <f>P50/P$54</f>
        <v>9.1300191204588904E-2</v>
      </c>
    </row>
    <row r="51" spans="2:24" x14ac:dyDescent="0.45">
      <c r="B51" s="36"/>
      <c r="C51" s="37"/>
      <c r="D51" s="82"/>
      <c r="E51" s="82"/>
      <c r="F51" s="82"/>
      <c r="G51" s="82"/>
      <c r="K51" s="36"/>
      <c r="L51" s="37"/>
      <c r="M51" s="37"/>
      <c r="N51" s="37"/>
      <c r="O51" s="37"/>
      <c r="P51" s="37"/>
      <c r="T51" s="84"/>
      <c r="U51" s="84"/>
      <c r="V51" s="84"/>
      <c r="W51" s="84"/>
      <c r="X51" s="84"/>
    </row>
    <row r="52" spans="2:24" ht="71.25" x14ac:dyDescent="0.45">
      <c r="B52" s="28" t="s">
        <v>99</v>
      </c>
      <c r="C52" s="24">
        <v>1234</v>
      </c>
      <c r="D52" s="24">
        <v>1490</v>
      </c>
      <c r="E52" s="24">
        <v>1339</v>
      </c>
      <c r="F52" s="24">
        <v>1389</v>
      </c>
      <c r="G52" s="24">
        <v>1284</v>
      </c>
      <c r="K52" s="36" t="s">
        <v>121</v>
      </c>
      <c r="L52" s="37">
        <v>10</v>
      </c>
      <c r="M52" s="37">
        <v>4</v>
      </c>
      <c r="N52" s="37">
        <v>3</v>
      </c>
      <c r="O52" s="37">
        <v>2</v>
      </c>
      <c r="P52" s="37">
        <v>2</v>
      </c>
      <c r="S52" t="s">
        <v>121</v>
      </c>
      <c r="T52" s="84">
        <f>L52/L$54</f>
        <v>4.3591979075850041E-3</v>
      </c>
      <c r="U52" s="84">
        <f>M52/M$54</f>
        <v>1.8148820326678765E-3</v>
      </c>
      <c r="V52" s="84">
        <f>N52/N$54</f>
        <v>1.431980906921241E-3</v>
      </c>
      <c r="W52" s="84">
        <f>O52/O$54</f>
        <v>9.2081031307550648E-4</v>
      </c>
      <c r="X52" s="84">
        <f>P52/P$54</f>
        <v>9.5602294455066918E-4</v>
      </c>
    </row>
    <row r="53" spans="2:24" x14ac:dyDescent="0.45">
      <c r="B53" s="28"/>
      <c r="C53" s="24"/>
      <c r="D53" s="24"/>
      <c r="E53" s="24"/>
      <c r="F53" s="24"/>
      <c r="G53" s="24"/>
      <c r="K53" s="36"/>
      <c r="L53" s="37"/>
      <c r="M53" s="37"/>
      <c r="N53" s="37"/>
      <c r="O53" s="37"/>
      <c r="P53" s="37"/>
      <c r="T53" s="84"/>
      <c r="U53" s="84"/>
      <c r="V53" s="84"/>
      <c r="W53" s="84"/>
      <c r="X53" s="84"/>
    </row>
    <row r="54" spans="2:24" ht="28.5" x14ac:dyDescent="0.45">
      <c r="B54" s="28"/>
      <c r="C54" s="24"/>
      <c r="D54" s="83">
        <f>(D52-$C52)/$C52</f>
        <v>0.20745542949756887</v>
      </c>
      <c r="E54" s="83">
        <f t="shared" ref="E54:G54" si="11">(E52-$C52)/$C52</f>
        <v>8.5089141004862243E-2</v>
      </c>
      <c r="F54" s="83">
        <f t="shared" si="11"/>
        <v>0.12560777957860617</v>
      </c>
      <c r="G54" s="83">
        <f t="shared" si="11"/>
        <v>4.0518638573743923E-2</v>
      </c>
      <c r="K54" s="29" t="s">
        <v>122</v>
      </c>
      <c r="L54" s="21">
        <v>2294</v>
      </c>
      <c r="M54" s="21">
        <v>2204</v>
      </c>
      <c r="N54" s="21">
        <v>2095</v>
      </c>
      <c r="O54" s="21">
        <v>2172</v>
      </c>
      <c r="P54" s="21">
        <v>2092</v>
      </c>
      <c r="S54" t="s">
        <v>122</v>
      </c>
      <c r="T54" s="84">
        <f>L54/L$54</f>
        <v>1</v>
      </c>
      <c r="U54" s="84">
        <f>M54/M$54</f>
        <v>1</v>
      </c>
      <c r="V54" s="84">
        <f>N54/N$54</f>
        <v>1</v>
      </c>
      <c r="W54" s="84">
        <f>O54/O$54</f>
        <v>1</v>
      </c>
      <c r="X54" s="84">
        <f>P54/P$54</f>
        <v>1</v>
      </c>
    </row>
    <row r="55" spans="2:24" ht="57" x14ac:dyDescent="0.45">
      <c r="B55" s="36" t="s">
        <v>101</v>
      </c>
      <c r="C55" s="37">
        <v>436</v>
      </c>
      <c r="D55" s="37">
        <v>389</v>
      </c>
      <c r="E55" s="37">
        <v>418</v>
      </c>
      <c r="F55" s="37">
        <v>445</v>
      </c>
      <c r="G55" s="37">
        <v>537</v>
      </c>
      <c r="K55" s="30" t="s">
        <v>123</v>
      </c>
      <c r="L55" s="16"/>
      <c r="M55" s="16"/>
      <c r="N55" s="16"/>
      <c r="O55" s="16"/>
      <c r="P55" s="16"/>
      <c r="S55" t="s">
        <v>123</v>
      </c>
      <c r="T55" s="16"/>
      <c r="U55" s="16"/>
      <c r="V55" s="16"/>
      <c r="W55" s="16"/>
      <c r="X55" s="16"/>
    </row>
    <row r="56" spans="2:24" x14ac:dyDescent="0.45">
      <c r="B56" s="36"/>
      <c r="C56" s="37"/>
      <c r="D56" s="82">
        <f>(D55-$C55)/$C55</f>
        <v>-0.10779816513761468</v>
      </c>
      <c r="E56" s="82">
        <f t="shared" ref="E56:G56" si="12">(E55-$C55)/$C55</f>
        <v>-4.1284403669724773E-2</v>
      </c>
      <c r="F56" s="82">
        <f t="shared" si="12"/>
        <v>2.0642201834862386E-2</v>
      </c>
      <c r="G56" s="82">
        <f t="shared" si="12"/>
        <v>0.23165137614678899</v>
      </c>
      <c r="K56" s="31" t="s">
        <v>124</v>
      </c>
      <c r="L56" s="32">
        <v>130</v>
      </c>
      <c r="M56" s="32">
        <v>620</v>
      </c>
      <c r="N56" s="32">
        <v>685</v>
      </c>
      <c r="O56" s="32">
        <v>713</v>
      </c>
      <c r="P56" s="32">
        <v>787</v>
      </c>
      <c r="S56" t="s">
        <v>124</v>
      </c>
      <c r="T56" s="84">
        <f>L56/L$115</f>
        <v>5.6669572798605058E-2</v>
      </c>
      <c r="U56" s="84">
        <f>M56/M$115</f>
        <v>0.2813067150635209</v>
      </c>
      <c r="V56" s="84">
        <f>N56/N$115</f>
        <v>0.32696897374701672</v>
      </c>
      <c r="W56" s="84">
        <f>O56/O$115</f>
        <v>0.32826887661141807</v>
      </c>
      <c r="X56" s="84">
        <f>P56/P$115</f>
        <v>0.37619502868068833</v>
      </c>
    </row>
    <row r="57" spans="2:24" x14ac:dyDescent="0.45">
      <c r="B57" s="36"/>
      <c r="C57" s="37"/>
      <c r="D57" s="82"/>
      <c r="E57" s="82"/>
      <c r="F57" s="82"/>
      <c r="G57" s="82"/>
      <c r="K57" s="31"/>
      <c r="L57" s="32"/>
      <c r="M57" s="32"/>
      <c r="N57" s="32"/>
      <c r="O57" s="32"/>
      <c r="P57" s="32"/>
      <c r="T57" s="84"/>
      <c r="U57" s="84"/>
      <c r="V57" s="84"/>
      <c r="W57" s="84"/>
      <c r="X57" s="84"/>
    </row>
    <row r="58" spans="2:24" ht="85.5" x14ac:dyDescent="0.45">
      <c r="B58" s="36" t="s">
        <v>91</v>
      </c>
      <c r="C58" s="37">
        <v>408</v>
      </c>
      <c r="D58" s="37">
        <v>297</v>
      </c>
      <c r="E58" s="37">
        <v>307</v>
      </c>
      <c r="F58" s="37">
        <v>293</v>
      </c>
      <c r="G58" s="37">
        <v>323</v>
      </c>
      <c r="K58" s="36" t="s">
        <v>125</v>
      </c>
      <c r="L58" s="37">
        <v>83</v>
      </c>
      <c r="M58" s="37">
        <v>570</v>
      </c>
      <c r="N58" s="37">
        <v>632</v>
      </c>
      <c r="O58" s="37">
        <v>662</v>
      </c>
      <c r="P58" s="37">
        <v>736</v>
      </c>
      <c r="S58" t="s">
        <v>125</v>
      </c>
      <c r="T58" s="84">
        <f>L58/L$115</f>
        <v>3.6181342632955533E-2</v>
      </c>
      <c r="U58" s="84">
        <f>M58/M$115</f>
        <v>0.25862068965517243</v>
      </c>
      <c r="V58" s="84">
        <f>N58/N$115</f>
        <v>0.30167064439140812</v>
      </c>
      <c r="W58" s="84">
        <f>O58/O$115</f>
        <v>0.30478821362799263</v>
      </c>
      <c r="X58" s="84">
        <f>P58/P$115</f>
        <v>0.35181644359464626</v>
      </c>
    </row>
    <row r="59" spans="2:24" x14ac:dyDescent="0.45">
      <c r="B59" s="36"/>
      <c r="C59" s="37"/>
      <c r="D59" s="37"/>
      <c r="E59" s="37"/>
      <c r="F59" s="37"/>
      <c r="G59" s="37"/>
      <c r="K59" s="36"/>
      <c r="L59" s="37"/>
      <c r="M59" s="37"/>
      <c r="N59" s="37"/>
      <c r="O59" s="37"/>
      <c r="P59" s="37"/>
      <c r="T59" s="84"/>
      <c r="U59" s="84"/>
      <c r="V59" s="84"/>
      <c r="W59" s="84"/>
      <c r="X59" s="84"/>
    </row>
    <row r="60" spans="2:24" ht="28.5" x14ac:dyDescent="0.45">
      <c r="B60" s="36"/>
      <c r="C60" s="37"/>
      <c r="D60" s="82">
        <f>(D58-$C58)/$C58</f>
        <v>-0.27205882352941174</v>
      </c>
      <c r="E60" s="82">
        <f t="shared" ref="E60:G60" si="13">(E58-$C58)/$C58</f>
        <v>-0.24754901960784315</v>
      </c>
      <c r="F60" s="82">
        <f t="shared" si="13"/>
        <v>-0.28186274509803921</v>
      </c>
      <c r="G60" s="82">
        <f t="shared" si="13"/>
        <v>-0.20833333333333334</v>
      </c>
      <c r="K60" s="36" t="s">
        <v>126</v>
      </c>
      <c r="L60" s="37">
        <v>187</v>
      </c>
      <c r="M60" s="37">
        <v>187</v>
      </c>
      <c r="N60" s="37">
        <v>187</v>
      </c>
      <c r="O60" s="37">
        <v>187</v>
      </c>
      <c r="P60" s="37">
        <v>187</v>
      </c>
      <c r="S60" t="s">
        <v>126</v>
      </c>
      <c r="T60" s="84">
        <f>L60/L$115</f>
        <v>8.1517000871839579E-2</v>
      </c>
      <c r="U60" s="84">
        <f>M60/M$115</f>
        <v>8.4845735027223229E-2</v>
      </c>
      <c r="V60" s="84">
        <f>N60/N$115</f>
        <v>8.9260143198090697E-2</v>
      </c>
      <c r="W60" s="84">
        <f>O60/O$115</f>
        <v>8.6095764272559855E-2</v>
      </c>
      <c r="X60" s="84">
        <f>P60/P$115</f>
        <v>8.9388145315487569E-2</v>
      </c>
    </row>
    <row r="61" spans="2:24" x14ac:dyDescent="0.45">
      <c r="B61" s="36"/>
      <c r="C61" s="37"/>
      <c r="D61" s="82"/>
      <c r="E61" s="82"/>
      <c r="F61" s="82"/>
      <c r="G61" s="82"/>
      <c r="K61" s="36"/>
      <c r="L61" s="37"/>
      <c r="M61" s="37"/>
      <c r="N61" s="37"/>
      <c r="O61" s="37"/>
      <c r="P61" s="37"/>
      <c r="T61" s="84"/>
      <c r="U61" s="84"/>
      <c r="V61" s="84"/>
      <c r="W61" s="84"/>
      <c r="X61" s="84"/>
    </row>
    <row r="62" spans="2:24" ht="28.5" x14ac:dyDescent="0.45">
      <c r="B62" s="36" t="s">
        <v>104</v>
      </c>
      <c r="C62" s="37">
        <v>100</v>
      </c>
      <c r="D62" s="37">
        <v>64</v>
      </c>
      <c r="E62" s="37">
        <v>76</v>
      </c>
      <c r="F62" s="37">
        <v>69</v>
      </c>
      <c r="G62" s="37">
        <v>96</v>
      </c>
      <c r="K62" s="36" t="s">
        <v>127</v>
      </c>
      <c r="L62" s="37">
        <v>210</v>
      </c>
      <c r="M62" s="37">
        <v>210</v>
      </c>
      <c r="N62" s="37">
        <v>210</v>
      </c>
      <c r="O62" s="37">
        <v>210</v>
      </c>
      <c r="P62" s="37">
        <v>210</v>
      </c>
      <c r="S62" t="s">
        <v>127</v>
      </c>
      <c r="T62" s="84">
        <f>L62/L$115</f>
        <v>9.1543156059285091E-2</v>
      </c>
      <c r="U62" s="84">
        <f>M62/M$115</f>
        <v>9.5281306715063518E-2</v>
      </c>
      <c r="V62" s="84">
        <f>N62/N$115</f>
        <v>0.10023866348448687</v>
      </c>
      <c r="W62" s="84">
        <f>O62/O$115</f>
        <v>9.668508287292818E-2</v>
      </c>
      <c r="X62" s="84">
        <f>P62/P$115</f>
        <v>0.10038240917782026</v>
      </c>
    </row>
    <row r="63" spans="2:24" x14ac:dyDescent="0.45">
      <c r="B63" s="36"/>
      <c r="C63" s="37"/>
      <c r="D63" s="37"/>
      <c r="E63" s="37"/>
      <c r="F63" s="37"/>
      <c r="G63" s="37"/>
      <c r="K63" s="36"/>
      <c r="L63" s="37"/>
      <c r="M63" s="37"/>
      <c r="N63" s="37"/>
      <c r="O63" s="37"/>
      <c r="P63" s="37"/>
      <c r="T63" s="84"/>
      <c r="U63" s="84"/>
      <c r="V63" s="84"/>
      <c r="W63" s="84"/>
      <c r="X63" s="84"/>
    </row>
    <row r="64" spans="2:24" ht="28.5" x14ac:dyDescent="0.45">
      <c r="B64" s="36"/>
      <c r="C64" s="37"/>
      <c r="D64" s="82">
        <f>(D62-$C62)/$C62</f>
        <v>-0.36</v>
      </c>
      <c r="E64" s="82">
        <f t="shared" ref="E64:G64" si="14">(E62-$C62)/$C62</f>
        <v>-0.24</v>
      </c>
      <c r="F64" s="82">
        <f t="shared" si="14"/>
        <v>-0.31</v>
      </c>
      <c r="G64" s="82">
        <f t="shared" si="14"/>
        <v>-0.04</v>
      </c>
      <c r="K64" s="36" t="s">
        <v>128</v>
      </c>
      <c r="L64" s="37">
        <v>803</v>
      </c>
      <c r="M64" s="37">
        <v>1412</v>
      </c>
      <c r="N64" s="37">
        <v>1.284</v>
      </c>
      <c r="O64" s="37">
        <v>1332</v>
      </c>
      <c r="P64" s="37">
        <v>1242</v>
      </c>
      <c r="S64" t="s">
        <v>128</v>
      </c>
      <c r="T64" s="84">
        <f>L64/L$115</f>
        <v>0.35004359197907586</v>
      </c>
      <c r="U64" s="84">
        <f>M64/M$115</f>
        <v>0.64065335753176045</v>
      </c>
      <c r="V64" s="84">
        <f>N64/N$115</f>
        <v>6.1288782816229113E-4</v>
      </c>
      <c r="W64" s="84">
        <f>O64/O$115</f>
        <v>0.61325966850828728</v>
      </c>
      <c r="X64" s="84">
        <f>P64/P$115</f>
        <v>0.59369024856596553</v>
      </c>
    </row>
    <row r="65" spans="2:24" x14ac:dyDescent="0.45">
      <c r="B65" s="36"/>
      <c r="C65" s="37"/>
      <c r="D65" s="82"/>
      <c r="E65" s="82"/>
      <c r="F65" s="82"/>
      <c r="G65" s="82"/>
      <c r="K65" s="36"/>
      <c r="L65" s="37"/>
      <c r="M65" s="37"/>
      <c r="N65" s="37"/>
      <c r="O65" s="37"/>
      <c r="P65" s="37"/>
      <c r="T65" s="84"/>
      <c r="U65" s="84"/>
      <c r="V65" s="84"/>
      <c r="W65" s="84"/>
      <c r="X65" s="84"/>
    </row>
    <row r="66" spans="2:24" ht="28.5" x14ac:dyDescent="0.45">
      <c r="B66" s="36" t="s">
        <v>106</v>
      </c>
      <c r="C66" s="37">
        <v>75</v>
      </c>
      <c r="D66" s="37">
        <v>63</v>
      </c>
      <c r="E66" s="37">
        <v>63</v>
      </c>
      <c r="F66" s="37">
        <v>57</v>
      </c>
      <c r="G66" s="37">
        <v>60</v>
      </c>
      <c r="K66" s="36" t="s">
        <v>129</v>
      </c>
      <c r="L66" s="37">
        <v>-84</v>
      </c>
      <c r="M66" s="37">
        <v>-76</v>
      </c>
      <c r="N66" s="37">
        <v>-1</v>
      </c>
      <c r="O66" s="37">
        <v>4</v>
      </c>
      <c r="P66" s="37">
        <v>-4</v>
      </c>
      <c r="S66" t="s">
        <v>129</v>
      </c>
      <c r="T66" s="84">
        <f>L66/L$115</f>
        <v>-3.6617262423714034E-2</v>
      </c>
      <c r="U66" s="84">
        <f>M66/M$115</f>
        <v>-3.4482758620689655E-2</v>
      </c>
      <c r="V66" s="84">
        <f>N66/N$115</f>
        <v>-4.7732696897374703E-4</v>
      </c>
      <c r="W66" s="84">
        <f>O66/O$115</f>
        <v>1.841620626151013E-3</v>
      </c>
      <c r="X66" s="84">
        <f>P66/P$115</f>
        <v>-1.9120458891013384E-3</v>
      </c>
    </row>
    <row r="67" spans="2:24" x14ac:dyDescent="0.45">
      <c r="B67" s="36"/>
      <c r="C67" s="37"/>
      <c r="D67" s="37"/>
      <c r="E67" s="37"/>
      <c r="F67" s="37"/>
      <c r="G67" s="37"/>
      <c r="K67" s="36"/>
      <c r="L67" s="37"/>
      <c r="M67" s="37"/>
      <c r="N67" s="37"/>
      <c r="O67" s="37"/>
      <c r="P67" s="37"/>
      <c r="T67" s="84"/>
      <c r="U67" s="84"/>
      <c r="V67" s="84"/>
      <c r="W67" s="84"/>
      <c r="X67" s="84"/>
    </row>
    <row r="68" spans="2:24" ht="28.5" x14ac:dyDescent="0.45">
      <c r="B68" s="36"/>
      <c r="C68" s="37"/>
      <c r="D68" s="82">
        <f>(D66-$C66)/$C66</f>
        <v>-0.16</v>
      </c>
      <c r="E68" s="82">
        <f t="shared" ref="E68:G68" si="15">(E66-$C66)/$C66</f>
        <v>-0.16</v>
      </c>
      <c r="F68" s="82">
        <f t="shared" si="15"/>
        <v>-0.24</v>
      </c>
      <c r="G68" s="82">
        <f t="shared" si="15"/>
        <v>-0.2</v>
      </c>
      <c r="K68" s="36" t="s">
        <v>130</v>
      </c>
      <c r="L68" s="37">
        <v>-5</v>
      </c>
      <c r="M68" s="37">
        <v>-42</v>
      </c>
      <c r="N68" s="37">
        <v>-15</v>
      </c>
      <c r="O68" s="37">
        <v>-28</v>
      </c>
      <c r="P68" s="37">
        <v>15</v>
      </c>
      <c r="S68" t="s">
        <v>130</v>
      </c>
      <c r="T68" s="84">
        <f>L68/L$115</f>
        <v>-2.179598953792502E-3</v>
      </c>
      <c r="U68" s="84">
        <f>M68/M$115</f>
        <v>-1.9056261343012703E-2</v>
      </c>
      <c r="V68" s="84">
        <f>N68/N$115</f>
        <v>-7.1599045346062056E-3</v>
      </c>
      <c r="W68" s="84">
        <f>O68/O$115</f>
        <v>-1.289134438305709E-2</v>
      </c>
      <c r="X68" s="84">
        <f>P68/P$115</f>
        <v>7.1701720841300188E-3</v>
      </c>
    </row>
    <row r="69" spans="2:24" x14ac:dyDescent="0.45">
      <c r="B69" s="36"/>
      <c r="C69" s="37"/>
      <c r="D69" s="82"/>
      <c r="E69" s="82"/>
      <c r="F69" s="82"/>
      <c r="G69" s="82"/>
      <c r="K69" s="36"/>
      <c r="L69" s="37"/>
      <c r="M69" s="37"/>
      <c r="N69" s="37"/>
      <c r="O69" s="37"/>
      <c r="P69" s="37"/>
      <c r="T69" s="84"/>
      <c r="U69" s="84"/>
      <c r="V69" s="84"/>
      <c r="W69" s="84"/>
      <c r="X69" s="84"/>
    </row>
    <row r="70" spans="2:24" ht="142.5" x14ac:dyDescent="0.45">
      <c r="B70" s="36" t="s">
        <v>109</v>
      </c>
      <c r="C70" s="37">
        <v>25</v>
      </c>
      <c r="D70" s="37">
        <v>15</v>
      </c>
      <c r="E70" s="37">
        <v>19</v>
      </c>
      <c r="F70" s="37">
        <v>32</v>
      </c>
      <c r="G70" s="37">
        <v>25</v>
      </c>
      <c r="K70" s="36" t="s">
        <v>131</v>
      </c>
      <c r="L70" s="37">
        <v>-1028</v>
      </c>
      <c r="M70" s="37">
        <v>-1122</v>
      </c>
      <c r="N70" s="37">
        <v>-1033</v>
      </c>
      <c r="O70" s="37">
        <v>-1043</v>
      </c>
      <c r="P70" s="37">
        <v>-914</v>
      </c>
      <c r="S70" t="s">
        <v>131</v>
      </c>
      <c r="T70" s="84">
        <f>L70/L$115</f>
        <v>-0.44812554489973844</v>
      </c>
      <c r="U70" s="84">
        <f>M70/M$115</f>
        <v>-0.50907441016333943</v>
      </c>
      <c r="V70" s="84">
        <f>N70/N$115</f>
        <v>-0.49307875894988068</v>
      </c>
      <c r="W70" s="84">
        <f>O70/O$115</f>
        <v>-0.48020257826887663</v>
      </c>
      <c r="X70" s="84">
        <f>P70/P$115</f>
        <v>-0.43690248565965584</v>
      </c>
    </row>
    <row r="71" spans="2:24" x14ac:dyDescent="0.45">
      <c r="B71" s="36"/>
      <c r="C71" s="37"/>
      <c r="D71" s="37"/>
      <c r="E71" s="37"/>
      <c r="F71" s="37"/>
      <c r="G71" s="37"/>
      <c r="K71" s="36"/>
      <c r="L71" s="37"/>
      <c r="M71" s="37"/>
      <c r="N71" s="37"/>
      <c r="O71" s="37"/>
      <c r="P71" s="37"/>
      <c r="T71" s="84"/>
      <c r="U71" s="84"/>
      <c r="V71" s="84"/>
      <c r="W71" s="84"/>
      <c r="X71" s="84"/>
    </row>
    <row r="72" spans="2:24" ht="42.75" x14ac:dyDescent="0.45">
      <c r="B72" s="36"/>
      <c r="C72" s="37"/>
      <c r="D72" s="82">
        <f>(D70-$C70)/$C70</f>
        <v>-0.4</v>
      </c>
      <c r="E72" s="82">
        <f t="shared" ref="E72:G72" si="16">(E70-$C70)/$C70</f>
        <v>-0.24</v>
      </c>
      <c r="F72" s="82">
        <f t="shared" si="16"/>
        <v>0.28000000000000003</v>
      </c>
      <c r="G72" s="82">
        <f t="shared" si="16"/>
        <v>0</v>
      </c>
      <c r="K72" s="36" t="s">
        <v>132</v>
      </c>
      <c r="L72" s="37">
        <v>47</v>
      </c>
      <c r="M72" s="37">
        <v>51</v>
      </c>
      <c r="N72" s="37">
        <v>54</v>
      </c>
      <c r="O72" s="37">
        <v>52</v>
      </c>
      <c r="P72" s="37">
        <v>51</v>
      </c>
      <c r="S72" t="s">
        <v>132</v>
      </c>
      <c r="T72" s="84">
        <f>L72/L$115</f>
        <v>2.0488230165649522E-2</v>
      </c>
      <c r="U72" s="84">
        <f>M72/M$115</f>
        <v>2.3139745916515426E-2</v>
      </c>
      <c r="V72" s="84">
        <f>N72/N$115</f>
        <v>2.5775656324582338E-2</v>
      </c>
      <c r="W72" s="84">
        <f>O72/O$115</f>
        <v>2.3941068139963169E-2</v>
      </c>
      <c r="X72" s="84">
        <f>P72/P$115</f>
        <v>2.4378585086042064E-2</v>
      </c>
    </row>
    <row r="73" spans="2:24" x14ac:dyDescent="0.45">
      <c r="B73" s="36"/>
      <c r="C73" s="37"/>
      <c r="D73" s="82"/>
      <c r="E73" s="82"/>
      <c r="F73" s="82"/>
      <c r="G73" s="82"/>
      <c r="K73" s="36"/>
      <c r="L73" s="37"/>
      <c r="M73" s="37"/>
      <c r="N73" s="37"/>
      <c r="O73" s="37"/>
      <c r="P73" s="37"/>
      <c r="T73" s="84"/>
      <c r="U73" s="84"/>
      <c r="V73" s="84"/>
      <c r="W73" s="84"/>
      <c r="X73" s="84"/>
    </row>
    <row r="74" spans="2:24" ht="42.75" x14ac:dyDescent="0.45">
      <c r="B74" s="36" t="s">
        <v>112</v>
      </c>
      <c r="C74" s="37"/>
      <c r="D74" s="37">
        <v>9</v>
      </c>
      <c r="E74" s="37">
        <v>2</v>
      </c>
      <c r="F74" s="37">
        <v>11</v>
      </c>
      <c r="G74" s="37">
        <v>1</v>
      </c>
      <c r="K74" s="31" t="s">
        <v>133</v>
      </c>
      <c r="L74" s="32">
        <v>1402</v>
      </c>
      <c r="M74" s="32">
        <v>1046</v>
      </c>
      <c r="N74" s="32">
        <v>812</v>
      </c>
      <c r="O74" s="32">
        <v>873</v>
      </c>
      <c r="P74" s="32">
        <v>685</v>
      </c>
      <c r="S74" t="s">
        <v>133</v>
      </c>
      <c r="T74" s="84">
        <f>L74/L$115</f>
        <v>0.61115954664341765</v>
      </c>
      <c r="U74" s="84">
        <f>M74/M$115</f>
        <v>0.47459165154264971</v>
      </c>
      <c r="V74" s="84">
        <f>N74/N$115</f>
        <v>0.38758949880668259</v>
      </c>
      <c r="W74" s="84">
        <f>O74/O$115</f>
        <v>0.40193370165745856</v>
      </c>
      <c r="X74" s="84">
        <f>P74/P$115</f>
        <v>0.32743785850860418</v>
      </c>
    </row>
    <row r="75" spans="2:24" x14ac:dyDescent="0.45">
      <c r="B75" s="36"/>
      <c r="C75" s="37"/>
      <c r="D75" s="37"/>
      <c r="E75" s="37"/>
      <c r="F75" s="37"/>
      <c r="G75" s="37"/>
      <c r="K75" s="31"/>
      <c r="L75" s="32"/>
      <c r="M75" s="32"/>
      <c r="N75" s="32"/>
      <c r="O75" s="32"/>
      <c r="P75" s="32"/>
      <c r="T75" s="84"/>
      <c r="U75" s="84"/>
      <c r="V75" s="84"/>
      <c r="W75" s="84"/>
      <c r="X75" s="84"/>
    </row>
    <row r="76" spans="2:24" ht="114" x14ac:dyDescent="0.45">
      <c r="B76" s="36"/>
      <c r="C76" s="37"/>
      <c r="D76" s="37"/>
      <c r="E76" s="37"/>
      <c r="F76" s="37"/>
      <c r="G76" s="37"/>
      <c r="K76" s="36" t="s">
        <v>134</v>
      </c>
      <c r="L76" s="37">
        <v>1137</v>
      </c>
      <c r="M76" s="37">
        <v>956</v>
      </c>
      <c r="N76" s="37">
        <v>735</v>
      </c>
      <c r="O76" s="37">
        <v>784</v>
      </c>
      <c r="P76" s="37">
        <v>608</v>
      </c>
      <c r="S76" t="s">
        <v>134</v>
      </c>
      <c r="T76" s="84">
        <f>L76/L$115</f>
        <v>0.49564080209241501</v>
      </c>
      <c r="U76" s="84">
        <f>M76/M$115</f>
        <v>0.43375680580762249</v>
      </c>
      <c r="V76" s="84">
        <f>N76/N$115</f>
        <v>0.35083532219570407</v>
      </c>
      <c r="W76" s="84">
        <f>O76/O$115</f>
        <v>0.36095764272559855</v>
      </c>
      <c r="X76" s="84">
        <f>P76/P$115</f>
        <v>0.29063097514340347</v>
      </c>
    </row>
    <row r="77" spans="2:24" x14ac:dyDescent="0.45">
      <c r="B77" s="36"/>
      <c r="C77" s="37"/>
      <c r="D77" s="37"/>
      <c r="E77" s="37"/>
      <c r="F77" s="37"/>
      <c r="G77" s="37"/>
      <c r="K77" s="36"/>
      <c r="L77" s="37"/>
      <c r="M77" s="37"/>
      <c r="N77" s="37"/>
      <c r="O77" s="37"/>
      <c r="P77" s="37"/>
      <c r="T77" s="84"/>
      <c r="U77" s="84"/>
      <c r="V77" s="84"/>
      <c r="W77" s="84"/>
      <c r="X77" s="84"/>
    </row>
    <row r="78" spans="2:24" ht="42.75" x14ac:dyDescent="0.45">
      <c r="B78" s="36" t="s">
        <v>93</v>
      </c>
      <c r="C78" s="37">
        <v>34</v>
      </c>
      <c r="D78" s="37">
        <v>29</v>
      </c>
      <c r="E78" s="37">
        <v>30</v>
      </c>
      <c r="F78" s="37">
        <v>19</v>
      </c>
      <c r="G78" s="37">
        <v>20</v>
      </c>
      <c r="K78" s="36" t="s">
        <v>135</v>
      </c>
      <c r="L78" s="37">
        <v>12</v>
      </c>
      <c r="M78" s="37">
        <v>13</v>
      </c>
      <c r="N78" s="37">
        <v>11</v>
      </c>
      <c r="O78" s="37">
        <v>13</v>
      </c>
      <c r="P78" s="37">
        <v>12</v>
      </c>
      <c r="S78" t="s">
        <v>135</v>
      </c>
      <c r="T78" s="84">
        <f>L78/L$115</f>
        <v>5.2310374891020054E-3</v>
      </c>
      <c r="U78" s="84">
        <f>M78/M$115</f>
        <v>5.8983666061705993E-3</v>
      </c>
      <c r="V78" s="84">
        <f>N78/N$115</f>
        <v>5.2505966587112173E-3</v>
      </c>
      <c r="W78" s="84">
        <f>O78/O$115</f>
        <v>5.9852670349907922E-3</v>
      </c>
      <c r="X78" s="84">
        <f>P78/P$115</f>
        <v>5.7361376673040155E-3</v>
      </c>
    </row>
    <row r="79" spans="2:24" x14ac:dyDescent="0.45">
      <c r="B79" s="36"/>
      <c r="C79" s="37"/>
      <c r="D79" s="37"/>
      <c r="E79" s="37"/>
      <c r="F79" s="37"/>
      <c r="G79" s="37"/>
      <c r="K79" s="36"/>
      <c r="L79" s="37"/>
      <c r="M79" s="37"/>
      <c r="N79" s="37"/>
      <c r="O79" s="37"/>
      <c r="P79" s="37"/>
      <c r="T79" s="84"/>
      <c r="U79" s="84"/>
      <c r="V79" s="84"/>
      <c r="W79" s="84"/>
      <c r="X79" s="84"/>
    </row>
    <row r="80" spans="2:24" ht="42.75" x14ac:dyDescent="0.45">
      <c r="B80" s="36"/>
      <c r="C80" s="37"/>
      <c r="D80" s="37"/>
      <c r="E80" s="37"/>
      <c r="F80" s="37"/>
      <c r="G80" s="37"/>
      <c r="K80" s="36" t="s">
        <v>136</v>
      </c>
      <c r="L80" s="37">
        <v>225</v>
      </c>
      <c r="M80" s="37">
        <v>54</v>
      </c>
      <c r="N80" s="37">
        <v>46</v>
      </c>
      <c r="O80" s="37">
        <v>53</v>
      </c>
      <c r="P80" s="37">
        <v>45</v>
      </c>
      <c r="S80" t="s">
        <v>136</v>
      </c>
      <c r="T80" s="84">
        <f>L80/L$115</f>
        <v>9.8081952920662602E-2</v>
      </c>
      <c r="U80" s="84">
        <f>M80/M$115</f>
        <v>2.4500907441016333E-2</v>
      </c>
      <c r="V80" s="84">
        <f>N80/N$115</f>
        <v>2.1957040572792363E-2</v>
      </c>
      <c r="W80" s="84">
        <f>O80/O$115</f>
        <v>2.4401473296500921E-2</v>
      </c>
      <c r="X80" s="84">
        <f>P80/P$115</f>
        <v>2.1510516252390057E-2</v>
      </c>
    </row>
    <row r="81" spans="2:24" x14ac:dyDescent="0.45">
      <c r="B81" s="36"/>
      <c r="C81" s="37"/>
      <c r="D81" s="37"/>
      <c r="E81" s="37"/>
      <c r="F81" s="37"/>
      <c r="G81" s="37"/>
      <c r="K81" s="36"/>
      <c r="L81" s="37"/>
      <c r="M81" s="37"/>
      <c r="N81" s="37"/>
      <c r="O81" s="37"/>
      <c r="P81" s="37"/>
      <c r="T81" s="84"/>
      <c r="U81" s="84"/>
      <c r="V81" s="84"/>
      <c r="W81" s="84"/>
      <c r="X81" s="84"/>
    </row>
    <row r="82" spans="2:24" x14ac:dyDescent="0.45">
      <c r="B82" s="36" t="s">
        <v>114</v>
      </c>
      <c r="C82" s="37">
        <v>15</v>
      </c>
      <c r="D82" s="37">
        <v>9</v>
      </c>
      <c r="E82" s="37">
        <v>4</v>
      </c>
      <c r="F82" s="37">
        <v>1</v>
      </c>
      <c r="G82" s="37">
        <v>7</v>
      </c>
      <c r="K82" s="36" t="s">
        <v>137</v>
      </c>
      <c r="L82" s="37">
        <v>5</v>
      </c>
      <c r="M82" s="37">
        <v>16</v>
      </c>
      <c r="N82" s="37">
        <v>12</v>
      </c>
      <c r="O82" s="37">
        <v>17</v>
      </c>
      <c r="P82" s="37">
        <v>12</v>
      </c>
      <c r="S82" t="s">
        <v>137</v>
      </c>
      <c r="T82" s="84">
        <f>L82/L$115</f>
        <v>2.179598953792502E-3</v>
      </c>
      <c r="U82" s="84">
        <f>M82/M$115</f>
        <v>7.2595281306715061E-3</v>
      </c>
      <c r="V82" s="84">
        <f>N82/N$115</f>
        <v>5.7279236276849641E-3</v>
      </c>
      <c r="W82" s="84">
        <f>O82/O$115</f>
        <v>7.8268876611418056E-3</v>
      </c>
      <c r="X82" s="84">
        <f>P82/P$115</f>
        <v>5.7361376673040155E-3</v>
      </c>
    </row>
    <row r="83" spans="2:24" x14ac:dyDescent="0.45">
      <c r="B83" s="36"/>
      <c r="C83" s="37"/>
      <c r="D83" s="37"/>
      <c r="E83" s="37"/>
      <c r="F83" s="37"/>
      <c r="G83" s="37"/>
      <c r="K83" s="36"/>
      <c r="L83" s="37"/>
      <c r="M83" s="37"/>
      <c r="N83" s="37"/>
      <c r="O83" s="37"/>
      <c r="P83" s="37"/>
      <c r="T83" s="84"/>
      <c r="U83" s="84"/>
      <c r="V83" s="84"/>
      <c r="W83" s="84"/>
      <c r="X83" s="84"/>
    </row>
    <row r="84" spans="2:24" x14ac:dyDescent="0.45">
      <c r="B84" s="36"/>
      <c r="C84" s="37"/>
      <c r="D84" s="37"/>
      <c r="E84" s="37"/>
      <c r="F84" s="37"/>
      <c r="G84" s="37"/>
      <c r="K84" s="36"/>
      <c r="L84" s="37"/>
      <c r="M84" s="37"/>
      <c r="N84" s="37"/>
      <c r="O84" s="37"/>
      <c r="P84" s="37"/>
      <c r="T84" s="84"/>
      <c r="U84" s="84"/>
      <c r="V84" s="84"/>
      <c r="W84" s="84"/>
      <c r="X84" s="84"/>
    </row>
    <row r="85" spans="2:24" ht="42.75" x14ac:dyDescent="0.45">
      <c r="B85" s="36"/>
      <c r="C85" s="37"/>
      <c r="D85" s="37"/>
      <c r="E85" s="37"/>
      <c r="F85" s="37"/>
      <c r="G85" s="37"/>
      <c r="K85" s="36" t="s">
        <v>138</v>
      </c>
      <c r="L85" s="37">
        <v>19</v>
      </c>
      <c r="M85" s="37">
        <v>4</v>
      </c>
      <c r="N85" s="37">
        <v>6</v>
      </c>
      <c r="O85" s="37">
        <v>5</v>
      </c>
      <c r="P85" s="37">
        <v>8</v>
      </c>
      <c r="S85" t="s">
        <v>138</v>
      </c>
      <c r="T85" s="84">
        <f>L85/L$115</f>
        <v>8.282476024411508E-3</v>
      </c>
      <c r="U85" s="84">
        <f>M85/M$115</f>
        <v>1.8148820326678765E-3</v>
      </c>
      <c r="V85" s="84">
        <f>N85/N$115</f>
        <v>2.8639618138424821E-3</v>
      </c>
      <c r="W85" s="84">
        <f>O85/O$115</f>
        <v>2.3020257826887663E-3</v>
      </c>
      <c r="X85" s="84">
        <f>P85/P$115</f>
        <v>3.8240917782026767E-3</v>
      </c>
    </row>
    <row r="86" spans="2:24" x14ac:dyDescent="0.45">
      <c r="B86" s="36"/>
      <c r="C86" s="37"/>
      <c r="D86" s="37"/>
      <c r="E86" s="37"/>
      <c r="F86" s="37"/>
      <c r="G86" s="37"/>
      <c r="K86" s="36"/>
      <c r="L86" s="37"/>
      <c r="M86" s="37"/>
      <c r="N86" s="37"/>
      <c r="O86" s="37"/>
      <c r="P86" s="37"/>
      <c r="T86" s="84"/>
      <c r="U86" s="84"/>
      <c r="V86" s="84"/>
      <c r="W86" s="84"/>
      <c r="X86" s="84"/>
    </row>
    <row r="87" spans="2:24" ht="28.5" x14ac:dyDescent="0.45">
      <c r="B87" s="36" t="s">
        <v>116</v>
      </c>
      <c r="C87" s="37">
        <v>21</v>
      </c>
      <c r="D87" s="37">
        <v>18</v>
      </c>
      <c r="E87" s="37">
        <v>18</v>
      </c>
      <c r="F87" s="37">
        <v>24</v>
      </c>
      <c r="G87" s="37">
        <v>17</v>
      </c>
      <c r="K87" s="36" t="s">
        <v>139</v>
      </c>
      <c r="L87" s="37">
        <v>2</v>
      </c>
      <c r="M87" s="37"/>
      <c r="N87" s="37"/>
      <c r="O87" s="37"/>
      <c r="P87" s="37"/>
      <c r="S87" t="s">
        <v>139</v>
      </c>
      <c r="T87" s="84">
        <f>L87/L$115</f>
        <v>8.7183958151700091E-4</v>
      </c>
      <c r="U87" s="84">
        <f>M87/M$115</f>
        <v>0</v>
      </c>
      <c r="V87" s="84">
        <f>N87/N$115</f>
        <v>0</v>
      </c>
      <c r="W87" s="84">
        <f>O87/O$115</f>
        <v>0</v>
      </c>
      <c r="X87" s="84">
        <f>P87/P$115</f>
        <v>0</v>
      </c>
    </row>
    <row r="88" spans="2:24" x14ac:dyDescent="0.45">
      <c r="B88" s="36"/>
      <c r="C88" s="37"/>
      <c r="D88" s="37"/>
      <c r="E88" s="37"/>
      <c r="F88" s="37"/>
      <c r="G88" s="37"/>
      <c r="K88" s="36"/>
      <c r="L88" s="37"/>
      <c r="M88" s="37"/>
      <c r="N88" s="37"/>
      <c r="O88" s="37"/>
      <c r="P88" s="37"/>
      <c r="T88" s="84"/>
      <c r="U88" s="84"/>
      <c r="V88" s="84"/>
      <c r="W88" s="84"/>
      <c r="X88" s="84"/>
    </row>
    <row r="89" spans="2:24" ht="28.5" x14ac:dyDescent="0.45">
      <c r="B89" s="36"/>
      <c r="C89" s="37"/>
      <c r="D89" s="37"/>
      <c r="E89" s="37"/>
      <c r="F89" s="37"/>
      <c r="G89" s="37"/>
      <c r="K89" s="36" t="s">
        <v>140</v>
      </c>
      <c r="L89" s="37">
        <v>1</v>
      </c>
      <c r="M89" s="37">
        <v>2</v>
      </c>
      <c r="N89" s="37">
        <v>1</v>
      </c>
      <c r="O89" s="37">
        <v>2</v>
      </c>
      <c r="P89" s="37" t="s">
        <v>108</v>
      </c>
      <c r="S89" t="s">
        <v>140</v>
      </c>
      <c r="T89" s="84">
        <f>L89/L$115</f>
        <v>4.3591979075850045E-4</v>
      </c>
      <c r="U89" s="84">
        <f>M89/M$115</f>
        <v>9.0744101633393826E-4</v>
      </c>
      <c r="V89" s="84">
        <f>N89/N$115</f>
        <v>4.7732696897374703E-4</v>
      </c>
      <c r="W89" s="84">
        <f>O89/O$115</f>
        <v>9.2081031307550648E-4</v>
      </c>
      <c r="X89" s="84" t="e">
        <f>P89/P$115</f>
        <v>#VALUE!</v>
      </c>
    </row>
    <row r="90" spans="2:24" x14ac:dyDescent="0.45">
      <c r="B90" s="36"/>
      <c r="C90" s="37"/>
      <c r="D90" s="37"/>
      <c r="E90" s="37"/>
      <c r="F90" s="37"/>
      <c r="G90" s="37"/>
      <c r="K90" s="36"/>
      <c r="L90" s="37"/>
      <c r="M90" s="37"/>
      <c r="N90" s="37"/>
      <c r="O90" s="37"/>
      <c r="P90" s="37"/>
      <c r="T90" s="84"/>
      <c r="U90" s="84"/>
      <c r="V90" s="84"/>
      <c r="W90" s="84"/>
      <c r="X90" s="84"/>
    </row>
    <row r="91" spans="2:24" ht="42.75" x14ac:dyDescent="0.45">
      <c r="B91" s="36" t="s">
        <v>118</v>
      </c>
      <c r="C91" s="37">
        <v>1</v>
      </c>
      <c r="D91" s="37">
        <v>9</v>
      </c>
      <c r="E91" s="37">
        <v>1</v>
      </c>
      <c r="F91" s="37">
        <v>6</v>
      </c>
      <c r="G91" s="37">
        <v>4</v>
      </c>
      <c r="K91" s="36" t="s">
        <v>141</v>
      </c>
      <c r="L91" s="37">
        <v>1</v>
      </c>
      <c r="M91" s="37">
        <v>1</v>
      </c>
      <c r="N91" s="37" t="s">
        <v>108</v>
      </c>
      <c r="O91" s="37" t="s">
        <v>108</v>
      </c>
      <c r="P91" s="37">
        <v>2</v>
      </c>
      <c r="S91" t="s">
        <v>141</v>
      </c>
      <c r="T91" s="84">
        <f>L91/L$115</f>
        <v>4.3591979075850045E-4</v>
      </c>
      <c r="U91" s="84">
        <f>M91/M$115</f>
        <v>4.5372050816696913E-4</v>
      </c>
      <c r="V91" s="84" t="e">
        <f>N91/N$115</f>
        <v>#VALUE!</v>
      </c>
      <c r="W91" s="84" t="e">
        <f>O91/O$115</f>
        <v>#VALUE!</v>
      </c>
      <c r="X91" s="84">
        <f>P91/P$115</f>
        <v>9.5602294455066918E-4</v>
      </c>
    </row>
    <row r="92" spans="2:24" x14ac:dyDescent="0.45">
      <c r="B92" s="36"/>
      <c r="C92" s="37"/>
      <c r="D92" s="37"/>
      <c r="E92" s="37"/>
      <c r="F92" s="37"/>
      <c r="G92" s="37"/>
      <c r="K92" s="36"/>
      <c r="L92" s="37"/>
      <c r="M92" s="37"/>
      <c r="N92" s="37"/>
      <c r="O92" s="37"/>
      <c r="P92" s="37"/>
      <c r="T92" s="84"/>
      <c r="U92" s="84"/>
      <c r="V92" s="84"/>
      <c r="W92" s="84"/>
      <c r="X92" s="84"/>
    </row>
    <row r="93" spans="2:24" ht="28.5" x14ac:dyDescent="0.45">
      <c r="B93" s="36"/>
      <c r="C93" s="37"/>
      <c r="D93" s="37"/>
      <c r="E93" s="37"/>
      <c r="F93" s="37"/>
      <c r="G93" s="37"/>
      <c r="K93" s="31" t="s">
        <v>142</v>
      </c>
      <c r="L93" s="32">
        <v>761</v>
      </c>
      <c r="M93" s="32">
        <v>538</v>
      </c>
      <c r="N93" s="32">
        <v>597</v>
      </c>
      <c r="O93" s="32">
        <v>568</v>
      </c>
      <c r="P93" s="32">
        <v>620</v>
      </c>
      <c r="S93" t="s">
        <v>142</v>
      </c>
      <c r="T93" s="84">
        <f>L93/L$115</f>
        <v>0.33173496076721881</v>
      </c>
      <c r="U93" s="84">
        <f>M93/M$115</f>
        <v>0.2441016333938294</v>
      </c>
      <c r="V93" s="84">
        <f>N93/N$115</f>
        <v>0.28496420047732696</v>
      </c>
      <c r="W93" s="84">
        <f>O93/O$115</f>
        <v>0.26151012891344383</v>
      </c>
      <c r="X93" s="84">
        <f>P93/P$115</f>
        <v>0.29636711281070743</v>
      </c>
    </row>
    <row r="94" spans="2:24" x14ac:dyDescent="0.45">
      <c r="B94" s="36"/>
      <c r="C94" s="37"/>
      <c r="D94" s="37"/>
      <c r="E94" s="37"/>
      <c r="F94" s="37"/>
      <c r="G94" s="37"/>
      <c r="K94" s="31"/>
      <c r="L94" s="32"/>
      <c r="M94" s="32"/>
      <c r="N94" s="32"/>
      <c r="O94" s="32"/>
      <c r="P94" s="32"/>
      <c r="T94" s="84"/>
      <c r="U94" s="84"/>
      <c r="V94" s="84"/>
      <c r="W94" s="84"/>
      <c r="X94" s="84"/>
    </row>
    <row r="95" spans="2:24" ht="42.75" x14ac:dyDescent="0.45">
      <c r="B95" s="36" t="s">
        <v>120</v>
      </c>
      <c r="C95" s="37">
        <v>107</v>
      </c>
      <c r="D95" s="37">
        <v>585</v>
      </c>
      <c r="E95" s="37">
        <v>398</v>
      </c>
      <c r="F95" s="37">
        <v>428</v>
      </c>
      <c r="G95" s="37">
        <v>191</v>
      </c>
      <c r="K95" s="36" t="s">
        <v>136</v>
      </c>
      <c r="L95" s="37">
        <v>101</v>
      </c>
      <c r="M95" s="37">
        <v>29</v>
      </c>
      <c r="N95" s="37">
        <v>27</v>
      </c>
      <c r="O95" s="37">
        <v>27</v>
      </c>
      <c r="P95" s="37">
        <v>26</v>
      </c>
      <c r="S95" t="s">
        <v>136</v>
      </c>
      <c r="T95" s="84">
        <f>L95/L$115</f>
        <v>4.4027898866608545E-2</v>
      </c>
      <c r="U95" s="84">
        <f>M95/M$115</f>
        <v>1.3157894736842105E-2</v>
      </c>
      <c r="V95" s="84">
        <f>N95/N$115</f>
        <v>1.2887828162291169E-2</v>
      </c>
      <c r="W95" s="84">
        <f>O95/O$115</f>
        <v>1.2430939226519336E-2</v>
      </c>
      <c r="X95" s="84">
        <f>P95/P$115</f>
        <v>1.24282982791587E-2</v>
      </c>
    </row>
    <row r="96" spans="2:24" x14ac:dyDescent="0.45">
      <c r="B96" s="36"/>
      <c r="C96" s="37"/>
      <c r="D96" s="37"/>
      <c r="E96" s="37"/>
      <c r="F96" s="37"/>
      <c r="G96" s="37"/>
      <c r="K96" s="36"/>
      <c r="L96" s="37"/>
      <c r="M96" s="37"/>
      <c r="N96" s="37"/>
      <c r="O96" s="37"/>
      <c r="P96" s="37"/>
      <c r="T96" s="84"/>
      <c r="U96" s="84"/>
      <c r="V96" s="84"/>
      <c r="W96" s="84"/>
      <c r="X96" s="84"/>
    </row>
    <row r="97" spans="2:24" x14ac:dyDescent="0.45">
      <c r="B97" s="36"/>
      <c r="C97" s="37"/>
      <c r="D97" s="37"/>
      <c r="E97" s="37"/>
      <c r="F97" s="37"/>
      <c r="G97" s="37"/>
      <c r="K97" s="36" t="s">
        <v>137</v>
      </c>
      <c r="L97" s="37">
        <v>45</v>
      </c>
      <c r="M97" s="37">
        <v>63</v>
      </c>
      <c r="N97" s="37">
        <v>42</v>
      </c>
      <c r="O97" s="37">
        <v>34</v>
      </c>
      <c r="P97" s="37">
        <v>36</v>
      </c>
      <c r="S97" t="s">
        <v>137</v>
      </c>
      <c r="T97" s="84">
        <f>L97/L$115</f>
        <v>1.9616390584132521E-2</v>
      </c>
      <c r="U97" s="84">
        <f>M97/M$115</f>
        <v>2.8584392014519056E-2</v>
      </c>
      <c r="V97" s="84">
        <f>N97/N$115</f>
        <v>2.0047732696897375E-2</v>
      </c>
      <c r="W97" s="84">
        <f>O97/O$115</f>
        <v>1.5653775322283611E-2</v>
      </c>
      <c r="X97" s="84">
        <f>P97/P$115</f>
        <v>1.7208413001912046E-2</v>
      </c>
    </row>
    <row r="98" spans="2:24" x14ac:dyDescent="0.45">
      <c r="B98" s="36"/>
      <c r="C98" s="37"/>
      <c r="D98" s="37"/>
      <c r="E98" s="37"/>
      <c r="F98" s="37"/>
      <c r="G98" s="37"/>
      <c r="K98" s="36"/>
      <c r="L98" s="37"/>
      <c r="M98" s="37"/>
      <c r="N98" s="37"/>
      <c r="O98" s="37"/>
      <c r="P98" s="37"/>
      <c r="T98" s="84"/>
      <c r="U98" s="84"/>
      <c r="V98" s="84"/>
      <c r="W98" s="84"/>
      <c r="X98" s="84"/>
    </row>
    <row r="99" spans="2:24" ht="28.5" x14ac:dyDescent="0.45">
      <c r="B99" s="36" t="s">
        <v>121</v>
      </c>
      <c r="C99" s="37">
        <v>10</v>
      </c>
      <c r="D99" s="37">
        <v>4</v>
      </c>
      <c r="E99" s="37">
        <v>3</v>
      </c>
      <c r="F99" s="37">
        <v>2</v>
      </c>
      <c r="G99" s="37">
        <v>2</v>
      </c>
      <c r="K99" s="36" t="s">
        <v>139</v>
      </c>
      <c r="L99" s="37">
        <v>232</v>
      </c>
      <c r="M99" s="37">
        <v>198</v>
      </c>
      <c r="N99" s="37">
        <v>252</v>
      </c>
      <c r="O99" s="37">
        <v>240</v>
      </c>
      <c r="P99" s="37">
        <v>271</v>
      </c>
      <c r="S99" t="s">
        <v>139</v>
      </c>
      <c r="T99" s="84">
        <f>L99/L$115</f>
        <v>0.1011333914559721</v>
      </c>
      <c r="U99" s="84">
        <f>M99/M$115</f>
        <v>8.9836660617059888E-2</v>
      </c>
      <c r="V99" s="84">
        <f>N99/N$115</f>
        <v>0.12028639618138424</v>
      </c>
      <c r="W99" s="84">
        <f>O99/O$115</f>
        <v>0.11049723756906077</v>
      </c>
      <c r="X99" s="84">
        <f>P99/P$115</f>
        <v>0.12954110898661567</v>
      </c>
    </row>
    <row r="100" spans="2:24" x14ac:dyDescent="0.45">
      <c r="B100" s="36"/>
      <c r="C100" s="37"/>
      <c r="D100" s="37"/>
      <c r="E100" s="37"/>
      <c r="F100" s="37"/>
      <c r="G100" s="37"/>
      <c r="K100" s="36"/>
      <c r="L100" s="37"/>
      <c r="M100" s="37"/>
      <c r="N100" s="37"/>
      <c r="O100" s="37"/>
      <c r="P100" s="37"/>
      <c r="T100" s="84"/>
      <c r="U100" s="84"/>
      <c r="V100" s="84"/>
      <c r="W100" s="84"/>
      <c r="X100" s="84"/>
    </row>
    <row r="101" spans="2:24" ht="28.5" x14ac:dyDescent="0.45">
      <c r="B101" s="29" t="s">
        <v>122</v>
      </c>
      <c r="C101" s="21">
        <v>2294</v>
      </c>
      <c r="D101" s="21">
        <v>2204</v>
      </c>
      <c r="E101" s="21">
        <v>2095</v>
      </c>
      <c r="F101" s="21">
        <v>2172</v>
      </c>
      <c r="G101" s="21">
        <v>2092</v>
      </c>
      <c r="K101" s="36" t="s">
        <v>140</v>
      </c>
      <c r="L101" s="37">
        <v>151</v>
      </c>
      <c r="M101" s="37">
        <v>103</v>
      </c>
      <c r="N101" s="37">
        <v>111</v>
      </c>
      <c r="O101" s="37">
        <v>120</v>
      </c>
      <c r="P101" s="37">
        <v>132</v>
      </c>
      <c r="S101" t="s">
        <v>140</v>
      </c>
      <c r="T101" s="84">
        <f>L101/L$115</f>
        <v>6.582388840453357E-2</v>
      </c>
      <c r="U101" s="84">
        <f>M101/M$115</f>
        <v>4.6733212341197823E-2</v>
      </c>
      <c r="V101" s="84">
        <f>N101/N$115</f>
        <v>5.2983293556085921E-2</v>
      </c>
      <c r="W101" s="84">
        <f>O101/O$115</f>
        <v>5.5248618784530384E-2</v>
      </c>
      <c r="X101" s="84">
        <f>P101/P$115</f>
        <v>6.3097514340344163E-2</v>
      </c>
    </row>
    <row r="102" spans="2:24" x14ac:dyDescent="0.45">
      <c r="B102" s="29"/>
      <c r="C102" s="21"/>
      <c r="D102" s="21"/>
      <c r="E102" s="21"/>
      <c r="F102" s="21"/>
      <c r="G102" s="21"/>
      <c r="K102" s="36"/>
      <c r="L102" s="37"/>
      <c r="M102" s="37"/>
      <c r="N102" s="37"/>
      <c r="O102" s="37"/>
      <c r="P102" s="37"/>
      <c r="T102" s="84"/>
      <c r="U102" s="84"/>
      <c r="V102" s="84"/>
      <c r="W102" s="84"/>
      <c r="X102" s="84"/>
    </row>
    <row r="103" spans="2:24" ht="57" x14ac:dyDescent="0.45">
      <c r="B103" s="29"/>
      <c r="C103" s="21"/>
      <c r="D103" s="21"/>
      <c r="E103" s="21"/>
      <c r="F103" s="21"/>
      <c r="G103" s="21"/>
      <c r="K103" s="36" t="s">
        <v>143</v>
      </c>
      <c r="L103" s="37">
        <v>49</v>
      </c>
      <c r="M103" s="37">
        <v>23</v>
      </c>
      <c r="N103" s="37">
        <v>28</v>
      </c>
      <c r="O103" s="37">
        <v>26</v>
      </c>
      <c r="P103" s="37">
        <v>25</v>
      </c>
      <c r="S103" t="s">
        <v>143</v>
      </c>
      <c r="T103" s="84">
        <f>L103/L$115</f>
        <v>2.1360069747166522E-2</v>
      </c>
      <c r="U103" s="84">
        <f>M103/M$115</f>
        <v>1.0435571687840291E-2</v>
      </c>
      <c r="V103" s="84">
        <f>N103/N$115</f>
        <v>1.3365155131264916E-2</v>
      </c>
      <c r="W103" s="84">
        <f>O103/O$115</f>
        <v>1.1970534069981584E-2</v>
      </c>
      <c r="X103" s="84">
        <f>P103/P$115</f>
        <v>1.1950286806883365E-2</v>
      </c>
    </row>
    <row r="104" spans="2:24" x14ac:dyDescent="0.45">
      <c r="B104" s="29"/>
      <c r="C104" s="21"/>
      <c r="D104" s="21"/>
      <c r="E104" s="21"/>
      <c r="F104" s="21"/>
      <c r="G104" s="21"/>
      <c r="K104" s="36"/>
      <c r="L104" s="37"/>
      <c r="M104" s="37"/>
      <c r="N104" s="37"/>
      <c r="O104" s="37"/>
      <c r="P104" s="37"/>
      <c r="T104" s="84"/>
      <c r="U104" s="84"/>
      <c r="V104" s="84"/>
      <c r="W104" s="84"/>
      <c r="X104" s="84"/>
    </row>
    <row r="105" spans="2:24" ht="28.5" x14ac:dyDescent="0.45">
      <c r="B105" s="30" t="s">
        <v>123</v>
      </c>
      <c r="C105" s="16"/>
      <c r="D105" s="16"/>
      <c r="E105" s="16"/>
      <c r="F105" s="16"/>
      <c r="G105" s="16"/>
      <c r="K105" s="36" t="s">
        <v>144</v>
      </c>
      <c r="L105" s="37">
        <v>38</v>
      </c>
      <c r="M105" s="37">
        <v>24</v>
      </c>
      <c r="N105" s="37">
        <v>28</v>
      </c>
      <c r="O105" s="37">
        <v>35</v>
      </c>
      <c r="P105" s="37">
        <v>23</v>
      </c>
      <c r="S105" t="s">
        <v>144</v>
      </c>
      <c r="T105" s="84">
        <f>L105/L$115</f>
        <v>1.6564952048823016E-2</v>
      </c>
      <c r="U105" s="84">
        <f>M105/M$115</f>
        <v>1.0889292196007259E-2</v>
      </c>
      <c r="V105" s="84">
        <f>N105/N$115</f>
        <v>1.3365155131264916E-2</v>
      </c>
      <c r="W105" s="84">
        <f>O105/O$115</f>
        <v>1.6114180478821363E-2</v>
      </c>
      <c r="X105" s="84">
        <f>P105/P$115</f>
        <v>1.0994263862332695E-2</v>
      </c>
    </row>
    <row r="106" spans="2:24" x14ac:dyDescent="0.45">
      <c r="B106" s="30"/>
      <c r="C106" s="16"/>
      <c r="D106" s="16"/>
      <c r="E106" s="16"/>
      <c r="F106" s="16"/>
      <c r="G106" s="16"/>
      <c r="K106" s="36"/>
      <c r="L106" s="37"/>
      <c r="M106" s="37"/>
      <c r="N106" s="37"/>
      <c r="O106" s="37"/>
      <c r="P106" s="37"/>
      <c r="T106" s="84"/>
      <c r="U106" s="84"/>
      <c r="V106" s="84"/>
      <c r="W106" s="84"/>
      <c r="X106" s="84"/>
    </row>
    <row r="107" spans="2:24" ht="28.5" x14ac:dyDescent="0.45">
      <c r="B107" s="31" t="s">
        <v>124</v>
      </c>
      <c r="C107" s="32">
        <v>130</v>
      </c>
      <c r="D107" s="32">
        <v>620</v>
      </c>
      <c r="E107" s="32">
        <v>685</v>
      </c>
      <c r="F107" s="32">
        <v>713</v>
      </c>
      <c r="G107" s="32">
        <v>787</v>
      </c>
      <c r="K107" s="36" t="s">
        <v>145</v>
      </c>
      <c r="L107" s="37">
        <v>9</v>
      </c>
      <c r="M107" s="37">
        <v>8</v>
      </c>
      <c r="N107" s="37">
        <v>9</v>
      </c>
      <c r="O107" s="37">
        <v>8</v>
      </c>
      <c r="P107" s="37">
        <v>11</v>
      </c>
      <c r="S107" t="s">
        <v>145</v>
      </c>
      <c r="T107" s="84">
        <f>L107/L$115</f>
        <v>3.9232781168265039E-3</v>
      </c>
      <c r="U107" s="84">
        <f>M107/M$115</f>
        <v>3.629764065335753E-3</v>
      </c>
      <c r="V107" s="84">
        <f>N107/N$115</f>
        <v>4.2959427207637235E-3</v>
      </c>
      <c r="W107" s="84">
        <f>O107/O$115</f>
        <v>3.6832412523020259E-3</v>
      </c>
      <c r="X107" s="84">
        <f>P107/P$115</f>
        <v>5.2581261950286808E-3</v>
      </c>
    </row>
    <row r="108" spans="2:24" x14ac:dyDescent="0.45">
      <c r="B108" s="31"/>
      <c r="C108" s="32"/>
      <c r="D108" s="32"/>
      <c r="E108" s="32"/>
      <c r="F108" s="32"/>
      <c r="G108" s="32"/>
      <c r="K108" s="36"/>
      <c r="L108" s="37"/>
      <c r="M108" s="37"/>
      <c r="N108" s="37"/>
      <c r="O108" s="37"/>
      <c r="P108" s="37"/>
      <c r="T108" s="84"/>
      <c r="U108" s="84"/>
      <c r="V108" s="84"/>
      <c r="W108" s="84"/>
      <c r="X108" s="84"/>
    </row>
    <row r="109" spans="2:24" ht="28.5" x14ac:dyDescent="0.45">
      <c r="B109" s="31"/>
      <c r="C109" s="32"/>
      <c r="D109" s="32"/>
      <c r="E109" s="32"/>
      <c r="F109" s="32"/>
      <c r="G109" s="32"/>
      <c r="K109" s="36" t="s">
        <v>146</v>
      </c>
      <c r="L109" s="37">
        <v>130</v>
      </c>
      <c r="M109" s="37">
        <v>88</v>
      </c>
      <c r="N109" s="37">
        <v>99</v>
      </c>
      <c r="O109" s="37">
        <v>90</v>
      </c>
      <c r="P109" s="37">
        <v>84</v>
      </c>
      <c r="S109" t="s">
        <v>146</v>
      </c>
      <c r="T109" s="84">
        <f>L109/L$115</f>
        <v>5.6669572798605058E-2</v>
      </c>
      <c r="U109" s="84">
        <f>M109/M$115</f>
        <v>3.9927404718693285E-2</v>
      </c>
      <c r="V109" s="84">
        <f>N109/N$115</f>
        <v>4.7255369928400952E-2</v>
      </c>
      <c r="W109" s="84">
        <f>O109/O$115</f>
        <v>4.1436464088397788E-2</v>
      </c>
      <c r="X109" s="84">
        <f>P109/P$115</f>
        <v>4.0152963671128104E-2</v>
      </c>
    </row>
    <row r="110" spans="2:24" x14ac:dyDescent="0.45">
      <c r="B110" s="31"/>
      <c r="C110" s="32"/>
      <c r="D110" s="32"/>
      <c r="E110" s="32"/>
      <c r="F110" s="32"/>
      <c r="G110" s="32"/>
      <c r="K110" s="36"/>
      <c r="L110" s="37"/>
      <c r="M110" s="37"/>
      <c r="N110" s="37"/>
      <c r="O110" s="37"/>
      <c r="P110" s="37"/>
      <c r="T110" s="84"/>
      <c r="U110" s="84"/>
      <c r="V110" s="84"/>
      <c r="W110" s="84"/>
      <c r="X110" s="84"/>
    </row>
    <row r="111" spans="2:24" ht="42.75" x14ac:dyDescent="0.45">
      <c r="B111" s="36" t="s">
        <v>125</v>
      </c>
      <c r="C111" s="37">
        <v>83</v>
      </c>
      <c r="D111" s="37">
        <v>570</v>
      </c>
      <c r="E111" s="37">
        <v>632</v>
      </c>
      <c r="F111" s="37">
        <v>662</v>
      </c>
      <c r="G111" s="37">
        <v>736</v>
      </c>
      <c r="K111" s="36" t="s">
        <v>147</v>
      </c>
      <c r="L111" s="37">
        <v>1</v>
      </c>
      <c r="M111" s="37">
        <v>1</v>
      </c>
      <c r="N111" s="37" t="s">
        <v>108</v>
      </c>
      <c r="O111" s="37">
        <v>3</v>
      </c>
      <c r="P111" s="37">
        <v>1</v>
      </c>
      <c r="S111" t="s">
        <v>147</v>
      </c>
      <c r="T111" s="84">
        <f>L111/L$115</f>
        <v>4.3591979075850045E-4</v>
      </c>
      <c r="U111" s="84">
        <f>M111/M$115</f>
        <v>4.5372050816696913E-4</v>
      </c>
      <c r="V111" s="84" t="e">
        <f>N111/N$115</f>
        <v>#VALUE!</v>
      </c>
      <c r="W111" s="84">
        <f>O111/O$115</f>
        <v>1.3812154696132596E-3</v>
      </c>
      <c r="X111" s="84">
        <f>P111/P$115</f>
        <v>4.7801147227533459E-4</v>
      </c>
    </row>
    <row r="112" spans="2:24" x14ac:dyDescent="0.45">
      <c r="B112" s="36"/>
      <c r="C112" s="37"/>
      <c r="D112" s="37"/>
      <c r="E112" s="37"/>
      <c r="F112" s="37"/>
      <c r="G112" s="37"/>
      <c r="K112" s="36"/>
      <c r="L112" s="37"/>
      <c r="M112" s="37"/>
      <c r="N112" s="37"/>
      <c r="O112" s="37"/>
      <c r="P112" s="37"/>
      <c r="T112" s="84"/>
      <c r="U112" s="84"/>
      <c r="V112" s="84"/>
      <c r="W112" s="84"/>
      <c r="X112" s="84"/>
    </row>
    <row r="113" spans="2:24" ht="57" x14ac:dyDescent="0.45">
      <c r="B113" s="36"/>
      <c r="C113" s="37"/>
      <c r="D113" s="37"/>
      <c r="E113" s="37"/>
      <c r="F113" s="37"/>
      <c r="G113" s="37"/>
      <c r="K113" s="36" t="s">
        <v>118</v>
      </c>
      <c r="L113" s="37">
        <v>5</v>
      </c>
      <c r="M113" s="37">
        <v>2</v>
      </c>
      <c r="N113" s="37">
        <v>2</v>
      </c>
      <c r="O113" s="37">
        <v>3</v>
      </c>
      <c r="P113" s="37">
        <v>10</v>
      </c>
      <c r="S113" t="s">
        <v>118</v>
      </c>
      <c r="T113" s="84">
        <f>L113/L$115</f>
        <v>2.179598953792502E-3</v>
      </c>
      <c r="U113" s="84">
        <f>M113/M$115</f>
        <v>9.0744101633393826E-4</v>
      </c>
      <c r="V113" s="84">
        <f>N113/N$115</f>
        <v>9.5465393794749406E-4</v>
      </c>
      <c r="W113" s="84">
        <f>O113/O$115</f>
        <v>1.3812154696132596E-3</v>
      </c>
      <c r="X113" s="84">
        <f>P113/P$115</f>
        <v>4.7801147227533461E-3</v>
      </c>
    </row>
    <row r="114" spans="2:24" x14ac:dyDescent="0.45">
      <c r="B114" s="36"/>
      <c r="C114" s="37"/>
      <c r="D114" s="37"/>
      <c r="E114" s="37"/>
      <c r="F114" s="37"/>
      <c r="G114" s="37"/>
      <c r="K114" s="36"/>
      <c r="L114" s="37"/>
      <c r="M114" s="37"/>
      <c r="N114" s="37"/>
      <c r="O114" s="37"/>
      <c r="P114" s="37"/>
      <c r="T114" s="84"/>
      <c r="U114" s="84"/>
      <c r="V114" s="84"/>
      <c r="W114" s="84"/>
      <c r="X114" s="84"/>
    </row>
    <row r="115" spans="2:24" ht="71.25" x14ac:dyDescent="0.45">
      <c r="B115" s="36" t="s">
        <v>126</v>
      </c>
      <c r="C115" s="37">
        <v>187</v>
      </c>
      <c r="D115" s="37">
        <v>187</v>
      </c>
      <c r="E115" s="37">
        <v>187</v>
      </c>
      <c r="F115" s="37">
        <v>187</v>
      </c>
      <c r="G115" s="37">
        <v>187</v>
      </c>
      <c r="K115" s="29" t="s">
        <v>148</v>
      </c>
      <c r="L115" s="21">
        <v>2294</v>
      </c>
      <c r="M115" s="21">
        <v>2204</v>
      </c>
      <c r="N115" s="21">
        <v>2095</v>
      </c>
      <c r="O115" s="21">
        <v>2172</v>
      </c>
      <c r="P115" s="21">
        <v>2092</v>
      </c>
      <c r="S115" t="s">
        <v>148</v>
      </c>
      <c r="T115" s="84">
        <f>L115/L$115</f>
        <v>1</v>
      </c>
      <c r="U115" s="84">
        <f>M115/M$115</f>
        <v>1</v>
      </c>
      <c r="V115" s="84">
        <f>N115/N$115</f>
        <v>1</v>
      </c>
      <c r="W115" s="84">
        <f>O115/O$115</f>
        <v>1</v>
      </c>
      <c r="X115" s="84">
        <f>P115/P$115</f>
        <v>1</v>
      </c>
    </row>
    <row r="116" spans="2:24" x14ac:dyDescent="0.45">
      <c r="B116" s="36"/>
      <c r="C116" s="37"/>
      <c r="D116" s="37"/>
      <c r="E116" s="37"/>
      <c r="F116" s="37"/>
      <c r="G116" s="37"/>
      <c r="K116" s="78"/>
      <c r="L116" s="79"/>
      <c r="M116" s="79"/>
      <c r="N116" s="79"/>
      <c r="O116" s="79"/>
      <c r="P116" s="79"/>
      <c r="T116" s="85"/>
      <c r="U116" s="85"/>
      <c r="V116" s="85"/>
      <c r="W116" s="85"/>
      <c r="X116" s="85"/>
    </row>
    <row r="117" spans="2:24" x14ac:dyDescent="0.45">
      <c r="B117" s="36"/>
      <c r="C117" s="37"/>
      <c r="D117" s="37"/>
      <c r="E117" s="37"/>
      <c r="F117" s="37"/>
      <c r="G117" s="37"/>
    </row>
    <row r="118" spans="2:24" x14ac:dyDescent="0.45">
      <c r="B118" s="36" t="s">
        <v>127</v>
      </c>
      <c r="C118" s="37">
        <v>210</v>
      </c>
      <c r="D118" s="37">
        <v>210</v>
      </c>
      <c r="E118" s="37">
        <v>210</v>
      </c>
      <c r="F118" s="37">
        <v>210</v>
      </c>
      <c r="G118" s="37">
        <v>210</v>
      </c>
    </row>
    <row r="119" spans="2:24" x14ac:dyDescent="0.45">
      <c r="B119" s="36"/>
      <c r="C119" s="37"/>
      <c r="D119" s="37"/>
      <c r="E119" s="37"/>
      <c r="F119" s="37"/>
      <c r="G119" s="37"/>
    </row>
    <row r="120" spans="2:24" x14ac:dyDescent="0.45">
      <c r="B120" s="36" t="s">
        <v>128</v>
      </c>
      <c r="C120" s="37">
        <v>803</v>
      </c>
      <c r="D120" s="37">
        <v>1412</v>
      </c>
      <c r="E120" s="37">
        <v>1.284</v>
      </c>
      <c r="F120" s="37">
        <v>1332</v>
      </c>
      <c r="G120" s="37">
        <v>1242</v>
      </c>
    </row>
    <row r="121" spans="2:24" x14ac:dyDescent="0.45">
      <c r="B121" s="36"/>
      <c r="C121" s="37"/>
      <c r="D121" s="37"/>
      <c r="E121" s="37"/>
      <c r="F121" s="37"/>
      <c r="G121" s="37"/>
    </row>
    <row r="122" spans="2:24" x14ac:dyDescent="0.45">
      <c r="B122" s="36" t="s">
        <v>129</v>
      </c>
      <c r="C122" s="37">
        <v>-84</v>
      </c>
      <c r="D122" s="37">
        <v>-76</v>
      </c>
      <c r="E122" s="37">
        <v>-1</v>
      </c>
      <c r="F122" s="37">
        <v>4</v>
      </c>
      <c r="G122" s="37">
        <v>-4</v>
      </c>
    </row>
    <row r="123" spans="2:24" x14ac:dyDescent="0.45">
      <c r="B123" s="36"/>
      <c r="C123" s="37"/>
      <c r="D123" s="37"/>
      <c r="E123" s="37"/>
      <c r="F123" s="37"/>
      <c r="G123" s="37"/>
    </row>
    <row r="124" spans="2:24" x14ac:dyDescent="0.45">
      <c r="B124" s="36" t="s">
        <v>130</v>
      </c>
      <c r="C124" s="37">
        <v>-5</v>
      </c>
      <c r="D124" s="37">
        <v>-42</v>
      </c>
      <c r="E124" s="37">
        <v>-15</v>
      </c>
      <c r="F124" s="37">
        <v>-28</v>
      </c>
      <c r="G124" s="37">
        <v>15</v>
      </c>
    </row>
    <row r="125" spans="2:24" x14ac:dyDescent="0.45">
      <c r="B125" s="36"/>
      <c r="C125" s="37"/>
      <c r="D125" s="37"/>
      <c r="E125" s="37"/>
      <c r="F125" s="37"/>
      <c r="G125" s="37"/>
    </row>
    <row r="126" spans="2:24" ht="57" x14ac:dyDescent="0.45">
      <c r="B126" s="36" t="s">
        <v>131</v>
      </c>
      <c r="C126" s="37">
        <v>-1028</v>
      </c>
      <c r="D126" s="37">
        <v>-1122</v>
      </c>
      <c r="E126" s="37">
        <v>-1033</v>
      </c>
      <c r="F126" s="37">
        <v>-1043</v>
      </c>
      <c r="G126" s="37">
        <v>-914</v>
      </c>
    </row>
    <row r="127" spans="2:24" x14ac:dyDescent="0.45">
      <c r="B127" s="36"/>
      <c r="C127" s="37"/>
      <c r="D127" s="37"/>
      <c r="E127" s="37"/>
      <c r="F127" s="37"/>
      <c r="G127" s="37"/>
    </row>
    <row r="128" spans="2:24" x14ac:dyDescent="0.45">
      <c r="B128" s="36" t="s">
        <v>132</v>
      </c>
      <c r="C128" s="37">
        <v>47</v>
      </c>
      <c r="D128" s="37">
        <v>51</v>
      </c>
      <c r="E128" s="37">
        <v>54</v>
      </c>
      <c r="F128" s="37">
        <v>52</v>
      </c>
      <c r="G128" s="37">
        <v>51</v>
      </c>
    </row>
    <row r="129" spans="2:7" x14ac:dyDescent="0.45">
      <c r="B129" s="36"/>
      <c r="C129" s="37"/>
      <c r="D129" s="37"/>
      <c r="E129" s="37"/>
      <c r="F129" s="37"/>
      <c r="G129" s="37"/>
    </row>
    <row r="130" spans="2:7" x14ac:dyDescent="0.45">
      <c r="B130" s="31" t="s">
        <v>133</v>
      </c>
      <c r="C130" s="32">
        <v>1402</v>
      </c>
      <c r="D130" s="32">
        <v>1046</v>
      </c>
      <c r="E130" s="32">
        <v>812</v>
      </c>
      <c r="F130" s="32">
        <v>873</v>
      </c>
      <c r="G130" s="32">
        <v>685</v>
      </c>
    </row>
    <row r="131" spans="2:7" x14ac:dyDescent="0.45">
      <c r="B131" s="31"/>
      <c r="C131" s="32"/>
      <c r="D131" s="32"/>
      <c r="E131" s="32"/>
      <c r="F131" s="32"/>
      <c r="G131" s="32"/>
    </row>
    <row r="132" spans="2:7" ht="57" x14ac:dyDescent="0.45">
      <c r="B132" s="36" t="s">
        <v>134</v>
      </c>
      <c r="C132" s="37">
        <v>1137</v>
      </c>
      <c r="D132" s="37">
        <v>956</v>
      </c>
      <c r="E132" s="37">
        <v>735</v>
      </c>
      <c r="F132" s="37">
        <v>784</v>
      </c>
      <c r="G132" s="37">
        <v>608</v>
      </c>
    </row>
    <row r="133" spans="2:7" x14ac:dyDescent="0.45">
      <c r="B133" s="36"/>
      <c r="C133" s="37"/>
      <c r="D133" s="37"/>
      <c r="E133" s="37"/>
      <c r="F133" s="37"/>
      <c r="G133" s="37"/>
    </row>
    <row r="134" spans="2:7" x14ac:dyDescent="0.45">
      <c r="B134" s="36" t="s">
        <v>135</v>
      </c>
      <c r="C134" s="37">
        <v>12</v>
      </c>
      <c r="D134" s="37">
        <v>13</v>
      </c>
      <c r="E134" s="37">
        <v>11</v>
      </c>
      <c r="F134" s="37">
        <v>13</v>
      </c>
      <c r="G134" s="37">
        <v>12</v>
      </c>
    </row>
    <row r="135" spans="2:7" x14ac:dyDescent="0.45">
      <c r="B135" s="36"/>
      <c r="C135" s="37"/>
      <c r="D135" s="37"/>
      <c r="E135" s="37"/>
      <c r="F135" s="37"/>
      <c r="G135" s="37"/>
    </row>
    <row r="136" spans="2:7" x14ac:dyDescent="0.45">
      <c r="B136" s="36" t="s">
        <v>136</v>
      </c>
      <c r="C136" s="37">
        <v>225</v>
      </c>
      <c r="D136" s="37">
        <v>54</v>
      </c>
      <c r="E136" s="37">
        <v>46</v>
      </c>
      <c r="F136" s="37">
        <v>53</v>
      </c>
      <c r="G136" s="37">
        <v>45</v>
      </c>
    </row>
    <row r="137" spans="2:7" x14ac:dyDescent="0.45">
      <c r="B137" s="36"/>
      <c r="C137" s="37"/>
      <c r="D137" s="37"/>
      <c r="E137" s="37"/>
      <c r="F137" s="37"/>
      <c r="G137" s="37"/>
    </row>
    <row r="138" spans="2:7" x14ac:dyDescent="0.45">
      <c r="B138" s="36" t="s">
        <v>137</v>
      </c>
      <c r="C138" s="37">
        <v>5</v>
      </c>
      <c r="D138" s="37">
        <v>16</v>
      </c>
      <c r="E138" s="37">
        <v>12</v>
      </c>
      <c r="F138" s="37">
        <v>17</v>
      </c>
      <c r="G138" s="37">
        <v>12</v>
      </c>
    </row>
    <row r="139" spans="2:7" x14ac:dyDescent="0.45">
      <c r="B139" s="36"/>
      <c r="C139" s="37"/>
      <c r="D139" s="37"/>
      <c r="E139" s="37"/>
      <c r="F139" s="37"/>
      <c r="G139" s="37"/>
    </row>
    <row r="140" spans="2:7" x14ac:dyDescent="0.45">
      <c r="B140" s="36" t="s">
        <v>138</v>
      </c>
      <c r="C140" s="37">
        <v>19</v>
      </c>
      <c r="D140" s="37">
        <v>4</v>
      </c>
      <c r="E140" s="37">
        <v>6</v>
      </c>
      <c r="F140" s="37">
        <v>5</v>
      </c>
      <c r="G140" s="37">
        <v>8</v>
      </c>
    </row>
    <row r="141" spans="2:7" x14ac:dyDescent="0.45">
      <c r="B141" s="36" t="s">
        <v>139</v>
      </c>
      <c r="C141" s="37">
        <v>2</v>
      </c>
      <c r="D141" s="37"/>
      <c r="E141" s="37"/>
      <c r="F141" s="37"/>
      <c r="G141" s="37"/>
    </row>
    <row r="142" spans="2:7" x14ac:dyDescent="0.45">
      <c r="B142" s="36" t="s">
        <v>140</v>
      </c>
      <c r="C142" s="37">
        <v>1</v>
      </c>
      <c r="D142" s="37">
        <v>2</v>
      </c>
      <c r="E142" s="37">
        <v>1</v>
      </c>
      <c r="F142" s="37">
        <v>2</v>
      </c>
      <c r="G142" s="37" t="s">
        <v>108</v>
      </c>
    </row>
    <row r="143" spans="2:7" x14ac:dyDescent="0.45">
      <c r="B143" s="36"/>
      <c r="C143" s="37"/>
      <c r="D143" s="37"/>
      <c r="E143" s="37"/>
      <c r="F143" s="37"/>
      <c r="G143" s="37"/>
    </row>
    <row r="144" spans="2:7" ht="28.5" x14ac:dyDescent="0.45">
      <c r="B144" s="36" t="s">
        <v>141</v>
      </c>
      <c r="C144" s="37">
        <v>1</v>
      </c>
      <c r="D144" s="37">
        <v>1</v>
      </c>
      <c r="E144" s="37" t="s">
        <v>108</v>
      </c>
      <c r="F144" s="37" t="s">
        <v>108</v>
      </c>
      <c r="G144" s="37">
        <v>2</v>
      </c>
    </row>
    <row r="145" spans="2:7" x14ac:dyDescent="0.45">
      <c r="B145" s="36"/>
      <c r="C145" s="37"/>
      <c r="D145" s="37"/>
      <c r="E145" s="37"/>
      <c r="F145" s="37"/>
      <c r="G145" s="37"/>
    </row>
    <row r="146" spans="2:7" x14ac:dyDescent="0.45">
      <c r="B146" s="31" t="s">
        <v>142</v>
      </c>
      <c r="C146" s="32">
        <v>761</v>
      </c>
      <c r="D146" s="32">
        <v>538</v>
      </c>
      <c r="E146" s="32">
        <v>597</v>
      </c>
      <c r="F146" s="32">
        <v>568</v>
      </c>
      <c r="G146" s="32">
        <v>620</v>
      </c>
    </row>
    <row r="147" spans="2:7" x14ac:dyDescent="0.45">
      <c r="B147" s="31"/>
      <c r="C147" s="32"/>
      <c r="D147" s="32"/>
      <c r="E147" s="32"/>
      <c r="F147" s="32"/>
      <c r="G147" s="32"/>
    </row>
    <row r="148" spans="2:7" x14ac:dyDescent="0.45">
      <c r="B148" s="36" t="s">
        <v>136</v>
      </c>
      <c r="C148" s="37">
        <v>101</v>
      </c>
      <c r="D148" s="37">
        <v>29</v>
      </c>
      <c r="E148" s="37">
        <v>27</v>
      </c>
      <c r="F148" s="37">
        <v>27</v>
      </c>
      <c r="G148" s="37">
        <v>26</v>
      </c>
    </row>
    <row r="149" spans="2:7" x14ac:dyDescent="0.45">
      <c r="B149" s="36"/>
      <c r="C149" s="37"/>
      <c r="D149" s="37"/>
      <c r="E149" s="37"/>
      <c r="F149" s="37"/>
      <c r="G149" s="37"/>
    </row>
    <row r="150" spans="2:7" x14ac:dyDescent="0.45">
      <c r="B150" s="36" t="s">
        <v>137</v>
      </c>
      <c r="C150" s="37">
        <v>45</v>
      </c>
      <c r="D150" s="37">
        <v>63</v>
      </c>
      <c r="E150" s="37">
        <v>42</v>
      </c>
      <c r="F150" s="37">
        <v>34</v>
      </c>
      <c r="G150" s="37">
        <v>36</v>
      </c>
    </row>
    <row r="151" spans="2:7" x14ac:dyDescent="0.45">
      <c r="B151" s="36"/>
      <c r="C151" s="37"/>
      <c r="D151" s="37"/>
      <c r="E151" s="37"/>
      <c r="F151" s="37"/>
      <c r="G151" s="37"/>
    </row>
    <row r="152" spans="2:7" x14ac:dyDescent="0.45">
      <c r="B152" s="36" t="s">
        <v>139</v>
      </c>
      <c r="C152" s="37">
        <v>232</v>
      </c>
      <c r="D152" s="37">
        <v>198</v>
      </c>
      <c r="E152" s="37">
        <v>252</v>
      </c>
      <c r="F152" s="37">
        <v>240</v>
      </c>
      <c r="G152" s="37">
        <v>271</v>
      </c>
    </row>
    <row r="153" spans="2:7" x14ac:dyDescent="0.45">
      <c r="B153" s="36"/>
      <c r="C153" s="37"/>
      <c r="D153" s="37"/>
      <c r="E153" s="37"/>
      <c r="F153" s="37"/>
      <c r="G153" s="37"/>
    </row>
    <row r="154" spans="2:7" x14ac:dyDescent="0.45">
      <c r="B154" s="36" t="s">
        <v>140</v>
      </c>
      <c r="C154" s="37">
        <v>151</v>
      </c>
      <c r="D154" s="37">
        <v>103</v>
      </c>
      <c r="E154" s="37">
        <v>111</v>
      </c>
      <c r="F154" s="37">
        <v>120</v>
      </c>
      <c r="G154" s="37">
        <v>132</v>
      </c>
    </row>
    <row r="155" spans="2:7" x14ac:dyDescent="0.45">
      <c r="B155" s="36"/>
      <c r="C155" s="37"/>
      <c r="D155" s="37"/>
      <c r="E155" s="37"/>
      <c r="F155" s="37"/>
      <c r="G155" s="37"/>
    </row>
    <row r="156" spans="2:7" ht="28.5" x14ac:dyDescent="0.45">
      <c r="B156" s="36" t="s">
        <v>143</v>
      </c>
      <c r="C156" s="37">
        <v>49</v>
      </c>
      <c r="D156" s="37">
        <v>23</v>
      </c>
      <c r="E156" s="37">
        <v>28</v>
      </c>
      <c r="F156" s="37">
        <v>26</v>
      </c>
      <c r="G156" s="37">
        <v>25</v>
      </c>
    </row>
    <row r="157" spans="2:7" x14ac:dyDescent="0.45">
      <c r="B157" s="36"/>
      <c r="C157" s="37"/>
      <c r="D157" s="37"/>
      <c r="E157" s="37"/>
      <c r="F157" s="37"/>
      <c r="G157" s="37"/>
    </row>
    <row r="158" spans="2:7" x14ac:dyDescent="0.45">
      <c r="B158" s="36" t="s">
        <v>144</v>
      </c>
      <c r="C158" s="37">
        <v>38</v>
      </c>
      <c r="D158" s="37">
        <v>24</v>
      </c>
      <c r="E158" s="37">
        <v>28</v>
      </c>
      <c r="F158" s="37">
        <v>35</v>
      </c>
      <c r="G158" s="37">
        <v>23</v>
      </c>
    </row>
    <row r="159" spans="2:7" x14ac:dyDescent="0.45">
      <c r="B159" s="36"/>
      <c r="C159" s="37"/>
      <c r="D159" s="37"/>
      <c r="E159" s="37"/>
      <c r="F159" s="37"/>
      <c r="G159" s="37"/>
    </row>
    <row r="160" spans="2:7" x14ac:dyDescent="0.45">
      <c r="B160" s="36" t="s">
        <v>145</v>
      </c>
      <c r="C160" s="37">
        <v>9</v>
      </c>
      <c r="D160" s="37">
        <v>8</v>
      </c>
      <c r="E160" s="37">
        <v>9</v>
      </c>
      <c r="F160" s="37">
        <v>8</v>
      </c>
      <c r="G160" s="37">
        <v>11</v>
      </c>
    </row>
    <row r="161" spans="2:7" x14ac:dyDescent="0.45">
      <c r="B161" s="36"/>
      <c r="C161" s="37"/>
      <c r="D161" s="37"/>
      <c r="E161" s="37"/>
      <c r="F161" s="37"/>
      <c r="G161" s="37"/>
    </row>
    <row r="162" spans="2:7" x14ac:dyDescent="0.45">
      <c r="B162" s="36" t="s">
        <v>146</v>
      </c>
      <c r="C162" s="37">
        <v>130</v>
      </c>
      <c r="D162" s="37">
        <v>88</v>
      </c>
      <c r="E162" s="37">
        <v>99</v>
      </c>
      <c r="F162" s="37">
        <v>90</v>
      </c>
      <c r="G162" s="37">
        <v>84</v>
      </c>
    </row>
    <row r="163" spans="2:7" x14ac:dyDescent="0.45">
      <c r="B163" s="36"/>
      <c r="C163" s="37"/>
      <c r="D163" s="37"/>
      <c r="E163" s="37"/>
      <c r="F163" s="37"/>
      <c r="G163" s="37"/>
    </row>
    <row r="164" spans="2:7" x14ac:dyDescent="0.45">
      <c r="B164" s="36" t="s">
        <v>147</v>
      </c>
      <c r="C164" s="37">
        <v>1</v>
      </c>
      <c r="D164" s="37">
        <v>1</v>
      </c>
      <c r="E164" s="37" t="s">
        <v>108</v>
      </c>
      <c r="F164" s="37">
        <v>3</v>
      </c>
      <c r="G164" s="37">
        <v>1</v>
      </c>
    </row>
    <row r="165" spans="2:7" x14ac:dyDescent="0.45">
      <c r="B165" s="36"/>
      <c r="C165" s="37"/>
      <c r="D165" s="37"/>
      <c r="E165" s="37"/>
      <c r="F165" s="37"/>
      <c r="G165" s="37"/>
    </row>
    <row r="166" spans="2:7" ht="28.5" x14ac:dyDescent="0.45">
      <c r="B166" s="36" t="s">
        <v>118</v>
      </c>
      <c r="C166" s="37">
        <v>5</v>
      </c>
      <c r="D166" s="37">
        <v>2</v>
      </c>
      <c r="E166" s="37">
        <v>2</v>
      </c>
      <c r="F166" s="37">
        <v>3</v>
      </c>
      <c r="G166" s="37">
        <v>10</v>
      </c>
    </row>
    <row r="167" spans="2:7" x14ac:dyDescent="0.45">
      <c r="B167" s="36"/>
      <c r="C167" s="37"/>
      <c r="D167" s="37"/>
      <c r="E167" s="37"/>
      <c r="F167" s="37"/>
      <c r="G167" s="37"/>
    </row>
    <row r="168" spans="2:7" ht="28.5" x14ac:dyDescent="0.45">
      <c r="B168" s="29" t="s">
        <v>148</v>
      </c>
      <c r="C168" s="21">
        <v>2294</v>
      </c>
      <c r="D168" s="21">
        <v>2204</v>
      </c>
      <c r="E168" s="21">
        <v>2095</v>
      </c>
      <c r="F168" s="21">
        <v>2172</v>
      </c>
      <c r="G168" s="21">
        <v>2092</v>
      </c>
    </row>
    <row r="169" spans="2:7" x14ac:dyDescent="0.45">
      <c r="B169" s="78"/>
      <c r="C169" s="79"/>
      <c r="D169" s="79"/>
      <c r="E169" s="79"/>
      <c r="F169" s="79"/>
      <c r="G169"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88AF7-35AE-4BB1-B2A2-E5AFE211ADD4}">
  <sheetPr codeName="Sheet7"/>
  <dimension ref="B2:W28"/>
  <sheetViews>
    <sheetView topLeftCell="A23" workbookViewId="0">
      <selection activeCell="T28" sqref="T28:W28"/>
    </sheetView>
  </sheetViews>
  <sheetFormatPr defaultRowHeight="14.25" x14ac:dyDescent="0.45"/>
  <cols>
    <col min="2" max="2" width="26.86328125" customWidth="1"/>
    <col min="3" max="3" width="14.59765625" customWidth="1"/>
    <col min="5" max="5" width="19" customWidth="1"/>
    <col min="7" max="9" width="5.3984375" customWidth="1"/>
    <col min="11" max="11" width="20.86328125" customWidth="1"/>
    <col min="14" max="14" width="24.3984375" customWidth="1"/>
    <col min="17" max="17" width="17.73046875" customWidth="1"/>
    <col min="18" max="18" width="18" customWidth="1"/>
  </cols>
  <sheetData>
    <row r="2" spans="2:16" x14ac:dyDescent="0.45">
      <c r="B2" s="151" t="s">
        <v>150</v>
      </c>
      <c r="C2" s="152"/>
      <c r="D2" s="152"/>
      <c r="E2" s="153"/>
      <c r="K2" s="151" t="s">
        <v>151</v>
      </c>
      <c r="L2" s="152"/>
      <c r="M2" s="152"/>
      <c r="N2" s="153"/>
    </row>
    <row r="3" spans="2:16" ht="28.5" customHeight="1" x14ac:dyDescent="0.45">
      <c r="B3" s="89" t="s">
        <v>152</v>
      </c>
      <c r="C3" s="89" t="s">
        <v>153</v>
      </c>
      <c r="D3" s="89" t="s">
        <v>154</v>
      </c>
      <c r="E3" s="89" t="s">
        <v>155</v>
      </c>
      <c r="K3" s="89" t="s">
        <v>152</v>
      </c>
      <c r="L3" s="89" t="s">
        <v>156</v>
      </c>
      <c r="M3" s="89" t="s">
        <v>157</v>
      </c>
      <c r="N3" s="89" t="s">
        <v>158</v>
      </c>
    </row>
    <row r="4" spans="2:16" x14ac:dyDescent="0.45">
      <c r="B4" s="86" t="s">
        <v>74</v>
      </c>
      <c r="C4" s="86">
        <v>474</v>
      </c>
      <c r="D4" s="86">
        <v>439</v>
      </c>
      <c r="E4" s="86" t="s">
        <v>159</v>
      </c>
      <c r="K4" s="86" t="s">
        <v>74</v>
      </c>
      <c r="L4" s="86">
        <v>424</v>
      </c>
      <c r="M4" s="86">
        <v>396</v>
      </c>
      <c r="N4" s="86" t="s">
        <v>160</v>
      </c>
    </row>
    <row r="5" spans="2:16" x14ac:dyDescent="0.45">
      <c r="B5" s="86" t="s">
        <v>161</v>
      </c>
      <c r="C5" s="86">
        <v>135</v>
      </c>
      <c r="D5" s="86">
        <v>118</v>
      </c>
      <c r="E5" s="86" t="s">
        <v>162</v>
      </c>
      <c r="K5" s="86" t="s">
        <v>161</v>
      </c>
      <c r="L5" s="86">
        <v>123</v>
      </c>
      <c r="M5" s="86">
        <v>117</v>
      </c>
      <c r="N5" s="86" t="s">
        <v>163</v>
      </c>
    </row>
    <row r="6" spans="2:16" x14ac:dyDescent="0.45">
      <c r="B6" s="86" t="s">
        <v>164</v>
      </c>
      <c r="C6" s="86" t="s">
        <v>165</v>
      </c>
      <c r="D6" s="86" t="s">
        <v>166</v>
      </c>
      <c r="E6" s="86"/>
      <c r="K6" s="86" t="s">
        <v>164</v>
      </c>
      <c r="L6" s="86" t="s">
        <v>167</v>
      </c>
      <c r="M6" s="86" t="s">
        <v>168</v>
      </c>
      <c r="N6" s="86"/>
    </row>
    <row r="7" spans="2:16" x14ac:dyDescent="0.45">
      <c r="B7" s="86" t="s">
        <v>169</v>
      </c>
      <c r="C7" s="86">
        <v>23</v>
      </c>
      <c r="D7" s="86">
        <v>21</v>
      </c>
      <c r="E7" s="86" t="s">
        <v>170</v>
      </c>
      <c r="K7" s="86" t="s">
        <v>169</v>
      </c>
      <c r="L7" s="86">
        <v>19</v>
      </c>
      <c r="M7" s="86">
        <v>15</v>
      </c>
      <c r="N7" s="86" t="s">
        <v>171</v>
      </c>
    </row>
    <row r="8" spans="2:16" x14ac:dyDescent="0.45">
      <c r="B8" s="86" t="s">
        <v>164</v>
      </c>
      <c r="C8" s="86" t="s">
        <v>172</v>
      </c>
      <c r="D8" s="86" t="s">
        <v>172</v>
      </c>
      <c r="E8" s="86"/>
      <c r="K8" s="86" t="s">
        <v>164</v>
      </c>
      <c r="L8" s="86" t="s">
        <v>173</v>
      </c>
      <c r="M8" s="86" t="s">
        <v>174</v>
      </c>
      <c r="N8" s="86"/>
    </row>
    <row r="9" spans="2:16" x14ac:dyDescent="0.45">
      <c r="B9" s="86" t="s">
        <v>175</v>
      </c>
      <c r="C9" s="86">
        <v>7</v>
      </c>
      <c r="D9" s="86">
        <v>6</v>
      </c>
      <c r="E9" s="86" t="s">
        <v>176</v>
      </c>
      <c r="K9" s="86" t="s">
        <v>175</v>
      </c>
      <c r="L9" s="86">
        <v>4</v>
      </c>
      <c r="M9" s="86">
        <v>-1</v>
      </c>
      <c r="N9" s="86"/>
    </row>
    <row r="10" spans="2:16" x14ac:dyDescent="0.45">
      <c r="B10" s="87" t="s">
        <v>164</v>
      </c>
      <c r="C10" s="87" t="s">
        <v>177</v>
      </c>
      <c r="D10" s="87" t="s">
        <v>177</v>
      </c>
      <c r="E10" s="86"/>
      <c r="K10" s="87" t="s">
        <v>164</v>
      </c>
      <c r="L10" s="87" t="s">
        <v>178</v>
      </c>
      <c r="M10" s="87" t="s">
        <v>179</v>
      </c>
      <c r="N10" s="86"/>
    </row>
    <row r="11" spans="2:16" x14ac:dyDescent="0.45">
      <c r="B11" s="154" t="s">
        <v>180</v>
      </c>
      <c r="C11" s="155"/>
      <c r="D11" s="155"/>
      <c r="E11" s="156"/>
      <c r="K11" s="154" t="s">
        <v>181</v>
      </c>
      <c r="L11" s="155"/>
      <c r="M11" s="155"/>
      <c r="N11" s="156"/>
    </row>
    <row r="13" spans="2:16" ht="96" customHeight="1" x14ac:dyDescent="0.45">
      <c r="B13" s="145" t="s">
        <v>182</v>
      </c>
      <c r="C13" s="145"/>
      <c r="D13" s="145"/>
      <c r="E13" s="145"/>
      <c r="F13" s="145"/>
      <c r="K13" s="145" t="s">
        <v>183</v>
      </c>
      <c r="L13" s="145"/>
      <c r="M13" s="145"/>
      <c r="N13" s="145"/>
      <c r="O13" s="145"/>
      <c r="P13" s="94"/>
    </row>
    <row r="14" spans="2:16" ht="63.75" customHeight="1" x14ac:dyDescent="0.45">
      <c r="B14" s="145" t="s">
        <v>184</v>
      </c>
      <c r="C14" s="145"/>
      <c r="D14" s="145"/>
      <c r="E14" s="145"/>
      <c r="F14" s="90"/>
      <c r="G14" s="88"/>
      <c r="H14" s="88"/>
      <c r="I14" s="88"/>
      <c r="J14" s="88"/>
      <c r="K14" s="145" t="s">
        <v>185</v>
      </c>
      <c r="L14" s="145"/>
      <c r="M14" s="145"/>
      <c r="N14" s="145"/>
      <c r="O14" s="94"/>
    </row>
    <row r="15" spans="2:16" ht="57" customHeight="1" x14ac:dyDescent="0.45">
      <c r="B15" s="145" t="s">
        <v>186</v>
      </c>
      <c r="C15" s="145"/>
      <c r="D15" s="145"/>
      <c r="E15" s="145"/>
      <c r="F15" s="91"/>
      <c r="K15" s="145" t="s">
        <v>187</v>
      </c>
      <c r="L15" s="145"/>
      <c r="M15" s="145"/>
      <c r="N15" s="145"/>
    </row>
    <row r="16" spans="2:16" ht="39.75" customHeight="1" x14ac:dyDescent="0.45">
      <c r="B16" s="145" t="s">
        <v>188</v>
      </c>
      <c r="C16" s="145"/>
      <c r="D16" s="145"/>
      <c r="E16" s="145"/>
      <c r="F16" s="92"/>
      <c r="K16" s="145" t="s">
        <v>189</v>
      </c>
      <c r="L16" s="145"/>
      <c r="M16" s="145"/>
      <c r="N16" s="145"/>
    </row>
    <row r="17" spans="2:23" ht="62.25" customHeight="1" x14ac:dyDescent="0.45">
      <c r="B17" s="145" t="s">
        <v>190</v>
      </c>
      <c r="C17" s="145"/>
      <c r="D17" s="145"/>
      <c r="E17" s="145"/>
      <c r="F17" s="92"/>
      <c r="K17" s="145" t="s">
        <v>191</v>
      </c>
      <c r="L17" s="145"/>
      <c r="M17" s="145"/>
      <c r="N17" s="145"/>
    </row>
    <row r="18" spans="2:23" ht="77.25" customHeight="1" x14ac:dyDescent="0.45">
      <c r="B18" s="145" t="s">
        <v>192</v>
      </c>
      <c r="C18" s="145"/>
      <c r="D18" s="145"/>
      <c r="E18" s="145"/>
      <c r="F18" s="92"/>
      <c r="K18" s="145" t="s">
        <v>193</v>
      </c>
      <c r="L18" s="145"/>
      <c r="M18" s="145"/>
      <c r="N18" s="145"/>
    </row>
    <row r="19" spans="2:23" ht="55.5" customHeight="1" x14ac:dyDescent="0.45">
      <c r="B19" s="145" t="s">
        <v>194</v>
      </c>
      <c r="C19" s="145"/>
      <c r="D19" s="145"/>
      <c r="E19" s="145"/>
      <c r="K19" s="145" t="s">
        <v>195</v>
      </c>
      <c r="L19" s="145"/>
      <c r="M19" s="145"/>
      <c r="N19" s="145"/>
    </row>
    <row r="20" spans="2:23" ht="36" customHeight="1" x14ac:dyDescent="0.45">
      <c r="B20" s="146" t="s">
        <v>196</v>
      </c>
      <c r="C20" s="146"/>
      <c r="D20" s="146"/>
      <c r="E20" s="146"/>
      <c r="F20" s="146"/>
      <c r="G20" s="146"/>
      <c r="H20" s="93"/>
      <c r="I20" s="93"/>
      <c r="K20" s="146" t="s">
        <v>197</v>
      </c>
      <c r="L20" s="146"/>
      <c r="M20" s="146"/>
      <c r="N20" s="146"/>
      <c r="O20" s="146"/>
      <c r="P20" s="146"/>
    </row>
    <row r="21" spans="2:23" x14ac:dyDescent="0.45">
      <c r="B21" s="147" t="s">
        <v>198</v>
      </c>
      <c r="C21" s="148"/>
      <c r="D21" s="148"/>
      <c r="E21" s="149"/>
      <c r="K21" s="147" t="s">
        <v>198</v>
      </c>
      <c r="L21" s="148"/>
      <c r="M21" s="148"/>
      <c r="N21" s="149"/>
    </row>
    <row r="22" spans="2:23" ht="80.25" customHeight="1" x14ac:dyDescent="0.45">
      <c r="B22" s="142" t="s">
        <v>199</v>
      </c>
      <c r="C22" s="142"/>
      <c r="D22" s="142"/>
      <c r="E22" s="142"/>
      <c r="K22" s="142" t="s">
        <v>200</v>
      </c>
      <c r="L22" s="142"/>
      <c r="M22" s="142"/>
      <c r="N22" s="142"/>
    </row>
    <row r="23" spans="2:23" ht="92.25" customHeight="1" x14ac:dyDescent="0.45">
      <c r="B23" s="142" t="s">
        <v>201</v>
      </c>
      <c r="C23" s="142"/>
      <c r="D23" s="142"/>
      <c r="E23" s="142"/>
      <c r="K23" s="142" t="s">
        <v>202</v>
      </c>
      <c r="L23" s="142"/>
      <c r="M23" s="142"/>
      <c r="N23" s="142"/>
    </row>
    <row r="25" spans="2:23" x14ac:dyDescent="0.45">
      <c r="J25" s="95"/>
    </row>
    <row r="26" spans="2:23" x14ac:dyDescent="0.45">
      <c r="B26" s="95" t="s">
        <v>203</v>
      </c>
      <c r="J26" s="96" t="s">
        <v>204</v>
      </c>
      <c r="O26" s="97" t="s">
        <v>205</v>
      </c>
      <c r="T26" s="98" t="s">
        <v>206</v>
      </c>
      <c r="U26" s="99"/>
      <c r="V26" s="99"/>
      <c r="W26" s="99"/>
    </row>
    <row r="27" spans="2:23" ht="127.5" customHeight="1" x14ac:dyDescent="0.45">
      <c r="B27" s="143" t="s">
        <v>207</v>
      </c>
      <c r="C27" s="143"/>
      <c r="D27" s="143"/>
      <c r="E27" s="143"/>
      <c r="J27" s="144" t="s">
        <v>208</v>
      </c>
      <c r="K27" s="144"/>
      <c r="L27" s="144"/>
      <c r="M27" s="144"/>
      <c r="O27" s="150" t="s">
        <v>209</v>
      </c>
      <c r="P27" s="150"/>
      <c r="Q27" s="150"/>
      <c r="R27" s="150"/>
      <c r="T27" s="141" t="s">
        <v>210</v>
      </c>
      <c r="U27" s="141"/>
      <c r="V27" s="141"/>
      <c r="W27" s="141"/>
    </row>
    <row r="28" spans="2:23" ht="126" customHeight="1" x14ac:dyDescent="0.45">
      <c r="B28" s="143" t="s">
        <v>211</v>
      </c>
      <c r="C28" s="143"/>
      <c r="D28" s="143"/>
      <c r="E28" s="143"/>
      <c r="J28" s="144" t="s">
        <v>212</v>
      </c>
      <c r="K28" s="144"/>
      <c r="L28" s="144"/>
      <c r="M28" s="144"/>
      <c r="O28" s="150" t="s">
        <v>213</v>
      </c>
      <c r="P28" s="150"/>
      <c r="Q28" s="150"/>
      <c r="R28" s="150"/>
      <c r="T28" s="141" t="s">
        <v>214</v>
      </c>
      <c r="U28" s="141"/>
      <c r="V28" s="141"/>
      <c r="W28" s="141"/>
    </row>
  </sheetData>
  <mergeCells count="34">
    <mergeCell ref="B14:E14"/>
    <mergeCell ref="K14:N14"/>
    <mergeCell ref="K15:N15"/>
    <mergeCell ref="B15:E15"/>
    <mergeCell ref="B17:E17"/>
    <mergeCell ref="B2:E2"/>
    <mergeCell ref="K2:N2"/>
    <mergeCell ref="K11:N11"/>
    <mergeCell ref="B11:E11"/>
    <mergeCell ref="K13:O13"/>
    <mergeCell ref="B13:F13"/>
    <mergeCell ref="K21:N21"/>
    <mergeCell ref="B22:E22"/>
    <mergeCell ref="B23:E23"/>
    <mergeCell ref="B21:E21"/>
    <mergeCell ref="B16:E16"/>
    <mergeCell ref="B18:E18"/>
    <mergeCell ref="B20:G20"/>
    <mergeCell ref="B19:E19"/>
    <mergeCell ref="K16:N16"/>
    <mergeCell ref="K17:N17"/>
    <mergeCell ref="K18:N18"/>
    <mergeCell ref="K19:N19"/>
    <mergeCell ref="K20:P20"/>
    <mergeCell ref="T27:W27"/>
    <mergeCell ref="T28:W28"/>
    <mergeCell ref="K22:N22"/>
    <mergeCell ref="K23:N23"/>
    <mergeCell ref="B27:E27"/>
    <mergeCell ref="B28:E28"/>
    <mergeCell ref="J27:M27"/>
    <mergeCell ref="J28:M28"/>
    <mergeCell ref="O27:R27"/>
    <mergeCell ref="O28:R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4DFA9-2D73-4E36-920E-3FB191E086FF}">
  <sheetPr codeName="Sheet8"/>
  <dimension ref="A3:E24"/>
  <sheetViews>
    <sheetView workbookViewId="0">
      <selection activeCell="H22" sqref="H22"/>
    </sheetView>
  </sheetViews>
  <sheetFormatPr defaultRowHeight="14.25" x14ac:dyDescent="0.45"/>
  <cols>
    <col min="1" max="1" width="26.265625" customWidth="1"/>
  </cols>
  <sheetData>
    <row r="3" spans="1:5" x14ac:dyDescent="0.45">
      <c r="A3" s="16"/>
      <c r="B3" s="1">
        <v>2019</v>
      </c>
      <c r="C3" s="1">
        <v>2020</v>
      </c>
      <c r="D3" s="1">
        <v>2021</v>
      </c>
      <c r="E3" s="1" t="s">
        <v>16</v>
      </c>
    </row>
    <row r="4" spans="1:5" x14ac:dyDescent="0.45">
      <c r="A4" s="104" t="s">
        <v>215</v>
      </c>
      <c r="B4" s="118">
        <v>-53</v>
      </c>
      <c r="C4" s="118">
        <v>-98</v>
      </c>
      <c r="D4" s="118">
        <v>-14</v>
      </c>
      <c r="E4" s="118">
        <v>-20</v>
      </c>
    </row>
    <row r="5" spans="1:5" x14ac:dyDescent="0.45">
      <c r="A5" s="114" t="s">
        <v>216</v>
      </c>
      <c r="B5" s="48">
        <v>123</v>
      </c>
      <c r="C5" s="48">
        <v>-153</v>
      </c>
      <c r="D5" s="48">
        <v>-116</v>
      </c>
      <c r="E5" s="48">
        <v>-101</v>
      </c>
    </row>
    <row r="6" spans="1:5" x14ac:dyDescent="0.45">
      <c r="A6" s="16" t="s">
        <v>226</v>
      </c>
      <c r="B6" s="35">
        <v>50</v>
      </c>
      <c r="C6" s="35">
        <v>25</v>
      </c>
      <c r="D6" s="35">
        <v>-48</v>
      </c>
      <c r="E6" s="35">
        <v>-102</v>
      </c>
    </row>
    <row r="7" spans="1:5" x14ac:dyDescent="0.45">
      <c r="A7" s="16" t="s">
        <v>230</v>
      </c>
      <c r="B7" s="35">
        <v>4</v>
      </c>
      <c r="C7" s="35">
        <v>50</v>
      </c>
      <c r="D7" s="35">
        <v>6</v>
      </c>
      <c r="E7" s="35">
        <v>14</v>
      </c>
    </row>
    <row r="8" spans="1:5" x14ac:dyDescent="0.45">
      <c r="A8" s="16" t="s">
        <v>231</v>
      </c>
      <c r="B8" s="35">
        <v>19</v>
      </c>
      <c r="C8" s="35">
        <v>2</v>
      </c>
      <c r="D8" s="35">
        <v>38</v>
      </c>
      <c r="E8" s="35">
        <v>-5</v>
      </c>
    </row>
    <row r="9" spans="1:5" x14ac:dyDescent="0.45">
      <c r="A9" s="16" t="s">
        <v>227</v>
      </c>
      <c r="B9" s="35">
        <v>-226</v>
      </c>
      <c r="C9" s="35">
        <v>-403</v>
      </c>
      <c r="D9" s="35">
        <v>-273</v>
      </c>
      <c r="E9" s="35">
        <v>-87</v>
      </c>
    </row>
    <row r="10" spans="1:5" x14ac:dyDescent="0.45">
      <c r="A10" s="114" t="s">
        <v>217</v>
      </c>
      <c r="B10" s="48">
        <v>-28</v>
      </c>
      <c r="C10" s="48">
        <v>892</v>
      </c>
      <c r="D10" s="48">
        <v>-2</v>
      </c>
      <c r="E10" s="48">
        <v>-59</v>
      </c>
    </row>
    <row r="11" spans="1:5" ht="17.649999999999999" customHeight="1" x14ac:dyDescent="0.45">
      <c r="A11" s="13" t="s">
        <v>220</v>
      </c>
      <c r="B11" s="35">
        <v>-38</v>
      </c>
      <c r="C11" s="35">
        <v>-33</v>
      </c>
      <c r="D11" s="35">
        <v>-26</v>
      </c>
      <c r="E11" s="35">
        <v>-13</v>
      </c>
    </row>
    <row r="12" spans="1:5" ht="28.5" x14ac:dyDescent="0.45">
      <c r="A12" s="117" t="s">
        <v>224</v>
      </c>
      <c r="B12" s="35">
        <v>-16</v>
      </c>
      <c r="C12" s="35">
        <v>-1</v>
      </c>
      <c r="D12" s="35">
        <v>-1</v>
      </c>
      <c r="E12" s="35">
        <v>-48</v>
      </c>
    </row>
    <row r="13" spans="1:5" x14ac:dyDescent="0.45">
      <c r="A13" s="16" t="s">
        <v>225</v>
      </c>
      <c r="B13" s="35">
        <v>16</v>
      </c>
      <c r="C13" s="35">
        <v>915</v>
      </c>
      <c r="D13" s="35" t="s">
        <v>108</v>
      </c>
      <c r="E13" s="35">
        <v>-2</v>
      </c>
    </row>
    <row r="14" spans="1:5" x14ac:dyDescent="0.45">
      <c r="A14" s="114" t="s">
        <v>218</v>
      </c>
      <c r="B14" s="48">
        <v>-131</v>
      </c>
      <c r="C14" s="48">
        <v>-249</v>
      </c>
      <c r="D14" s="48">
        <v>-67</v>
      </c>
      <c r="E14" s="48">
        <v>-46</v>
      </c>
    </row>
    <row r="15" spans="1:5" x14ac:dyDescent="0.45">
      <c r="A15" s="1" t="s">
        <v>228</v>
      </c>
      <c r="B15" s="35" t="s">
        <v>108</v>
      </c>
      <c r="C15" s="35" t="s">
        <v>108</v>
      </c>
      <c r="D15" s="35">
        <v>-29</v>
      </c>
      <c r="E15" s="35">
        <v>-21</v>
      </c>
    </row>
    <row r="16" spans="1:5" x14ac:dyDescent="0.45">
      <c r="A16" s="13" t="s">
        <v>222</v>
      </c>
      <c r="B16" s="35">
        <v>127</v>
      </c>
      <c r="C16" s="35">
        <v>59</v>
      </c>
      <c r="D16" s="35">
        <v>2</v>
      </c>
      <c r="E16" s="35" t="s">
        <v>108</v>
      </c>
    </row>
    <row r="17" spans="1:5" x14ac:dyDescent="0.45">
      <c r="A17" s="13" t="s">
        <v>223</v>
      </c>
      <c r="B17" s="35">
        <v>-291</v>
      </c>
      <c r="C17" s="35">
        <v>-259</v>
      </c>
      <c r="D17" s="35">
        <v>-3</v>
      </c>
      <c r="E17" s="35">
        <v>-13</v>
      </c>
    </row>
    <row r="18" spans="1:5" x14ac:dyDescent="0.45">
      <c r="A18" s="1" t="s">
        <v>229</v>
      </c>
      <c r="B18" s="35">
        <v>-42</v>
      </c>
      <c r="C18" s="35">
        <v>-34</v>
      </c>
      <c r="D18" s="35">
        <v>-29</v>
      </c>
      <c r="E18" s="35">
        <v>-15</v>
      </c>
    </row>
    <row r="23" spans="1:5" x14ac:dyDescent="0.45">
      <c r="A23" s="100" t="s">
        <v>221</v>
      </c>
    </row>
    <row r="24" spans="1:5" x14ac:dyDescent="0.45">
      <c r="A24" s="100" t="s">
        <v>219</v>
      </c>
      <c r="B24">
        <f>B5+B17</f>
        <v>-168</v>
      </c>
      <c r="C24">
        <f>C5+C17</f>
        <v>-412</v>
      </c>
      <c r="D24">
        <f>D5+D17</f>
        <v>-119</v>
      </c>
      <c r="E24">
        <f>E5+E17</f>
        <v>-114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8FD3D2F5058E478FA33E2BA156449C" ma:contentTypeVersion="11" ma:contentTypeDescription="Een nieuw document maken." ma:contentTypeScope="" ma:versionID="f20e3e2d2d56e703239a9c9d1b04f6f2">
  <xsd:schema xmlns:xsd="http://www.w3.org/2001/XMLSchema" xmlns:xs="http://www.w3.org/2001/XMLSchema" xmlns:p="http://schemas.microsoft.com/office/2006/metadata/properties" xmlns:ns3="149ad723-28b2-4380-8daa-263b61c8b59b" xmlns:ns4="81e51df1-7df0-4197-baac-2d5cb9c6aad5" targetNamespace="http://schemas.microsoft.com/office/2006/metadata/properties" ma:root="true" ma:fieldsID="15744e1c42dd0a7b2f7e46cabdb2e8ea" ns3:_="" ns4:_="">
    <xsd:import namespace="149ad723-28b2-4380-8daa-263b61c8b59b"/>
    <xsd:import namespace="81e51df1-7df0-4197-baac-2d5cb9c6aad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ad723-28b2-4380-8daa-263b61c8b5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e51df1-7df0-4197-baac-2d5cb9c6aad5"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element name="SharingHintHash" ma:index="18"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39CFB8-E0D2-4B0C-93FE-A511BE52AB0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ACD882-CBC4-43DA-8633-5D5CD82542D0}">
  <ds:schemaRefs>
    <ds:schemaRef ds:uri="http://schemas.microsoft.com/sharepoint/v3/contenttype/forms"/>
  </ds:schemaRefs>
</ds:datastoreItem>
</file>

<file path=customXml/itemProps3.xml><?xml version="1.0" encoding="utf-8"?>
<ds:datastoreItem xmlns:ds="http://schemas.openxmlformats.org/officeDocument/2006/customXml" ds:itemID="{A4735BDC-412C-46A1-A241-00C865076C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ad723-28b2-4380-8daa-263b61c8b59b"/>
    <ds:schemaRef ds:uri="81e51df1-7df0-4197-baac-2d5cb9c6aa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Ratio </vt:lpstr>
      <vt:lpstr>Orginal Tables</vt:lpstr>
      <vt:lpstr>Income Statement</vt:lpstr>
      <vt:lpstr>Blance sheet</vt:lpstr>
      <vt:lpstr>Comparing Qs</vt:lpstr>
      <vt:lpstr>Cashflow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mostafa firouz</dc:creator>
  <cp:keywords/>
  <dc:description/>
  <cp:lastModifiedBy>Mostafa Firouz</cp:lastModifiedBy>
  <cp:revision/>
  <dcterms:created xsi:type="dcterms:W3CDTF">2022-11-15T15:08:50Z</dcterms:created>
  <dcterms:modified xsi:type="dcterms:W3CDTF">2025-01-19T13:24:46Z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0x010100F08FD3D2F5058E478FA33E2BA156449C</vt:lpwstr>
  </property>
</Properties>
</file>