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Site Layouts" sheetId="2" state="visible" r:id="rId2"/>
    <sheet xmlns:r="http://schemas.openxmlformats.org/officeDocument/2006/relationships" name="Data Input" sheetId="3" state="visible" r:id="rId3"/>
  </sheets>
  <definedNames>
    <definedName name="_xlnm.Print_Area" localSheetId="0">'Report'!$A$1:$BF$332</definedName>
    <definedName name="_xlnm.Print_Area" localSheetId="1">'Site Layouts'!$A$1:$M$68</definedName>
    <definedName name="_xlnm.Print_Area" localSheetId="2">'Data Input'!$A$1:$P$174</definedName>
  </definedNames>
  <calcPr calcId="124519" fullCalcOnLoad="1"/>
</workbook>
</file>

<file path=xl/styles.xml><?xml version="1.0" encoding="utf-8"?>
<styleSheet xmlns="http://schemas.openxmlformats.org/spreadsheetml/2006/main">
  <numFmts count="11">
    <numFmt numFmtId="164" formatCode="ddd dd-mmm-yyyy  hh:mm"/>
    <numFmt numFmtId="165" formatCode="dd-mmm-yyyy hh:mm"/>
    <numFmt numFmtId="166" formatCode="0.0"/>
    <numFmt numFmtId="167" formatCode="ddd dd-mmm-yyyy hh:mm"/>
    <numFmt numFmtId="168" formatCode="0.0&quot; h&quot;"/>
    <numFmt numFmtId="169" formatCode="dd-mmm-yyyy"/>
    <numFmt numFmtId="170" formatCode="dd-mmm hh:mm"/>
    <numFmt numFmtId="171" formatCode="hh:mm"/>
    <numFmt numFmtId="172" formatCode="ddd dd-mmm hh:mm"/>
    <numFmt numFmtId="173" formatCode="+0.0&quot; h behind&quot;;-0.0&quot; h ahead&quot;;&quot;on time&quot;"/>
    <numFmt numFmtId="174" formatCode="+0.0;-0.0;0.0"/>
  </numFmts>
  <fonts count="31">
    <font>
      <name val="Calibri"/>
      <family val="2"/>
      <color theme="1"/>
      <sz val="11"/>
      <scheme val="minor"/>
    </font>
    <font>
      <name val="Calibri"/>
      <b val="1"/>
      <color rgb="FFFFFFFF"/>
      <sz val="13"/>
    </font>
    <font>
      <name val="Calibri"/>
      <i val="1"/>
      <color rgb="FF768692"/>
      <sz val="9"/>
    </font>
    <font>
      <name val="Calibri"/>
      <b val="1"/>
      <color rgb="FFFFFFFF"/>
      <sz val="9.5"/>
    </font>
    <font>
      <name val="Calibri"/>
      <b val="1"/>
      <color rgb="FF00778B"/>
      <sz val="11"/>
    </font>
    <font>
      <name val="Calibri"/>
      <color rgb="FF3D3935"/>
      <sz val="10"/>
    </font>
    <font>
      <name val="Calibri"/>
      <b val="1"/>
      <color rgb="FFCB2C30"/>
      <sz val="11"/>
    </font>
    <font>
      <name val="Calibri"/>
      <b val="1"/>
      <color rgb="FFFFFFFF"/>
      <sz val="11"/>
    </font>
    <font>
      <name val="Calibri"/>
      <b val="1"/>
      <color rgb="FF00778B"/>
      <sz val="10"/>
    </font>
    <font>
      <name val="Calibri"/>
      <b val="1"/>
      <color rgb="FF3D3935"/>
      <sz val="10"/>
    </font>
    <font>
      <name val="Calibri"/>
      <i val="1"/>
      <color rgb="FF768692"/>
      <sz val="8.5"/>
    </font>
    <font>
      <name val="Calibri"/>
      <b val="1"/>
      <sz val="10"/>
    </font>
    <font>
      <name val="Calibri"/>
      <b val="1"/>
      <color rgb="FFFFFFFF"/>
      <sz val="12"/>
    </font>
    <font>
      <name val="Calibri"/>
      <b val="1"/>
      <color rgb="FFFFFFFF"/>
      <sz val="9"/>
    </font>
    <font>
      <name val="Calibri"/>
      <sz val="9"/>
    </font>
    <font>
      <name val="Calibri"/>
      <color rgb="FF00778B"/>
      <sz val="9"/>
    </font>
    <font>
      <name val="Calibri"/>
      <b val="1"/>
      <color rgb="FF3D3935"/>
      <sz val="9"/>
    </font>
    <font>
      <name val="Calibri"/>
      <color rgb="FF3D3935"/>
      <sz val="9"/>
    </font>
    <font>
      <name val="Calibri"/>
      <b val="1"/>
      <color rgb="FFFFFFFF"/>
      <sz val="22"/>
    </font>
    <font>
      <name val="Calibri"/>
      <b val="1"/>
      <color rgb="FFFFFFFF"/>
      <sz val="10"/>
    </font>
    <font>
      <name val="Calibri"/>
      <sz val="9.5"/>
    </font>
    <font>
      <name val="Calibri"/>
      <b val="1"/>
      <sz val="9.5"/>
    </font>
    <font>
      <name val="Calibri"/>
      <b val="1"/>
      <color rgb="FFFFFFFF"/>
      <sz val="14"/>
    </font>
    <font>
      <name val="Calibri"/>
      <b val="1"/>
      <color rgb="FF3D3935"/>
      <sz val="8"/>
    </font>
    <font>
      <name val="Calibri"/>
      <sz val="8"/>
    </font>
    <font>
      <name val="Calibri"/>
      <b val="1"/>
      <color rgb="FFFFFFFF"/>
      <sz val="7.5"/>
    </font>
    <font>
      <name val="Calibri"/>
      <b val="1"/>
      <sz val="8"/>
    </font>
    <font>
      <name val="Calibri"/>
      <color rgb="FF768692"/>
      <sz val="7"/>
    </font>
    <font>
      <name val="Calibri"/>
      <b val="1"/>
      <color rgb="FF59CBE8"/>
      <sz val="9.5"/>
    </font>
    <font>
      <name val="Calibri"/>
      <color rgb="FF3D3935"/>
      <sz val="8"/>
    </font>
    <font>
      <name val="Calibri"/>
      <i val="1"/>
      <color rgb="FF768692"/>
      <sz val="8"/>
    </font>
  </fonts>
  <fills count="15">
    <fill>
      <patternFill/>
    </fill>
    <fill>
      <patternFill patternType="gray125"/>
    </fill>
    <fill>
      <patternFill patternType="solid">
        <fgColor rgb="FF00778B"/>
      </patternFill>
    </fill>
    <fill>
      <patternFill patternType="solid">
        <fgColor rgb="FFF2F8F9"/>
      </patternFill>
    </fill>
    <fill>
      <patternFill patternType="solid">
        <fgColor rgb="FF768692"/>
      </patternFill>
    </fill>
    <fill>
      <patternFill patternType="solid">
        <fgColor rgb="FFFFF2CC"/>
      </patternFill>
    </fill>
    <fill>
      <patternFill patternType="solid">
        <fgColor rgb="FF3D3935"/>
      </patternFill>
    </fill>
    <fill>
      <patternFill patternType="solid">
        <fgColor rgb="FFE6F1F4"/>
      </patternFill>
    </fill>
    <fill>
      <patternFill patternType="solid">
        <fgColor rgb="FF2E8B57"/>
      </patternFill>
    </fill>
    <fill>
      <patternFill patternType="solid">
        <fgColor rgb="FFEAF7EE"/>
      </patternFill>
    </fill>
    <fill>
      <patternFill patternType="solid">
        <fgColor rgb="FFC8C9C7"/>
      </patternFill>
    </fill>
    <fill>
      <patternFill patternType="solid">
        <fgColor rgb="FFCB2C30"/>
      </patternFill>
    </fill>
    <fill>
      <patternFill patternType="solid">
        <fgColor rgb="FF59CBE8"/>
      </patternFill>
    </fill>
    <fill>
      <patternFill patternType="solid">
        <fgColor rgb="FFF1B434"/>
      </patternFill>
    </fill>
    <fill>
      <patternFill patternType="solid">
        <fgColor rgb="FFBFE3EA"/>
      </patternFill>
    </fill>
  </fills>
  <borders count="17">
    <border>
      <left/>
      <right/>
      <top/>
      <bottom/>
      <diagonal/>
    </border>
    <border>
      <left style="thin">
        <color rgb="FFD5DDE0"/>
      </left>
      <right style="thin">
        <color rgb="FFD5DDE0"/>
      </right>
      <top style="thin">
        <color rgb="FFD5DDE0"/>
      </top>
      <bottom style="thin">
        <color rgb="FFD5DDE0"/>
      </bottom>
    </border>
    <border>
      <left/>
      <right/>
      <top style="thin">
        <color rgb="FFD5DDE0"/>
      </top>
      <bottom/>
      <diagonal/>
    </border>
    <border>
      <left/>
      <right style="thin">
        <color rgb="FFD5DDE0"/>
      </right>
      <top style="thin">
        <color rgb="FFD5DDE0"/>
      </top>
      <bottom/>
      <diagonal/>
    </border>
    <border>
      <left/>
      <right/>
      <top style="thin">
        <color rgb="FFD5DDE0"/>
      </top>
      <bottom style="thin">
        <color rgb="FFD5DDE0"/>
      </bottom>
      <diagonal/>
    </border>
    <border>
      <left/>
      <right style="thin">
        <color rgb="FFD5DDE0"/>
      </right>
      <top style="thin">
        <color rgb="FFD5DDE0"/>
      </top>
      <bottom style="thin">
        <color rgb="FFD5DDE0"/>
      </bottom>
      <diagonal/>
    </border>
    <border>
      <left style="thin">
        <color rgb="FFFFFFFF"/>
      </left>
      <right style="thin">
        <color rgb="FFFFFFFF"/>
      </right>
    </border>
    <border>
      <left style="thin">
        <color rgb="FF768692"/>
      </left>
      <right style="thin">
        <color rgb="FF768692"/>
      </right>
    </border>
    <border>
      <left style="thin">
        <color rgb="FFD5DDE0"/>
      </left>
      <right/>
      <top/>
      <bottom/>
      <diagonal/>
    </border>
    <border>
      <left style="thin">
        <color rgb="FFD5DDE0"/>
      </left>
      <right style="thin">
        <color rgb="FFD5DDE0"/>
      </right>
      <top/>
      <bottom/>
      <diagonal/>
    </border>
    <border>
      <left style="thin">
        <color rgb="FFD5DDE0"/>
      </left>
      <right style="thin">
        <color rgb="FFD5DDE0"/>
      </right>
      <top/>
      <bottom style="thin">
        <color rgb="FFD5DDE0"/>
      </bottom>
      <diagonal/>
    </border>
    <border>
      <left style="thin">
        <color rgb="FFD5DDE0"/>
      </left>
      <right style="thin">
        <color rgb="FFD5DDE0"/>
      </right>
      <top style="thin">
        <color rgb="FFD5DDE0"/>
      </top>
    </border>
    <border>
      <left style="thin">
        <color rgb="FFD5DDE0"/>
      </left>
      <right style="thin">
        <color rgb="FFD5DDE0"/>
      </right>
      <bottom style="thin">
        <color rgb="FFD5DDE0"/>
      </bottom>
    </border>
    <border>
      <left/>
      <right style="thin">
        <color rgb="FF768692"/>
      </right>
      <top/>
      <bottom/>
      <diagonal/>
    </border>
    <border>
      <left/>
      <right style="thin">
        <color rgb="FFFFFFFF"/>
      </right>
      <top/>
      <bottom/>
      <diagonal/>
    </border>
    <border>
      <left style="thin">
        <color rgb="FF768692"/>
      </left>
      <right style="thin">
        <color rgb="FF768692"/>
      </right>
      <bottom/>
    </border>
    <border>
      <left style="thin">
        <color rgb="FFFFFFFF"/>
      </left>
      <right style="thin">
        <color rgb="FFFFFFFF"/>
      </right>
      <bottom/>
    </border>
  </borders>
  <cellStyleXfs count="1">
    <xf numFmtId="0" fontId="0" fillId="0" borderId="0"/>
  </cellStyleXfs>
  <cellXfs count="12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4" fillId="5" borderId="1" applyAlignment="1" applyProtection="1" pivotButton="0" quotePrefix="0" xfId="0">
      <alignment horizontal="center" vertical="center"/>
      <protection locked="0" hidden="0"/>
    </xf>
    <xf numFmtId="0" fontId="5" fillId="5" borderId="1" applyAlignment="1" applyProtection="1" pivotButton="0" quotePrefix="0" xfId="0">
      <alignment horizontal="center" vertical="center"/>
      <protection locked="0" hidden="0"/>
    </xf>
    <xf numFmtId="164" fontId="6" fillId="5" borderId="1" applyAlignment="1" applyProtection="1" pivotButton="0" quotePrefix="0" xfId="0">
      <alignment horizontal="center" vertical="center"/>
      <protection locked="0" hidden="0"/>
    </xf>
    <xf numFmtId="0" fontId="7" fillId="6" borderId="0" applyAlignment="1" pivotButton="0" quotePrefix="0" xfId="0">
      <alignment horizontal="left" vertical="center"/>
    </xf>
    <xf numFmtId="165" fontId="8" fillId="5" borderId="1" applyAlignment="1" applyProtection="1" pivotButton="0" quotePrefix="0" xfId="0">
      <alignment horizontal="center" vertical="center"/>
      <protection locked="0" hidden="0"/>
    </xf>
    <xf numFmtId="166" fontId="8" fillId="5" borderId="1" applyAlignment="1" applyProtection="1" pivotButton="0" quotePrefix="0" xfId="0">
      <alignment horizontal="center" vertical="center"/>
      <protection locked="0" hidden="0"/>
    </xf>
    <xf numFmtId="0" fontId="8" fillId="5" borderId="1" applyAlignment="1" applyProtection="1" pivotButton="0" quotePrefix="0" xfId="0">
      <alignment horizontal="center" vertical="center"/>
      <protection locked="0" hidden="0"/>
    </xf>
    <xf numFmtId="167" fontId="9" fillId="7" borderId="1" applyAlignment="1" pivotButton="0" quotePrefix="0" xfId="0">
      <alignment horizontal="center" vertical="center"/>
    </xf>
    <xf numFmtId="0" fontId="9" fillId="7" borderId="1" applyAlignment="1" pivotButton="0" quotePrefix="0" xfId="0">
      <alignment horizontal="center" vertical="center"/>
    </xf>
    <xf numFmtId="168" fontId="9" fillId="7" borderId="1" applyAlignment="1" pivotButton="0" quotePrefix="0" xfId="0">
      <alignment horizontal="center" vertical="center"/>
    </xf>
    <xf numFmtId="1" fontId="9" fillId="7" borderId="1" applyAlignment="1" pivotButton="0" quotePrefix="0" xfId="0">
      <alignment horizontal="center" vertical="center"/>
    </xf>
    <xf numFmtId="0" fontId="10" fillId="0" borderId="0" applyAlignment="1" pivotButton="0" quotePrefix="0" xfId="0">
      <alignment horizontal="left" vertical="center"/>
    </xf>
    <xf numFmtId="169" fontId="0" fillId="0" borderId="0" pivotButton="0" quotePrefix="0" xfId="0"/>
    <xf numFmtId="0" fontId="3" fillId="4" borderId="1" applyAlignment="1" pivotButton="0" quotePrefix="0" xfId="0">
      <alignment horizontal="center" vertical="center"/>
    </xf>
    <xf numFmtId="0" fontId="11" fillId="3" borderId="1" applyAlignment="1" pivotButton="0" quotePrefix="0" xfId="0">
      <alignment horizontal="center" vertical="center"/>
    </xf>
    <xf numFmtId="0" fontId="8" fillId="5" borderId="1" applyAlignment="1" applyProtection="1" pivotButton="0" quotePrefix="0" xfId="0">
      <alignment horizontal="left" vertical="center"/>
      <protection locked="0" hidden="0"/>
    </xf>
    <xf numFmtId="0" fontId="5" fillId="5" borderId="1" applyAlignment="1" applyProtection="1" pivotButton="0" quotePrefix="0" xfId="0">
      <alignment horizontal="left" vertical="center"/>
      <protection locked="0" hidden="0"/>
    </xf>
    <xf numFmtId="0" fontId="12" fillId="2" borderId="0" applyAlignment="1" pivotButton="0" quotePrefix="0" xfId="0">
      <alignment horizontal="left" vertical="center"/>
    </xf>
    <xf numFmtId="0" fontId="13" fillId="4" borderId="1" applyAlignment="1" pivotButton="0" quotePrefix="0" xfId="0">
      <alignment horizontal="center" vertical="center" wrapText="1"/>
    </xf>
    <xf numFmtId="0" fontId="13" fillId="8" borderId="1" applyAlignment="1" pivotButton="0" quotePrefix="0" xfId="0">
      <alignment horizontal="center" vertical="center" wrapText="1"/>
    </xf>
    <xf numFmtId="0" fontId="14" fillId="0" borderId="1" applyAlignment="1" pivotButton="0" quotePrefix="0" xfId="0">
      <alignment horizontal="center" vertical="center"/>
    </xf>
    <xf numFmtId="0" fontId="15" fillId="5" borderId="1" applyAlignment="1" applyProtection="1" pivotButton="0" quotePrefix="0" xfId="0">
      <alignment horizontal="left" vertical="center" wrapText="1"/>
      <protection locked="0" hidden="0"/>
    </xf>
    <xf numFmtId="170" fontId="14" fillId="0" borderId="1" applyAlignment="1" pivotButton="0" quotePrefix="0" xfId="0">
      <alignment horizontal="center" vertical="center"/>
    </xf>
    <xf numFmtId="166" fontId="16" fillId="5" borderId="1" applyAlignment="1" applyProtection="1" pivotButton="0" quotePrefix="0" xfId="0">
      <alignment horizontal="center" vertical="center"/>
      <protection locked="0" hidden="0"/>
    </xf>
    <xf numFmtId="1" fontId="17" fillId="5" borderId="1" applyAlignment="1" applyProtection="1" pivotButton="0" quotePrefix="0" xfId="0">
      <alignment horizontal="center" vertical="center"/>
      <protection locked="0" hidden="0"/>
    </xf>
    <xf numFmtId="0" fontId="17" fillId="5" borderId="1" applyAlignment="1" applyProtection="1" pivotButton="0" quotePrefix="0" xfId="0">
      <alignment horizontal="center" vertical="center"/>
      <protection locked="0" hidden="0"/>
    </xf>
    <xf numFmtId="166" fontId="17" fillId="5" borderId="1" applyAlignment="1" applyProtection="1" pivotButton="0" quotePrefix="0" xfId="0">
      <alignment horizontal="center" vertical="center"/>
      <protection locked="0" hidden="0"/>
    </xf>
    <xf numFmtId="169" fontId="17" fillId="9" borderId="1" applyAlignment="1" applyProtection="1" pivotButton="0" quotePrefix="0" xfId="0">
      <alignment horizontal="center" vertical="center"/>
      <protection locked="0" hidden="0"/>
    </xf>
    <xf numFmtId="171" fontId="17" fillId="9" borderId="1" applyAlignment="1" applyProtection="1" pivotButton="0" quotePrefix="0" xfId="0">
      <alignment horizontal="center" vertical="center"/>
      <protection locked="0" hidden="0"/>
    </xf>
    <xf numFmtId="166" fontId="14" fillId="0" borderId="1" applyAlignment="1" pivotButton="0" quotePrefix="0" xfId="0">
      <alignment horizontal="center" vertical="center"/>
    </xf>
    <xf numFmtId="9" fontId="9" fillId="9" borderId="1" applyAlignment="1" applyProtection="1" pivotButton="0" quotePrefix="0" xfId="0">
      <alignment horizontal="center" vertical="center"/>
      <protection locked="0" hidden="0"/>
    </xf>
    <xf numFmtId="0" fontId="17" fillId="5" borderId="1" applyAlignment="1" applyProtection="1" pivotButton="0" quotePrefix="0" xfId="0">
      <alignment horizontal="left" vertical="center" wrapText="1"/>
      <protection locked="0" hidden="0"/>
    </xf>
    <xf numFmtId="0" fontId="13" fillId="6" borderId="0" applyAlignment="1" pivotButton="0" quotePrefix="0" xfId="0">
      <alignment horizontal="center" vertical="center"/>
    </xf>
    <xf numFmtId="0" fontId="13" fillId="6" borderId="0" applyAlignment="1" pivotButton="0" quotePrefix="0" xfId="0">
      <alignment horizontal="left" vertical="center"/>
    </xf>
    <xf numFmtId="0" fontId="0" fillId="6" borderId="0" pivotButton="0" quotePrefix="0" xfId="0"/>
    <xf numFmtId="170" fontId="13" fillId="6" borderId="0" applyAlignment="1" pivotButton="0" quotePrefix="0" xfId="0">
      <alignment horizontal="center" vertical="center"/>
    </xf>
    <xf numFmtId="166" fontId="13" fillId="6" borderId="0" applyAlignment="1" pivotButton="0" quotePrefix="0" xfId="0">
      <alignment horizontal="center" vertical="center"/>
    </xf>
    <xf numFmtId="9" fontId="13" fillId="6" borderId="0" applyAlignment="1" pivotButton="0" quotePrefix="0" xfId="0">
      <alignment horizontal="center" vertical="center"/>
    </xf>
    <xf numFmtId="0" fontId="12" fillId="6" borderId="0" applyAlignment="1" pivotButton="0" quotePrefix="0" xfId="0">
      <alignment horizontal="center" vertical="center"/>
    </xf>
    <xf numFmtId="0" fontId="18" fillId="2" borderId="0" applyAlignment="1" pivotButton="0" quotePrefix="0" xfId="0">
      <alignment horizontal="center" vertical="center"/>
    </xf>
    <xf numFmtId="0" fontId="4" fillId="7" borderId="0" applyAlignment="1" pivotButton="0" quotePrefix="0" xfId="0">
      <alignment horizontal="center" vertical="center"/>
    </xf>
    <xf numFmtId="0" fontId="8" fillId="3" borderId="0" applyAlignment="1" pivotButton="0" quotePrefix="0" xfId="0">
      <alignment horizontal="left" vertical="center"/>
    </xf>
    <xf numFmtId="0" fontId="9" fillId="3" borderId="0" applyAlignment="1" pivotButton="0" quotePrefix="0" xfId="0">
      <alignment horizontal="left" vertical="center"/>
    </xf>
    <xf numFmtId="0" fontId="12" fillId="6" borderId="0" applyAlignment="1" pivotButton="0" quotePrefix="0" xfId="0">
      <alignment horizontal="left" vertical="center"/>
    </xf>
    <xf numFmtId="0" fontId="3" fillId="4" borderId="1" applyAlignment="1" pivotButton="0" quotePrefix="0" xfId="0">
      <alignment horizontal="center" vertical="center" wrapText="1"/>
    </xf>
    <xf numFmtId="0" fontId="4" fillId="3" borderId="1" applyAlignment="1" pivotButton="0" quotePrefix="0" xfId="0">
      <alignment horizontal="left" vertical="center"/>
    </xf>
    <xf numFmtId="0" fontId="19" fillId="4" borderId="1" applyAlignment="1" pivotButton="0" quotePrefix="0" xfId="0">
      <alignment horizontal="center" vertical="center"/>
    </xf>
    <xf numFmtId="172" fontId="20" fillId="0" borderId="1" applyAlignment="1" pivotButton="0" quotePrefix="0" xfId="0">
      <alignment horizontal="center" vertical="center"/>
    </xf>
    <xf numFmtId="172" fontId="21" fillId="0" borderId="1" applyAlignment="1" pivotButton="0" quotePrefix="0" xfId="0">
      <alignment horizontal="center" vertical="center"/>
    </xf>
    <xf numFmtId="173" fontId="21" fillId="0" borderId="1" applyAlignment="1" pivotButton="0" quotePrefix="0" xfId="0">
      <alignment horizontal="center" vertical="center"/>
    </xf>
    <xf numFmtId="9" fontId="11" fillId="0" borderId="1" applyAlignment="1" pivotButton="0" quotePrefix="0" xfId="0">
      <alignment horizontal="center" vertical="center"/>
    </xf>
    <xf numFmtId="9" fontId="8" fillId="0" borderId="1" applyAlignment="1" pivotButton="0" quotePrefix="0" xfId="0">
      <alignment horizontal="center" vertical="center"/>
    </xf>
    <xf numFmtId="174" fontId="19" fillId="4" borderId="1" applyAlignment="1" pivotButton="0" quotePrefix="0" xfId="0">
      <alignment horizontal="center" vertical="center"/>
    </xf>
    <xf numFmtId="0" fontId="0" fillId="0" borderId="1" pivotButton="0" quotePrefix="0" xfId="0"/>
    <xf numFmtId="0" fontId="19" fillId="6" borderId="1" applyAlignment="1" pivotButton="0" quotePrefix="0" xfId="0">
      <alignment horizontal="center" vertical="center"/>
    </xf>
    <xf numFmtId="172" fontId="3" fillId="6" borderId="1" applyAlignment="1" pivotButton="0" quotePrefix="0" xfId="0">
      <alignment horizontal="center" vertical="center"/>
    </xf>
    <xf numFmtId="173" fontId="3" fillId="6" borderId="1" applyAlignment="1" pivotButton="0" quotePrefix="0" xfId="0">
      <alignment horizontal="center" vertical="center"/>
    </xf>
    <xf numFmtId="9" fontId="19" fillId="6" borderId="1" applyAlignment="1" pivotButton="0" quotePrefix="0" xfId="0">
      <alignment horizontal="center" vertical="center"/>
    </xf>
    <xf numFmtId="174" fontId="19" fillId="6" borderId="1" applyAlignment="1" pivotButton="0" quotePrefix="0" xfId="0">
      <alignment horizontal="center" vertical="center"/>
    </xf>
    <xf numFmtId="0" fontId="22" fillId="2" borderId="0" applyAlignment="1" pivotButton="0" quotePrefix="0" xfId="0">
      <alignment horizontal="left" vertical="center"/>
    </xf>
    <xf numFmtId="0" fontId="9" fillId="7" borderId="0" applyAlignment="1" pivotButton="0" quotePrefix="0" xfId="0">
      <alignment horizontal="left" vertical="center"/>
    </xf>
    <xf numFmtId="0" fontId="7" fillId="4" borderId="0" applyAlignment="1" pivotButton="0" quotePrefix="0" xfId="0">
      <alignment horizontal="center" vertical="center"/>
    </xf>
    <xf numFmtId="0" fontId="13" fillId="6" borderId="6" applyAlignment="1" pivotButton="0" quotePrefix="0" xfId="0">
      <alignment horizontal="center" vertical="center"/>
    </xf>
    <xf numFmtId="0" fontId="23" fillId="7" borderId="7" applyAlignment="1" pivotButton="0" quotePrefix="0" xfId="0">
      <alignment horizontal="center" vertical="center"/>
    </xf>
    <xf numFmtId="0" fontId="24" fillId="0" borderId="1" applyAlignment="1" pivotButton="0" quotePrefix="0" xfId="0">
      <alignment horizontal="center" vertical="center"/>
    </xf>
    <xf numFmtId="0" fontId="24" fillId="0" borderId="1" applyAlignment="1" pivotButton="0" quotePrefix="0" xfId="0">
      <alignment horizontal="left" vertical="center" wrapText="1"/>
    </xf>
    <xf numFmtId="0" fontId="25" fillId="4" borderId="1" applyAlignment="1" pivotButton="0" quotePrefix="0" xfId="0">
      <alignment horizontal="center" vertical="center" wrapText="1"/>
    </xf>
    <xf numFmtId="172" fontId="24" fillId="0" borderId="1" applyAlignment="1" pivotButton="0" quotePrefix="0" xfId="0">
      <alignment horizontal="center" vertical="center"/>
    </xf>
    <xf numFmtId="172" fontId="26" fillId="0" borderId="1" applyAlignment="1" pivotButton="0" quotePrefix="0" xfId="0">
      <alignment horizontal="center" vertical="center"/>
    </xf>
    <xf numFmtId="173" fontId="26" fillId="0" borderId="1" applyAlignment="1" pivotButton="0" quotePrefix="0" xfId="0">
      <alignment horizontal="center" vertical="center"/>
    </xf>
    <xf numFmtId="9" fontId="24" fillId="0" borderId="1" applyAlignment="1" pivotButton="0" quotePrefix="0" xfId="0">
      <alignment horizontal="center" vertical="center"/>
    </xf>
    <xf numFmtId="9" fontId="26" fillId="0" borderId="1" applyAlignment="1" pivotButton="0" quotePrefix="0" xfId="0">
      <alignment horizontal="center" vertical="center"/>
    </xf>
    <xf numFmtId="0" fontId="27" fillId="0" borderId="0" applyAlignment="1" pivotButton="0" quotePrefix="0" xfId="0">
      <alignment horizontal="center" vertical="center"/>
    </xf>
    <xf numFmtId="0" fontId="0" fillId="0" borderId="11" pivotButton="0" quotePrefix="0" xfId="0"/>
    <xf numFmtId="0" fontId="0" fillId="0" borderId="10" pivotButton="0" quotePrefix="0" xfId="0"/>
    <xf numFmtId="0" fontId="0" fillId="0" borderId="12" pivotButton="0" quotePrefix="0" xfId="0"/>
    <xf numFmtId="0" fontId="3" fillId="6" borderId="1" applyAlignment="1" pivotButton="0" quotePrefix="0" xfId="0">
      <alignment horizontal="left" vertical="center"/>
    </xf>
    <xf numFmtId="0" fontId="3" fillId="6" borderId="1" applyAlignment="1" pivotButton="0" quotePrefix="0" xfId="0">
      <alignment horizontal="center" vertical="center"/>
    </xf>
    <xf numFmtId="172" fontId="13" fillId="6" borderId="1" applyAlignment="1" pivotButton="0" quotePrefix="0" xfId="0">
      <alignment horizontal="center" vertical="center"/>
    </xf>
    <xf numFmtId="173" fontId="13" fillId="6" borderId="1" applyAlignment="1" pivotButton="0" quotePrefix="0" xfId="0">
      <alignment horizontal="center" vertical="center"/>
    </xf>
    <xf numFmtId="9" fontId="3" fillId="6" borderId="1" applyAlignment="1" pivotButton="0" quotePrefix="0" xfId="0">
      <alignment horizontal="center" vertical="center"/>
    </xf>
    <xf numFmtId="9" fontId="28" fillId="6" borderId="1" applyAlignment="1" pivotButton="0" quotePrefix="0" xfId="0">
      <alignment horizontal="center" vertical="center"/>
    </xf>
    <xf numFmtId="174" fontId="3" fillId="6" borderId="1" applyAlignment="1" pivotButton="0" quotePrefix="0" xfId="0">
      <alignment horizontal="center" vertical="center"/>
    </xf>
    <xf numFmtId="0" fontId="13" fillId="6" borderId="1" applyAlignment="1" pivotButton="0" quotePrefix="0" xfId="0">
      <alignment horizontal="center" vertical="center"/>
    </xf>
    <xf numFmtId="0" fontId="0" fillId="10" borderId="1" pivotButton="0" quotePrefix="0" xfId="0"/>
    <xf numFmtId="0" fontId="29" fillId="0" borderId="0" applyAlignment="1" pivotButton="0" quotePrefix="0" xfId="0">
      <alignment horizontal="left" vertical="center"/>
    </xf>
    <xf numFmtId="0" fontId="30" fillId="0" borderId="0" applyAlignment="1" pivotButton="0" quotePrefix="0" xfId="0">
      <alignment horizontal="center" vertical="center"/>
    </xf>
    <xf numFmtId="0" fontId="0" fillId="2" borderId="1" pivotButton="0" quotePrefix="0" xfId="0"/>
    <xf numFmtId="0" fontId="0" fillId="11" borderId="1" pivotButton="0" quotePrefix="0" xfId="0"/>
    <xf numFmtId="0" fontId="0" fillId="12" borderId="1" pivotButton="0" quotePrefix="0" xfId="0"/>
    <xf numFmtId="0" fontId="0" fillId="13" borderId="1" pivotButton="0" quotePrefix="0" xfId="0"/>
    <xf numFmtId="0" fontId="0" fillId="14" borderId="1" pivotButton="0" quotePrefix="0" xfId="0"/>
    <xf numFmtId="0" fontId="0" fillId="0" borderId="4" applyProtection="1" pivotButton="0" quotePrefix="0" xfId="0">
      <protection locked="0" hidden="0"/>
    </xf>
    <xf numFmtId="0" fontId="0" fillId="0" borderId="5" applyProtection="1" pivotButton="0" quotePrefix="0" xfId="0">
      <protection locked="0" hidden="0"/>
    </xf>
    <xf numFmtId="164" fontId="6" fillId="5" borderId="1" applyAlignment="1" applyProtection="1" pivotButton="0" quotePrefix="0" xfId="0">
      <alignment horizontal="center" vertical="center"/>
      <protection locked="0" hidden="0"/>
    </xf>
    <xf numFmtId="165" fontId="8" fillId="5" borderId="1" applyAlignment="1" applyProtection="1" pivotButton="0" quotePrefix="0" xfId="0">
      <alignment horizontal="center" vertical="center"/>
      <protection locked="0" hidden="0"/>
    </xf>
    <xf numFmtId="166" fontId="8" fillId="5" borderId="1" applyAlignment="1" applyProtection="1" pivotButton="0" quotePrefix="0" xfId="0">
      <alignment horizontal="center" vertical="center"/>
      <protection locked="0" hidden="0"/>
    </xf>
    <xf numFmtId="167" fontId="9" fillId="7" borderId="1" applyAlignment="1" pivotButton="0" quotePrefix="0" xfId="0">
      <alignment horizontal="center" vertical="center"/>
    </xf>
    <xf numFmtId="0" fontId="0" fillId="0" borderId="4" pivotButton="0" quotePrefix="0" xfId="0"/>
    <xf numFmtId="0" fontId="0" fillId="0" borderId="5" pivotButton="0" quotePrefix="0" xfId="0"/>
    <xf numFmtId="168" fontId="9" fillId="7" borderId="1" applyAlignment="1" pivotButton="0" quotePrefix="0" xfId="0">
      <alignment horizontal="center" vertical="center"/>
    </xf>
    <xf numFmtId="169" fontId="0" fillId="0" borderId="0" pivotButton="0" quotePrefix="0" xfId="0"/>
    <xf numFmtId="170" fontId="14" fillId="0" borderId="1" applyAlignment="1" pivotButton="0" quotePrefix="0" xfId="0">
      <alignment horizontal="center" vertical="center"/>
    </xf>
    <xf numFmtId="166" fontId="16" fillId="5" borderId="1" applyAlignment="1" applyProtection="1" pivotButton="0" quotePrefix="0" xfId="0">
      <alignment horizontal="center" vertical="center"/>
      <protection locked="0" hidden="0"/>
    </xf>
    <xf numFmtId="166" fontId="17" fillId="5" borderId="1" applyAlignment="1" applyProtection="1" pivotButton="0" quotePrefix="0" xfId="0">
      <alignment horizontal="center" vertical="center"/>
      <protection locked="0" hidden="0"/>
    </xf>
    <xf numFmtId="169" fontId="17" fillId="9" borderId="1" applyAlignment="1" applyProtection="1" pivotButton="0" quotePrefix="0" xfId="0">
      <alignment horizontal="center" vertical="center"/>
      <protection locked="0" hidden="0"/>
    </xf>
    <xf numFmtId="171" fontId="17" fillId="9" borderId="1" applyAlignment="1" applyProtection="1" pivotButton="0" quotePrefix="0" xfId="0">
      <alignment horizontal="center" vertical="center"/>
      <protection locked="0" hidden="0"/>
    </xf>
    <xf numFmtId="166" fontId="14" fillId="0" borderId="1" applyAlignment="1" pivotButton="0" quotePrefix="0" xfId="0">
      <alignment horizontal="center" vertical="center"/>
    </xf>
    <xf numFmtId="170" fontId="13" fillId="6" borderId="0" applyAlignment="1" pivotButton="0" quotePrefix="0" xfId="0">
      <alignment horizontal="center" vertical="center"/>
    </xf>
    <xf numFmtId="166" fontId="13" fillId="6" borderId="0" applyAlignment="1" pivotButton="0" quotePrefix="0" xfId="0">
      <alignment horizontal="center" vertical="center"/>
    </xf>
    <xf numFmtId="0" fontId="0" fillId="0" borderId="14" pivotButton="0" quotePrefix="0" xfId="0"/>
    <xf numFmtId="0" fontId="0" fillId="0" borderId="13" pivotButton="0" quotePrefix="0" xfId="0"/>
    <xf numFmtId="0" fontId="7" fillId="2" borderId="0" applyAlignment="1" pivotButton="0" quotePrefix="0" xfId="0">
      <alignment horizontal="left" vertical="center" wrapText="1"/>
    </xf>
    <xf numFmtId="0" fontId="12" fillId="6" borderId="0" applyAlignment="1" pivotButton="0" quotePrefix="0" xfId="0">
      <alignment horizontal="left" vertical="center" wrapText="1"/>
    </xf>
    <xf numFmtId="0" fontId="2" fillId="0" borderId="0" applyAlignment="1" pivotButton="0" quotePrefix="0" xfId="0">
      <alignment horizontal="left" vertical="center" wrapText="1"/>
    </xf>
    <xf numFmtId="0" fontId="30" fillId="0" borderId="0" applyAlignment="1" pivotButton="0" quotePrefix="0" xfId="0">
      <alignment horizontal="left" vertical="center" wrapText="1"/>
    </xf>
    <xf numFmtId="0" fontId="13" fillId="6" borderId="16" applyAlignment="1" pivotButton="0" quotePrefix="0" xfId="0">
      <alignment horizontal="center" vertical="center"/>
    </xf>
    <xf numFmtId="0" fontId="23" fillId="7" borderId="15" applyAlignment="1" pivotButton="0" quotePrefix="0" xfId="0">
      <alignment horizontal="center" vertical="center"/>
    </xf>
  </cellXfs>
  <cellStyles count="1">
    <cellStyle name="Normal" xfId="0" builtinId="0" hidden="0"/>
  </cellStyles>
  <dxfs count="27">
    <dxf>
      <font>
        <name val="Calibri"/>
        <b val="1"/>
        <color rgb="FFFFFFFF"/>
        <sz val="9"/>
      </font>
      <fill>
        <patternFill>
          <bgColor rgb="FFCB2C30"/>
        </patternFill>
      </fill>
    </dxf>
    <dxf>
      <font>
        <name val="Calibri"/>
        <b val="1"/>
        <color rgb="FFFFFFFF"/>
        <sz val="9"/>
      </font>
      <fill>
        <patternFill>
          <bgColor rgb="FF00778B"/>
        </patternFill>
      </fill>
    </dxf>
    <dxf>
      <font>
        <name val="Calibri"/>
        <b val="1"/>
        <color rgb="FF3D3935"/>
        <sz val="9"/>
      </font>
      <fill>
        <patternFill>
          <bgColor rgb="FFF1B434"/>
        </patternFill>
      </fill>
    </dxf>
    <dxf>
      <font>
        <name val="Calibri"/>
        <b val="1"/>
        <color rgb="FF3D3935"/>
        <sz val="9"/>
      </font>
      <fill>
        <patternFill>
          <bgColor rgb="FF59CBE8"/>
        </patternFill>
      </fill>
    </dxf>
    <dxf>
      <border>
        <left style="thick">
          <color rgb="FF000000"/>
        </left>
      </border>
    </dxf>
    <dxf>
      <fill>
        <patternFill>
          <bgColor rgb="FFCB2C30"/>
        </patternFill>
      </fill>
    </dxf>
    <dxf>
      <fill>
        <patternFill>
          <bgColor rgb="FFF1B434"/>
        </patternFill>
      </fill>
    </dxf>
    <dxf>
      <fill>
        <patternFill>
          <bgColor rgb="FF59CBE8"/>
        </patternFill>
      </fill>
    </dxf>
    <dxf>
      <fill>
        <patternFill>
          <bgColor rgb="FF00778B"/>
        </patternFill>
      </fill>
    </dxf>
    <dxf>
      <font>
        <name val="Calibri"/>
        <b val="1"/>
        <color rgb="FFFFFFFF"/>
        <sz val="10"/>
      </font>
      <fill>
        <patternFill>
          <bgColor rgb="FFCB2C30"/>
        </patternFill>
      </fill>
    </dxf>
    <dxf>
      <font>
        <name val="Calibri"/>
        <b val="1"/>
        <color rgb="FF3D3935"/>
        <sz val="10"/>
      </font>
      <fill>
        <patternFill>
          <bgColor rgb="FFF1B434"/>
        </patternFill>
      </fill>
    </dxf>
    <dxf>
      <font>
        <name val="Calibri"/>
        <b val="1"/>
        <color rgb="FF3D3935"/>
        <sz val="10"/>
      </font>
      <fill>
        <patternFill>
          <bgColor rgb="FF59CBE8"/>
        </patternFill>
      </fill>
    </dxf>
    <dxf>
      <font>
        <name val="Calibri"/>
        <b val="1"/>
        <color rgb="FFFFFFFF"/>
        <sz val="10"/>
      </font>
      <fill>
        <patternFill>
          <bgColor rgb="FF00778B"/>
        </patternFill>
      </fill>
    </dxf>
    <dxf>
      <border>
        <left style="hair">
          <color rgb="FFAFBCC1"/>
        </left>
      </border>
    </dxf>
    <dxf>
      <border>
        <left style="thin">
          <color rgb="FFC8C9C7"/>
        </left>
      </border>
    </dxf>
    <dxf>
      <fill>
        <patternFill>
          <bgColor rgb="FFC8C9C7"/>
        </patternFill>
      </fill>
    </dxf>
    <dxf>
      <fill>
        <patternFill>
          <bgColor rgb="FFBFE3EA"/>
        </patternFill>
      </fill>
    </dxf>
    <dxf>
      <font>
        <name val="Calibri"/>
        <b val="1"/>
        <color rgb="FFFFFFFF"/>
        <sz val="8.5"/>
      </font>
      <fill>
        <patternFill>
          <bgColor rgb="FFCB2C30"/>
        </patternFill>
      </fill>
    </dxf>
    <dxf>
      <font>
        <name val="Calibri"/>
        <b val="1"/>
        <color rgb="FFFFFFFF"/>
        <sz val="8.5"/>
      </font>
      <fill>
        <patternFill>
          <bgColor rgb="FF00778B"/>
        </patternFill>
      </fill>
    </dxf>
    <dxf>
      <font>
        <name val="Calibri"/>
        <b val="1"/>
        <color rgb="FF3D3935"/>
        <sz val="8.5"/>
      </font>
      <fill>
        <patternFill>
          <bgColor rgb="FFF1B434"/>
        </patternFill>
      </fill>
    </dxf>
    <dxf>
      <font>
        <name val="Calibri"/>
        <b val="1"/>
        <color rgb="FF3D3935"/>
        <sz val="8.5"/>
      </font>
      <fill>
        <patternFill>
          <bgColor rgb="FF59CBE8"/>
        </patternFill>
      </fill>
    </dxf>
    <dxf>
      <font>
        <name val="Calibri"/>
        <b val="1"/>
        <color rgb="FFCB2C30"/>
        <sz val="8.5"/>
      </font>
    </dxf>
    <dxf>
      <font>
        <name val="Calibri"/>
        <b val="1"/>
        <color rgb="FF00778B"/>
        <sz val="8.5"/>
      </font>
    </dxf>
    <dxf>
      <font>
        <name val="Calibri"/>
        <b val="1"/>
        <color rgb="FFFFFFFF"/>
        <sz val="9.5"/>
      </font>
      <fill>
        <patternFill>
          <bgColor rgb="FFCB2C30"/>
        </patternFill>
      </fill>
    </dxf>
    <dxf>
      <font>
        <name val="Calibri"/>
        <b val="1"/>
        <color rgb="FF3D3935"/>
        <sz val="9.5"/>
      </font>
      <fill>
        <patternFill>
          <bgColor rgb="FFF1B434"/>
        </patternFill>
      </fill>
    </dxf>
    <dxf>
      <font>
        <name val="Calibri"/>
        <b val="1"/>
        <color rgb="FF3D3935"/>
        <sz val="9.5"/>
      </font>
      <fill>
        <patternFill>
          <bgColor rgb="FF59CBE8"/>
        </patternFill>
      </fill>
    </dxf>
    <dxf>
      <font>
        <name val="Calibri"/>
        <b val="1"/>
        <color rgb="FFFFFFFF"/>
        <sz val="9.5"/>
      </font>
      <fill>
        <patternFill>
          <bgColor rgb="FF00778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SAR IPMC - Planning</author>
  </authors>
  <commentList>
    <comment ref="C4" authorId="0" shapeId="0">
      <text>
        <t>PROJECT NAME
The project name printed across the top of every page of the report.
Type it exactly as it should appear.</t>
      </text>
    </comment>
    <comment ref="K4" authorId="0" shapeId="0">
      <text>
        <t>REPORT TITLE
The large title on the cover page.
Leave as 'POSSESSION PROGRESS REPORT - PLANNED vs ACTUAL' unless the report is renamed.</t>
      </text>
    </comment>
    <comment ref="C5" authorId="0" shapeId="0">
      <text>
        <t>SUBTITLE
One short line under the title, e.g. the type of work and the shutdown number.</t>
      </text>
    </comment>
    <comment ref="I5" authorId="0" shapeId="0">
      <text>
        <t>PREPARED BY
The team or person issuing the report. Printed on the cover.</t>
      </text>
    </comment>
    <comment ref="M5" authorId="0" shapeId="0">
      <text>
        <t>REPORT CUT-OFF  (the data date)
The moment the progress in this sheet is true as of. Everything - Plan %, forecast, the black line on the Gantt - is measured from here.
=NOW() keeps it live. To freeze a report, type the date and time instead, e.g.  16/10/2026 06:00</t>
      </text>
    </comment>
    <comment ref="C8" authorId="0" shapeId="0">
      <text>
        <t>WINDOW STARTS
Date and time the possession begins.
Type both together, e.g.  16/10/2026 00:00
Every planned date in the tracker is built forward from this.</t>
      </text>
    </comment>
    <comment ref="G8" authorId="0" shapeId="0">
      <text>
        <t>DURATION
How long the possession lasts, in the unit chosen in the next cell. 48 hours here.</t>
      </text>
    </comment>
    <comment ref="K8" authorId="0" shapeId="0">
      <text>
        <t>UNIT
Choose hours or days from the list. It applies to the DURATION cell on its left.</t>
      </text>
    </comment>
    <comment ref="C9" authorId="0" shapeId="0">
      <text>
        <t>GANTT STARTS
Where the left edge of the Gantt begins.
Normally the same as the possession start. Set it later to zoom into a window, e.g. the next 12 hours.</t>
      </text>
    </comment>
    <comment ref="G9" authorId="0" shapeId="0">
      <text>
        <t>GANTT SPAN
How many hours the whole Gantt covers.
The Gantt is always 48 columns wide, so a smaller span gives finer columns: 48 h = 1 hour per column, 24 h = 30 min per column.</t>
      </text>
    </comment>
    <comment ref="K9" authorId="0" shapeId="0">
      <text>
        <t>UNIT
Choose hours or days. Applies to GANTT SPAN.</t>
      </text>
    </comment>
    <comment ref="M10" authorId="0" shapeId="0">
      <text>
        <t>LOCATIONS
How many culverts this tracker covers. Calculated from the blocks below - do not type over it.</t>
      </text>
    </comment>
    <comment ref="O10" authorId="0" shapeId="0">
      <text>
        <t>ACTIVITIES
How many activity rows each location has.
To use fewer, blank the ACTIVITY name on the rows you do not need - the row switches itself off everywhere.</t>
      </text>
    </comment>
    <comment ref="B15" authorId="0" shapeId="0">
      <text>
        <t>LOCATION NAME
The culvert name as it should read on the cover and at the top of its own page, e.g.  C263  -  KM 209+025</t>
      </text>
    </comment>
    <comment ref="I15" authorId="0" shapeId="0">
      <text>
        <t>SCOPE / SUB-TITLE
The short line shown under the location title: number of cells, the lines affected and which OTMP serves it.</t>
      </text>
    </comment>
    <comment ref="B16" authorId="0" shapeId="0">
      <text>
        <t>LOCATION NAME
The culvert name as it should read on the cover and at the top of its own page, e.g.  C263  -  KM 209+025</t>
      </text>
    </comment>
    <comment ref="I16" authorId="0" shapeId="0">
      <text>
        <t>SCOPE / SUB-TITLE
The short line shown under the location title: number of cells, the lines affected and which OTMP serves it.</t>
      </text>
    </comment>
    <comment ref="B17" authorId="0" shapeId="0">
      <text>
        <t>LOCATION NAME
The culvert name as it should read on the cover and at the top of its own page, e.g.  C263  -  KM 209+025</t>
      </text>
    </comment>
    <comment ref="I17" authorId="0" shapeId="0">
      <text>
        <t>SCOPE / SUB-TITLE
The short line shown under the location title: number of cells, the lines affected and which OTMP serves it.</t>
      </text>
    </comment>
    <comment ref="B18" authorId="0" shapeId="0">
      <text>
        <t>LOCATION NAME
The culvert name as it should read on the cover and at the top of its own page, e.g.  C263  -  KM 209+025</t>
      </text>
    </comment>
    <comment ref="I18" authorId="0" shapeId="0">
      <text>
        <t>SCOPE / SUB-TITLE
The short line shown under the location title: number of cells, the lines affected and which OTMP serves it.</t>
      </text>
    </comment>
    <comment ref="B19" authorId="0" shapeId="0">
      <text>
        <t>LOCATION NAME
The culvert name as it should read on the cover and at the top of its own page, e.g.  C263  -  KM 209+025</t>
      </text>
    </comment>
    <comment ref="I19" authorId="0" shapeId="0">
      <text>
        <t>SCOPE / SUB-TITLE
The short line shown under the location title: number of cells, the lines affected and which OTMP serves it.</t>
      </text>
    </comment>
    <comment ref="A26" authorId="0" shapeId="0">
      <text>
        <t>No
The activity number. Calculated - it disappears when the ACTIVITY name next to it is blank.</t>
      </text>
    </comment>
    <comment ref="B26" authorId="0" shapeId="0">
      <text>
        <t>ACTIVITY
The work description shown on the report.
Leave it BLANK to switch the whole row off - the row then vanishes from the tracker, the Gantt and the totals.</t>
      </text>
    </comment>
    <comment ref="C26" authorId="0" shapeId="0">
      <text>
        <t>Planned Start
Calculated from the link you set in PRED No / REL / LAG. Do not type here.
If a date looks wrong, fix the link, not the date.</t>
      </text>
    </comment>
    <comment ref="D26" authorId="0" shapeId="0">
      <text>
        <t>Planned Finish
Calculated: Planned Start + DUR. Do not type here.</t>
      </text>
    </comment>
    <comment ref="E26" authorId="0" shapeId="0">
      <text>
        <t>DUR (h)
How many hours this activity is planned to take.
Decimals are fine: 1.5 means one hour thirty.</t>
      </text>
    </comment>
    <comment ref="F26" authorId="0" shapeId="0">
      <text>
        <t>PRED No
The activity number THIS one follows, within this location.
0 means it starts at the possession start.
3 means it is driven by activity 3 above.
It must point UPWARDS - a row cannot follow itself or a row below it, or the status reads ! CHECK LINK.</t>
      </text>
    </comment>
    <comment ref="G26" authorId="0" shapeId="0">
      <text>
        <t>REL
How this activity is tied to its predecessor:
FS  finish-to-start - starts when the other finishes (the normal one)
SS  start-to-start - both start together
FF  finish-to-finish - both finish together
SF  start-to-finish</t>
      </text>
    </comment>
    <comment ref="H26" authorId="0" shapeId="0">
      <text>
        <t>LAG (h)
Extra waiting time on the link, in hours.
0 = no wait. 2 = start two hours after. -1 = start one hour early (overlap).</t>
      </text>
    </comment>
    <comment ref="I26" authorId="0" shapeId="0">
      <text>
        <t>ACT START - Date
The DATE work actually started. Date only.
Example:  16/10/2026
The time goes in the next cell.</t>
      </text>
    </comment>
    <comment ref="J26" authorId="0" shapeId="0">
      <text>
        <t>ACT START - Time
The TIME work actually started. Time only, 24-hour clock.
Example:  05:30
Leave blank and it is treated as 00:00.</t>
      </text>
    </comment>
    <comment ref="K26" authorId="0" shapeId="0">
      <text>
        <t>ACT FINISH - Date
The DATE work actually finished. Date only.
Example:  16/10/2026
Fill it in only when the activity is genuinely complete - entering a finish sets the activity to 100%.</t>
      </text>
    </comment>
    <comment ref="L26" authorId="0" shapeId="0">
      <text>
        <t>ACT FINISH - Time
The TIME work actually finished. Time only.
Example:  14:00</t>
      </text>
    </comment>
    <comment ref="M26" authorId="0" shapeId="0">
      <text>
        <t>ACT Dur
Calculated: how long the activity actually took, once both the actual start and finish are entered.</t>
      </text>
    </comment>
    <comment ref="N26" authorId="0" shapeId="0">
      <text>
        <t>% COMP
How much of the activity is done, for work still in progress.
Type 45% (or 0.45). Leave blank if nothing has started.
You do not need it once an ACT FINISH is entered - that forces 100%.</t>
      </text>
    </comment>
    <comment ref="O26" authorId="0" shapeId="0">
      <text>
        <t>STATUS (auto)
Calculated from the dates you entered. Never type here.
! CHECK DATES means a finish is before its start, or a start is before the possession began.
! CHECK LINK means PRED No points at this row or a row below it.</t>
      </text>
    </comment>
    <comment ref="P26" authorId="0" shapeId="0">
      <text>
        <t>REMARKS
Free text - the reason for a delay, who is on site, what is waiting. It is for the record; it does not affect any calculation.</t>
      </text>
    </comment>
    <comment ref="A56" authorId="0" shapeId="0">
      <text>
        <t>No
The activity number. Calculated - it disappears when the ACTIVITY name next to it is blank.</t>
      </text>
    </comment>
    <comment ref="B56" authorId="0" shapeId="0">
      <text>
        <t>ACTIVITY
The work description shown on the report.
Leave it BLANK to switch the whole row off - the row then vanishes from the tracker, the Gantt and the totals.</t>
      </text>
    </comment>
    <comment ref="C56" authorId="0" shapeId="0">
      <text>
        <t>Planned Start
Calculated from the link you set in PRED No / REL / LAG. Do not type here.
If a date looks wrong, fix the link, not the date.</t>
      </text>
    </comment>
    <comment ref="D56" authorId="0" shapeId="0">
      <text>
        <t>Planned Finish
Calculated: Planned Start + DUR. Do not type here.</t>
      </text>
    </comment>
    <comment ref="E56" authorId="0" shapeId="0">
      <text>
        <t>DUR (h)
How many hours this activity is planned to take.
Decimals are fine: 1.5 means one hour thirty.</t>
      </text>
    </comment>
    <comment ref="F56" authorId="0" shapeId="0">
      <text>
        <t>PRED No
The activity number THIS one follows, within this location.
0 means it starts at the possession start.
3 means it is driven by activity 3 above.
It must point UPWARDS - a row cannot follow itself or a row below it, or the status reads ! CHECK LINK.</t>
      </text>
    </comment>
    <comment ref="G56" authorId="0" shapeId="0">
      <text>
        <t>REL
How this activity is tied to its predecessor:
FS  finish-to-start - starts when the other finishes (the normal one)
SS  start-to-start - both start together
FF  finish-to-finish - both finish together
SF  start-to-finish</t>
      </text>
    </comment>
    <comment ref="H56" authorId="0" shapeId="0">
      <text>
        <t>LAG (h)
Extra waiting time on the link, in hours.
0 = no wait. 2 = start two hours after. -1 = start one hour early (overlap).</t>
      </text>
    </comment>
    <comment ref="I56" authorId="0" shapeId="0">
      <text>
        <t>ACT START - Date
The DATE work actually started. Date only.
Example:  16/10/2026
The time goes in the next cell.</t>
      </text>
    </comment>
    <comment ref="J56" authorId="0" shapeId="0">
      <text>
        <t>ACT START - Time
The TIME work actually started. Time only, 24-hour clock.
Example:  05:30
Leave blank and it is treated as 00:00.</t>
      </text>
    </comment>
    <comment ref="K56" authorId="0" shapeId="0">
      <text>
        <t>ACT FINISH - Date
The DATE work actually finished. Date only.
Example:  16/10/2026
Fill it in only when the activity is genuinely complete - entering a finish sets the activity to 100%.</t>
      </text>
    </comment>
    <comment ref="L56" authorId="0" shapeId="0">
      <text>
        <t>ACT FINISH - Time
The TIME work actually finished. Time only.
Example:  14:00</t>
      </text>
    </comment>
    <comment ref="M56" authorId="0" shapeId="0">
      <text>
        <t>ACT Dur
Calculated: how long the activity actually took, once both the actual start and finish are entered.</t>
      </text>
    </comment>
    <comment ref="N56" authorId="0" shapeId="0">
      <text>
        <t>% COMP
How much of the activity is done, for work still in progress.
Type 45% (or 0.45). Leave blank if nothing has started.
You do not need it once an ACT FINISH is entered - that forces 100%.</t>
      </text>
    </comment>
    <comment ref="O56" authorId="0" shapeId="0">
      <text>
        <t>STATUS (auto)
Calculated from the dates you entered. Never type here.
! CHECK DATES means a finish is before its start, or a start is before the possession began.
! CHECK LINK means PRED No points at this row or a row below it.</t>
      </text>
    </comment>
    <comment ref="P56" authorId="0" shapeId="0">
      <text>
        <t>REMARKS
Free text - the reason for a delay, who is on site, what is waiting. It is for the record; it does not affect any calculation.</t>
      </text>
    </comment>
    <comment ref="A86" authorId="0" shapeId="0">
      <text>
        <t>No
The activity number. Calculated - it disappears when the ACTIVITY name next to it is blank.</t>
      </text>
    </comment>
    <comment ref="B86" authorId="0" shapeId="0">
      <text>
        <t>ACTIVITY
The work description shown on the report.
Leave it BLANK to switch the whole row off - the row then vanishes from the tracker, the Gantt and the totals.</t>
      </text>
    </comment>
    <comment ref="C86" authorId="0" shapeId="0">
      <text>
        <t>Planned Start
Calculated from the link you set in PRED No / REL / LAG. Do not type here.
If a date looks wrong, fix the link, not the date.</t>
      </text>
    </comment>
    <comment ref="D86" authorId="0" shapeId="0">
      <text>
        <t>Planned Finish
Calculated: Planned Start + DUR. Do not type here.</t>
      </text>
    </comment>
    <comment ref="E86" authorId="0" shapeId="0">
      <text>
        <t>DUR (h)
How many hours this activity is planned to take.
Decimals are fine: 1.5 means one hour thirty.</t>
      </text>
    </comment>
    <comment ref="F86" authorId="0" shapeId="0">
      <text>
        <t>PRED No
The activity number THIS one follows, within this location.
0 means it starts at the possession start.
3 means it is driven by activity 3 above.
It must point UPWARDS - a row cannot follow itself or a row below it, or the status reads ! CHECK LINK.</t>
      </text>
    </comment>
    <comment ref="G86" authorId="0" shapeId="0">
      <text>
        <t>REL
How this activity is tied to its predecessor:
FS  finish-to-start - starts when the other finishes (the normal one)
SS  start-to-start - both start together
FF  finish-to-finish - both finish together
SF  start-to-finish</t>
      </text>
    </comment>
    <comment ref="H86" authorId="0" shapeId="0">
      <text>
        <t>LAG (h)
Extra waiting time on the link, in hours.
0 = no wait. 2 = start two hours after. -1 = start one hour early (overlap).</t>
      </text>
    </comment>
    <comment ref="I86" authorId="0" shapeId="0">
      <text>
        <t>ACT START - Date
The DATE work actually started. Date only.
Example:  16/10/2026
The time goes in the next cell.</t>
      </text>
    </comment>
    <comment ref="J86" authorId="0" shapeId="0">
      <text>
        <t>ACT START - Time
The TIME work actually started. Time only, 24-hour clock.
Example:  05:30
Leave blank and it is treated as 00:00.</t>
      </text>
    </comment>
    <comment ref="K86" authorId="0" shapeId="0">
      <text>
        <t>ACT FINISH - Date
The DATE work actually finished. Date only.
Example:  16/10/2026
Fill it in only when the activity is genuinely complete - entering a finish sets the activity to 100%.</t>
      </text>
    </comment>
    <comment ref="L86" authorId="0" shapeId="0">
      <text>
        <t>ACT FINISH - Time
The TIME work actually finished. Time only.
Example:  14:00</t>
      </text>
    </comment>
    <comment ref="M86" authorId="0" shapeId="0">
      <text>
        <t>ACT Dur
Calculated: how long the activity actually took, once both the actual start and finish are entered.</t>
      </text>
    </comment>
    <comment ref="N86" authorId="0" shapeId="0">
      <text>
        <t>% COMP
How much of the activity is done, for work still in progress.
Type 45% (or 0.45). Leave blank if nothing has started.
You do not need it once an ACT FINISH is entered - that forces 100%.</t>
      </text>
    </comment>
    <comment ref="O86" authorId="0" shapeId="0">
      <text>
        <t>STATUS (auto)
Calculated from the dates you entered. Never type here.
! CHECK DATES means a finish is before its start, or a start is before the possession began.
! CHECK LINK means PRED No points at this row or a row below it.</t>
      </text>
    </comment>
    <comment ref="P86" authorId="0" shapeId="0">
      <text>
        <t>REMARKS
Free text - the reason for a delay, who is on site, what is waiting. It is for the record; it does not affect any calculation.</t>
      </text>
    </comment>
    <comment ref="A116" authorId="0" shapeId="0">
      <text>
        <t>No
The activity number. Calculated - it disappears when the ACTIVITY name next to it is blank.</t>
      </text>
    </comment>
    <comment ref="B116" authorId="0" shapeId="0">
      <text>
        <t>ACTIVITY
The work description shown on the report.
Leave it BLANK to switch the whole row off - the row then vanishes from the tracker, the Gantt and the totals.</t>
      </text>
    </comment>
    <comment ref="C116" authorId="0" shapeId="0">
      <text>
        <t>Planned Start
Calculated from the link you set in PRED No / REL / LAG. Do not type here.
If a date looks wrong, fix the link, not the date.</t>
      </text>
    </comment>
    <comment ref="D116" authorId="0" shapeId="0">
      <text>
        <t>Planned Finish
Calculated: Planned Start + DUR. Do not type here.</t>
      </text>
    </comment>
    <comment ref="E116" authorId="0" shapeId="0">
      <text>
        <t>DUR (h)
How many hours this activity is planned to take.
Decimals are fine: 1.5 means one hour thirty.</t>
      </text>
    </comment>
    <comment ref="F116" authorId="0" shapeId="0">
      <text>
        <t>PRED No
The activity number THIS one follows, within this location.
0 means it starts at the possession start.
3 means it is driven by activity 3 above.
It must point UPWARDS - a row cannot follow itself or a row below it, or the status reads ! CHECK LINK.</t>
      </text>
    </comment>
    <comment ref="G116" authorId="0" shapeId="0">
      <text>
        <t>REL
How this activity is tied to its predecessor:
FS  finish-to-start - starts when the other finishes (the normal one)
SS  start-to-start - both start together
FF  finish-to-finish - both finish together
SF  start-to-finish</t>
      </text>
    </comment>
    <comment ref="H116" authorId="0" shapeId="0">
      <text>
        <t>LAG (h)
Extra waiting time on the link, in hours.
0 = no wait. 2 = start two hours after. -1 = start one hour early (overlap).</t>
      </text>
    </comment>
    <comment ref="I116" authorId="0" shapeId="0">
      <text>
        <t>ACT START - Date
The DATE work actually started. Date only.
Example:  16/10/2026
The time goes in the next cell.</t>
      </text>
    </comment>
    <comment ref="J116" authorId="0" shapeId="0">
      <text>
        <t>ACT START - Time
The TIME work actually started. Time only, 24-hour clock.
Example:  05:30
Leave blank and it is treated as 00:00.</t>
      </text>
    </comment>
    <comment ref="K116" authorId="0" shapeId="0">
      <text>
        <t>ACT FINISH - Date
The DATE work actually finished. Date only.
Example:  16/10/2026
Fill it in only when the activity is genuinely complete - entering a finish sets the activity to 100%.</t>
      </text>
    </comment>
    <comment ref="L116" authorId="0" shapeId="0">
      <text>
        <t>ACT FINISH - Time
The TIME work actually finished. Time only.
Example:  14:00</t>
      </text>
    </comment>
    <comment ref="M116" authorId="0" shapeId="0">
      <text>
        <t>ACT Dur
Calculated: how long the activity actually took, once both the actual start and finish are entered.</t>
      </text>
    </comment>
    <comment ref="N116" authorId="0" shapeId="0">
      <text>
        <t>% COMP
How much of the activity is done, for work still in progress.
Type 45% (or 0.45). Leave blank if nothing has started.
You do not need it once an ACT FINISH is entered - that forces 100%.</t>
      </text>
    </comment>
    <comment ref="O116" authorId="0" shapeId="0">
      <text>
        <t>STATUS (auto)
Calculated from the dates you entered. Never type here.
! CHECK DATES means a finish is before its start, or a start is before the possession began.
! CHECK LINK means PRED No points at this row or a row below it.</t>
      </text>
    </comment>
    <comment ref="P116" authorId="0" shapeId="0">
      <text>
        <t>REMARKS
Free text - the reason for a delay, who is on site, what is waiting. It is for the record; it does not affect any calculation.</t>
      </text>
    </comment>
    <comment ref="A146" authorId="0" shapeId="0">
      <text>
        <t>No
The activity number. Calculated - it disappears when the ACTIVITY name next to it is blank.</t>
      </text>
    </comment>
    <comment ref="B146" authorId="0" shapeId="0">
      <text>
        <t>ACTIVITY
The work description shown on the report.
Leave it BLANK to switch the whole row off - the row then vanishes from the tracker, the Gantt and the totals.</t>
      </text>
    </comment>
    <comment ref="C146" authorId="0" shapeId="0">
      <text>
        <t>Planned Start
Calculated from the link you set in PRED No / REL / LAG. Do not type here.
If a date looks wrong, fix the link, not the date.</t>
      </text>
    </comment>
    <comment ref="D146" authorId="0" shapeId="0">
      <text>
        <t>Planned Finish
Calculated: Planned Start + DUR. Do not type here.</t>
      </text>
    </comment>
    <comment ref="E146" authorId="0" shapeId="0">
      <text>
        <t>DUR (h)
How many hours this activity is planned to take.
Decimals are fine: 1.5 means one hour thirty.</t>
      </text>
    </comment>
    <comment ref="F146" authorId="0" shapeId="0">
      <text>
        <t>PRED No
The activity number THIS one follows, within this location.
0 means it starts at the possession start.
3 means it is driven by activity 3 above.
It must point UPWARDS - a row cannot follow itself or a row below it, or the status reads ! CHECK LINK.</t>
      </text>
    </comment>
    <comment ref="G146" authorId="0" shapeId="0">
      <text>
        <t>REL
How this activity is tied to its predecessor:
FS  finish-to-start - starts when the other finishes (the normal one)
SS  start-to-start - both start together
FF  finish-to-finish - both finish together
SF  start-to-finish</t>
      </text>
    </comment>
    <comment ref="H146" authorId="0" shapeId="0">
      <text>
        <t>LAG (h)
Extra waiting time on the link, in hours.
0 = no wait. 2 = start two hours after. -1 = start one hour early (overlap).</t>
      </text>
    </comment>
    <comment ref="I146" authorId="0" shapeId="0">
      <text>
        <t>ACT START - Date
The DATE work actually started. Date only.
Example:  16/10/2026
The time goes in the next cell.</t>
      </text>
    </comment>
    <comment ref="J146" authorId="0" shapeId="0">
      <text>
        <t>ACT START - Time
The TIME work actually started. Time only, 24-hour clock.
Example:  05:30
Leave blank and it is treated as 00:00.</t>
      </text>
    </comment>
    <comment ref="K146" authorId="0" shapeId="0">
      <text>
        <t>ACT FINISH - Date
The DATE work actually finished. Date only.
Example:  16/10/2026
Fill it in only when the activity is genuinely complete - entering a finish sets the activity to 100%.</t>
      </text>
    </comment>
    <comment ref="L146" authorId="0" shapeId="0">
      <text>
        <t>ACT FINISH - Time
The TIME work actually finished. Time only.
Example:  14:00</t>
      </text>
    </comment>
    <comment ref="M146" authorId="0" shapeId="0">
      <text>
        <t>ACT Dur
Calculated: how long the activity actually took, once both the actual start and finish are entered.</t>
      </text>
    </comment>
    <comment ref="N146" authorId="0" shapeId="0">
      <text>
        <t>% COMP
How much of the activity is done, for work still in progress.
Type 45% (or 0.45). Leave blank if nothing has started.
You do not need it once an ACT FINISH is entered - that forces 100%.</t>
      </text>
    </comment>
    <comment ref="O146" authorId="0" shapeId="0">
      <text>
        <t>STATUS (auto)
Calculated from the dates you entered. Never type here.
! CHECK DATES means a finish is before its start, or a start is before the possession began.
! CHECK LINK means PRED No points at this row or a row below it.</t>
      </text>
    </comment>
    <comment ref="P146" authorId="0" shapeId="0">
      <text>
        <t>REMARKS
Free text - the reason for a delay, who is on site, what is waiting. It is for the record; it does not affect any calculation.</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drawing1.xml><?xml version="1.0" encoding="utf-8"?>
<wsDr xmlns="http://schemas.openxmlformats.org/drawingml/2006/spreadsheetDrawing">
  <oneCellAnchor>
    <from>
      <col>0</col>
      <colOff>0</colOff>
      <row>20</row>
      <rowOff>0</rowOff>
    </from>
    <ext cx="13277850" cy="2419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col>
      <colOff>0</colOff>
      <row>4</row>
      <rowOff>0</rowOff>
    </from>
    <ext cx="8953500" cy="5038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37</row>
      <rowOff>0</rowOff>
    </from>
    <ext cx="8953500" cy="5038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3D3935"/>
    <outlinePr summaryBelow="1" summaryRight="1"/>
    <pageSetUpPr fitToPage="1"/>
  </sheetPr>
  <dimension ref="A1:BP330"/>
  <sheetViews>
    <sheetView showGridLines="0" tabSelected="1" workbookViewId="0">
      <selection activeCell="A1" sqref="A1"/>
    </sheetView>
  </sheetViews>
  <sheetFormatPr baseColWidth="8" defaultRowHeight="15"/>
  <cols>
    <col width="3.5" customWidth="1" min="1" max="1"/>
    <col width="29" customWidth="1" min="2" max="2"/>
    <col width="15.5" customWidth="1" min="3" max="3"/>
    <col width="14.5" customWidth="1" min="4" max="4"/>
    <col width="14.5" customWidth="1" min="5" max="5"/>
    <col width="13.5" customWidth="1" min="6" max="6"/>
    <col width="7" customWidth="1" min="7" max="7"/>
    <col width="7" customWidth="1" min="8" max="8"/>
    <col width="10.5" customWidth="1" min="9" max="9"/>
    <col width="2.3" customWidth="1" min="10" max="10"/>
    <col width="1.65" customWidth="1" min="11" max="11"/>
    <col width="1.65" customWidth="1" min="12" max="12"/>
    <col width="1.65" customWidth="1" min="13" max="13"/>
    <col width="1.65" customWidth="1" min="14" max="14"/>
    <col width="1.65" customWidth="1" min="15" max="15"/>
    <col width="1.65" customWidth="1" min="16" max="16"/>
    <col width="1.65" customWidth="1" min="17" max="17"/>
    <col width="1.65" customWidth="1" min="18" max="18"/>
    <col width="1.65" customWidth="1" min="19" max="19"/>
    <col width="1.65" customWidth="1" min="20" max="20"/>
    <col width="1.65" customWidth="1" min="21" max="21"/>
    <col width="1.65" customWidth="1" min="22" max="22"/>
    <col width="1.65" customWidth="1" min="23" max="23"/>
    <col width="1.65" customWidth="1" min="24" max="24"/>
    <col width="1.65" customWidth="1" min="25" max="25"/>
    <col width="1.65" customWidth="1" min="26" max="26"/>
    <col width="1.65" customWidth="1" min="27" max="27"/>
    <col width="1.65" customWidth="1" min="28" max="28"/>
    <col width="1.65" customWidth="1" min="29" max="29"/>
    <col width="1.65" customWidth="1" min="30" max="30"/>
    <col width="1.65" customWidth="1" min="31" max="31"/>
    <col width="1.65" customWidth="1" min="32" max="32"/>
    <col width="1.65" customWidth="1" min="33" max="33"/>
    <col width="1.65" customWidth="1" min="34" max="34"/>
    <col width="1.65" customWidth="1" min="35" max="35"/>
    <col width="1.65" customWidth="1" min="36" max="36"/>
    <col width="1.65" customWidth="1" min="37" max="37"/>
    <col width="1.65" customWidth="1" min="38" max="38"/>
    <col width="1.65" customWidth="1" min="39" max="39"/>
    <col width="1.65" customWidth="1" min="40" max="40"/>
    <col width="1.65" customWidth="1" min="41" max="41"/>
    <col width="1.65" customWidth="1" min="42" max="42"/>
    <col width="1.65" customWidth="1" min="43" max="43"/>
    <col width="1.65" customWidth="1" min="44" max="44"/>
    <col width="1.65" customWidth="1" min="45" max="45"/>
    <col width="1.65" customWidth="1" min="46" max="46"/>
    <col width="1.65" customWidth="1" min="47" max="47"/>
    <col width="1.65" customWidth="1" min="48" max="48"/>
    <col width="1.65" customWidth="1" min="49" max="49"/>
    <col width="1.65" customWidth="1" min="50" max="50"/>
    <col width="1.65" customWidth="1" min="51" max="51"/>
    <col width="1.65" customWidth="1" min="52" max="52"/>
    <col width="1.65" customWidth="1" min="53" max="53"/>
    <col width="1.65" customWidth="1" min="54" max="54"/>
    <col width="1.65" customWidth="1" min="55" max="55"/>
    <col width="1.65" customWidth="1" min="56" max="56"/>
    <col width="1.65" customWidth="1" min="57" max="57"/>
    <col width="1.65" customWidth="1" min="58" max="58"/>
    <col hidden="1" width="11" customWidth="1" min="59" max="59"/>
    <col hidden="1" width="11" customWidth="1" min="60" max="60"/>
    <col hidden="1" width="11" customWidth="1" min="61" max="61"/>
    <col hidden="1" width="11" customWidth="1" min="62" max="62"/>
    <col hidden="1" width="11" customWidth="1" min="63" max="63"/>
    <col hidden="1" width="11" customWidth="1" min="64" max="64"/>
    <col hidden="1" width="11" customWidth="1" min="65" max="65"/>
    <col hidden="1" width="11" customWidth="1" min="66" max="66"/>
    <col hidden="1" width="11" customWidth="1" min="67" max="67"/>
    <col hidden="1" width="11" customWidth="1" min="68" max="68"/>
  </cols>
  <sheetData>
    <row r="1" hidden="1">
      <c r="A1">
        <f>'Data Input'!$C$8</f>
        <v/>
      </c>
      <c r="B1">
        <f>'Data Input'!$N$8</f>
        <v/>
      </c>
      <c r="C1">
        <f>'Data Input'!$M$5</f>
        <v/>
      </c>
      <c r="D1">
        <f>('Data Input'!$C$9-'Data Input'!$C$8)*24</f>
        <v/>
      </c>
      <c r="E1">
        <f>'Data Input'!$G$9*IF('Data Input'!$K$9="days",24,1)/48</f>
        <v/>
      </c>
      <c r="K1" t="n">
        <v>0</v>
      </c>
      <c r="L1" t="n">
        <v>1</v>
      </c>
      <c r="M1" t="n">
        <v>2</v>
      </c>
      <c r="N1" t="n">
        <v>3</v>
      </c>
      <c r="O1" t="n">
        <v>4</v>
      </c>
      <c r="P1" t="n">
        <v>5</v>
      </c>
      <c r="Q1" t="n">
        <v>6</v>
      </c>
      <c r="R1" t="n">
        <v>7</v>
      </c>
      <c r="S1" t="n">
        <v>8</v>
      </c>
      <c r="T1" t="n">
        <v>9</v>
      </c>
      <c r="U1" t="n">
        <v>10</v>
      </c>
      <c r="V1" t="n">
        <v>11</v>
      </c>
      <c r="W1" t="n">
        <v>12</v>
      </c>
      <c r="X1" t="n">
        <v>13</v>
      </c>
      <c r="Y1" t="n">
        <v>14</v>
      </c>
      <c r="Z1" t="n">
        <v>15</v>
      </c>
      <c r="AA1" t="n">
        <v>16</v>
      </c>
      <c r="AB1" t="n">
        <v>17</v>
      </c>
      <c r="AC1" t="n">
        <v>18</v>
      </c>
      <c r="AD1" t="n">
        <v>19</v>
      </c>
      <c r="AE1" t="n">
        <v>20</v>
      </c>
      <c r="AF1" t="n">
        <v>21</v>
      </c>
      <c r="AG1" t="n">
        <v>22</v>
      </c>
      <c r="AH1" t="n">
        <v>23</v>
      </c>
      <c r="AI1" t="n">
        <v>24</v>
      </c>
      <c r="AJ1" t="n">
        <v>25</v>
      </c>
      <c r="AK1" t="n">
        <v>26</v>
      </c>
      <c r="AL1" t="n">
        <v>27</v>
      </c>
      <c r="AM1" t="n">
        <v>28</v>
      </c>
      <c r="AN1" t="n">
        <v>29</v>
      </c>
      <c r="AO1" t="n">
        <v>30</v>
      </c>
      <c r="AP1" t="n">
        <v>31</v>
      </c>
      <c r="AQ1" t="n">
        <v>32</v>
      </c>
      <c r="AR1" t="n">
        <v>33</v>
      </c>
      <c r="AS1" t="n">
        <v>34</v>
      </c>
      <c r="AT1" t="n">
        <v>35</v>
      </c>
      <c r="AU1" t="n">
        <v>36</v>
      </c>
      <c r="AV1" t="n">
        <v>37</v>
      </c>
      <c r="AW1" t="n">
        <v>38</v>
      </c>
      <c r="AX1" t="n">
        <v>39</v>
      </c>
      <c r="AY1" t="n">
        <v>40</v>
      </c>
      <c r="AZ1" t="n">
        <v>41</v>
      </c>
      <c r="BA1" t="n">
        <v>42</v>
      </c>
      <c r="BB1" t="n">
        <v>43</v>
      </c>
      <c r="BC1" t="n">
        <v>44</v>
      </c>
      <c r="BD1" t="n">
        <v>45</v>
      </c>
      <c r="BE1" t="n">
        <v>46</v>
      </c>
      <c r="BF1" t="n">
        <v>47</v>
      </c>
    </row>
    <row r="2" ht="24" customHeight="1"/>
    <row r="3" ht="21.75" customHeight="1">
      <c r="A3" s="42" t="inlineStr">
        <is>
          <t>EWR CULVERTS REPLACEMENT PHASE 2</t>
        </is>
      </c>
    </row>
    <row r="4" ht="37.5" customHeight="1">
      <c r="A4" s="43" t="inlineStr">
        <is>
          <t>POSSESSION PROGRESS REPORT  -  PLANNED vs ACTUAL</t>
        </is>
      </c>
    </row>
    <row r="5" ht="24" customHeight="1">
      <c r="A5" s="44" t="inlineStr">
        <is>
          <t>Culvert Replacement  –  Shutdown 03</t>
        </is>
      </c>
    </row>
    <row r="6" ht="6" customHeight="1"/>
    <row r="7" ht="21.75" customHeight="1">
      <c r="A7" s="45" t="inlineStr">
        <is>
          <t>REPORT GENERATED</t>
        </is>
      </c>
      <c r="D7" s="46">
        <f>TEXT($C$1,"dddd  dd-mmm-yyyy   hh:mm")&amp;"          prepared by  SAR IPMC – Planning"</f>
        <v/>
      </c>
    </row>
    <row r="8" ht="21.75" customHeight="1">
      <c r="A8" s="45" t="inlineStr">
        <is>
          <t>POSSESSION WINDOW</t>
        </is>
      </c>
      <c r="D8" s="46">
        <f>TEXT($A$1,"dddd dd-mmm-yyyy hh:mm")&amp;"   to   "&amp;TEXT($B$1,"dddd dd-mmm-yyyy hh:mm")&amp;"    =  "&amp;TEXT(($B$1-$A$1)*24,"0.0")&amp;" hours"</f>
        <v/>
      </c>
    </row>
    <row r="9" ht="21.75" customHeight="1">
      <c r="A9" s="45" t="inlineStr">
        <is>
          <t>ELAPSED / REMAINING</t>
        </is>
      </c>
      <c r="D9" s="46">
        <f>TEXT(MEDIAN(0,($C$1-$A$1)*24,($B$1-$A$1)*24),"0.0")&amp;" h elapsed          "&amp;TEXT(($B$1-$A$1)*24-MEDIAN(0,($C$1-$A$1)*24,($B$1-$A$1)*24),"0.0")&amp;" h remaining"</f>
        <v/>
      </c>
    </row>
    <row r="10" ht="9.75" customHeight="1"/>
    <row r="11" ht="25.5" customHeight="1">
      <c r="A11" s="47" t="inlineStr">
        <is>
          <t xml:space="preserve">   SUMMARY  -  ALL LOCATIONS</t>
        </is>
      </c>
    </row>
    <row r="12" ht="31.5" customHeight="1">
      <c r="A12" s="48" t="inlineStr">
        <is>
          <t>Location</t>
        </is>
      </c>
      <c r="B12" s="103" t="n"/>
      <c r="C12" s="48" t="inlineStr">
        <is>
          <t>Status</t>
        </is>
      </c>
      <c r="D12" s="48" t="inlineStr">
        <is>
          <t>Planned
Finish</t>
        </is>
      </c>
      <c r="E12" s="48" t="inlineStr">
        <is>
          <t>Forecast
Finish</t>
        </is>
      </c>
      <c r="F12" s="48" t="inlineStr">
        <is>
          <t>Time
Variance</t>
        </is>
      </c>
      <c r="G12" s="48" t="inlineStr">
        <is>
          <t>Plan
%</t>
        </is>
      </c>
      <c r="H12" s="48" t="inlineStr">
        <is>
          <t>Actual
%</t>
        </is>
      </c>
      <c r="I12" s="48" t="inlineStr">
        <is>
          <t>Buffer to
Hand-back</t>
        </is>
      </c>
      <c r="K12" s="17" t="inlineStr">
        <is>
          <t>PROGRESS  0 - 100%          coloured bar = actual %          black line = DATA DATE</t>
        </is>
      </c>
      <c r="L12" s="102" t="n"/>
      <c r="M12" s="102" t="n"/>
      <c r="N12" s="102" t="n"/>
      <c r="O12" s="102" t="n"/>
      <c r="P12" s="102" t="n"/>
      <c r="Q12" s="102" t="n"/>
      <c r="R12" s="102" t="n"/>
      <c r="S12" s="102" t="n"/>
      <c r="T12" s="102" t="n"/>
      <c r="U12" s="102" t="n"/>
      <c r="V12" s="102" t="n"/>
      <c r="W12" s="102" t="n"/>
      <c r="X12" s="102" t="n"/>
      <c r="Y12" s="102" t="n"/>
      <c r="Z12" s="102" t="n"/>
      <c r="AA12" s="102" t="n"/>
      <c r="AB12" s="102" t="n"/>
      <c r="AC12" s="102" t="n"/>
      <c r="AD12" s="102" t="n"/>
      <c r="AE12" s="102" t="n"/>
      <c r="AF12" s="102" t="n"/>
      <c r="AG12" s="102" t="n"/>
      <c r="AH12" s="102" t="n"/>
      <c r="AI12" s="102" t="n"/>
      <c r="AJ12" s="102" t="n"/>
      <c r="AK12" s="102" t="n"/>
      <c r="AL12" s="102" t="n"/>
      <c r="AM12" s="102" t="n"/>
      <c r="AN12" s="102" t="n"/>
      <c r="AO12" s="102" t="n"/>
      <c r="AP12" s="102" t="n"/>
      <c r="AQ12" s="102" t="n"/>
      <c r="AR12" s="102" t="n"/>
      <c r="AS12" s="102" t="n"/>
      <c r="AT12" s="102" t="n"/>
      <c r="AU12" s="102" t="n"/>
      <c r="AV12" s="102" t="n"/>
      <c r="AW12" s="102" t="n"/>
      <c r="AX12" s="102" t="n"/>
      <c r="AY12" s="102" t="n"/>
      <c r="AZ12" s="102" t="n"/>
      <c r="BA12" s="102" t="n"/>
      <c r="BB12" s="102" t="n"/>
      <c r="BC12" s="102" t="n"/>
      <c r="BD12" s="102" t="n"/>
      <c r="BE12" s="102" t="n"/>
      <c r="BF12" s="103" t="n"/>
    </row>
    <row r="13" ht="25.5" customHeight="1">
      <c r="A13" s="49" t="inlineStr">
        <is>
          <t>C263  –  KM 209+025   (1 cell)</t>
        </is>
      </c>
      <c r="B13" s="103" t="n"/>
      <c r="C13" s="50">
        <f>IF(COUNTIF('Data Input'!X27:X52,"!*")&gt;0,"CHECK INPUT",IF(I13&lt;0,"AT RISK",IF(F13&gt;0.1,"BEHIND",IF(I13&lt;2,"TIGHT",IF(F13&lt;-0.1,"AHEAD","ON TIME")))))</f>
        <v/>
      </c>
      <c r="D13" s="51">
        <f>MAX('Data Input'!D27:D52)</f>
        <v/>
      </c>
      <c r="E13" s="52">
        <f>'Data Input'!W53</f>
        <v/>
      </c>
      <c r="F13" s="53">
        <f>ROUND('Data Input'!X53,1)</f>
        <v/>
      </c>
      <c r="G13" s="54">
        <f>IF(SUM('Data Input'!E27:E52)=0,0,SUMPRODUCT('Data Input'!E27:E52,'Data Input'!T27:T52)/SUM('Data Input'!E27:E52))</f>
        <v/>
      </c>
      <c r="H13" s="55">
        <f>IF(SUM('Data Input'!E27:E52)=0,0,SUMPRODUCT('Data Input'!E27:E52,'Data Input'!S27:S52)/SUM('Data Input'!E27:E52))</f>
        <v/>
      </c>
      <c r="I13" s="56">
        <f>ROUND(('Data Input'!$N$8-E13)*24,1)</f>
        <v/>
      </c>
      <c r="K13" s="57" t="n"/>
      <c r="L13" s="57" t="n"/>
      <c r="M13" s="57" t="n"/>
      <c r="N13" s="57" t="n"/>
      <c r="O13" s="57" t="n"/>
      <c r="P13" s="57" t="n"/>
      <c r="Q13" s="57" t="n"/>
      <c r="R13" s="57" t="n"/>
      <c r="S13" s="57" t="n"/>
      <c r="T13" s="57" t="n"/>
      <c r="U13" s="57" t="n"/>
      <c r="V13" s="57" t="n"/>
      <c r="W13" s="57" t="n"/>
      <c r="X13" s="57" t="n"/>
      <c r="Y13" s="57" t="n"/>
      <c r="Z13" s="57" t="n"/>
      <c r="AA13" s="57" t="n"/>
      <c r="AB13" s="57" t="n"/>
      <c r="AC13" s="57" t="n"/>
      <c r="AD13" s="57" t="n"/>
      <c r="AE13" s="57" t="n"/>
      <c r="AF13" s="57" t="n"/>
      <c r="AG13" s="57" t="n"/>
      <c r="AH13" s="57" t="n"/>
      <c r="AI13" s="57" t="n"/>
      <c r="AJ13" s="57" t="n"/>
      <c r="AK13" s="57" t="n"/>
      <c r="AL13" s="57" t="n"/>
      <c r="AM13" s="57" t="n"/>
      <c r="AN13" s="57" t="n"/>
      <c r="AO13" s="57" t="n"/>
      <c r="AP13" s="57" t="n"/>
      <c r="AQ13" s="57" t="n"/>
      <c r="AR13" s="57" t="n"/>
      <c r="AS13" s="57" t="n"/>
      <c r="AT13" s="57" t="n"/>
      <c r="AU13" s="57" t="n"/>
      <c r="AV13" s="57" t="n"/>
      <c r="AW13" s="57" t="n"/>
      <c r="AX13" s="57" t="n"/>
      <c r="AY13" s="57" t="n"/>
      <c r="AZ13" s="57" t="n"/>
      <c r="BA13" s="57" t="n"/>
      <c r="BB13" s="57" t="n"/>
      <c r="BC13" s="57" t="n"/>
      <c r="BD13" s="57" t="n"/>
      <c r="BE13" s="57" t="n"/>
      <c r="BF13" s="57" t="n"/>
    </row>
    <row r="14" ht="25.5" customHeight="1">
      <c r="A14" s="49" t="inlineStr">
        <is>
          <t>C265  –  KM 210+525   (3 cells)</t>
        </is>
      </c>
      <c r="B14" s="103" t="n"/>
      <c r="C14" s="50">
        <f>IF(COUNTIF('Data Input'!X57:X82,"!*")&gt;0,"CHECK INPUT",IF(I14&lt;0,"AT RISK",IF(F14&gt;0.1,"BEHIND",IF(I14&lt;2,"TIGHT",IF(F14&lt;-0.1,"AHEAD","ON TIME")))))</f>
        <v/>
      </c>
      <c r="D14" s="51">
        <f>MAX('Data Input'!D57:D82)</f>
        <v/>
      </c>
      <c r="E14" s="52">
        <f>'Data Input'!W83</f>
        <v/>
      </c>
      <c r="F14" s="53">
        <f>ROUND('Data Input'!X83,1)</f>
        <v/>
      </c>
      <c r="G14" s="54">
        <f>IF(SUM('Data Input'!E57:E82)=0,0,SUMPRODUCT('Data Input'!E57:E82,'Data Input'!T57:T82)/SUM('Data Input'!E57:E82))</f>
        <v/>
      </c>
      <c r="H14" s="55">
        <f>IF(SUM('Data Input'!E57:E82)=0,0,SUMPRODUCT('Data Input'!E57:E82,'Data Input'!S57:S82)/SUM('Data Input'!E57:E82))</f>
        <v/>
      </c>
      <c r="I14" s="56">
        <f>ROUND(('Data Input'!$N$8-E14)*24,1)</f>
        <v/>
      </c>
      <c r="K14" s="57" t="n"/>
      <c r="L14" s="57" t="n"/>
      <c r="M14" s="57" t="n"/>
      <c r="N14" s="57" t="n"/>
      <c r="O14" s="57" t="n"/>
      <c r="P14" s="57" t="n"/>
      <c r="Q14" s="57" t="n"/>
      <c r="R14" s="57" t="n"/>
      <c r="S14" s="57" t="n"/>
      <c r="T14" s="57" t="n"/>
      <c r="U14" s="57" t="n"/>
      <c r="V14" s="57" t="n"/>
      <c r="W14" s="57" t="n"/>
      <c r="X14" s="57" t="n"/>
      <c r="Y14" s="57" t="n"/>
      <c r="Z14" s="57" t="n"/>
      <c r="AA14" s="57" t="n"/>
      <c r="AB14" s="57" t="n"/>
      <c r="AC14" s="57" t="n"/>
      <c r="AD14" s="57" t="n"/>
      <c r="AE14" s="57" t="n"/>
      <c r="AF14" s="57" t="n"/>
      <c r="AG14" s="57" t="n"/>
      <c r="AH14" s="57" t="n"/>
      <c r="AI14" s="57" t="n"/>
      <c r="AJ14" s="57" t="n"/>
      <c r="AK14" s="57" t="n"/>
      <c r="AL14" s="57" t="n"/>
      <c r="AM14" s="57" t="n"/>
      <c r="AN14" s="57" t="n"/>
      <c r="AO14" s="57" t="n"/>
      <c r="AP14" s="57" t="n"/>
      <c r="AQ14" s="57" t="n"/>
      <c r="AR14" s="57" t="n"/>
      <c r="AS14" s="57" t="n"/>
      <c r="AT14" s="57" t="n"/>
      <c r="AU14" s="57" t="n"/>
      <c r="AV14" s="57" t="n"/>
      <c r="AW14" s="57" t="n"/>
      <c r="AX14" s="57" t="n"/>
      <c r="AY14" s="57" t="n"/>
      <c r="AZ14" s="57" t="n"/>
      <c r="BA14" s="57" t="n"/>
      <c r="BB14" s="57" t="n"/>
      <c r="BC14" s="57" t="n"/>
      <c r="BD14" s="57" t="n"/>
      <c r="BE14" s="57" t="n"/>
      <c r="BF14" s="57" t="n"/>
    </row>
    <row r="15" ht="25.5" customHeight="1">
      <c r="A15" s="49" t="inlineStr">
        <is>
          <t>C267  –  KM 212+400   (3 cells)</t>
        </is>
      </c>
      <c r="B15" s="103" t="n"/>
      <c r="C15" s="50">
        <f>IF(COUNTIF('Data Input'!X87:X112,"!*")&gt;0,"CHECK INPUT",IF(I15&lt;0,"AT RISK",IF(F15&gt;0.1,"BEHIND",IF(I15&lt;2,"TIGHT",IF(F15&lt;-0.1,"AHEAD","ON TIME")))))</f>
        <v/>
      </c>
      <c r="D15" s="51">
        <f>MAX('Data Input'!D87:D112)</f>
        <v/>
      </c>
      <c r="E15" s="52">
        <f>'Data Input'!W113</f>
        <v/>
      </c>
      <c r="F15" s="53">
        <f>ROUND('Data Input'!X113,1)</f>
        <v/>
      </c>
      <c r="G15" s="54">
        <f>IF(SUM('Data Input'!E87:E112)=0,0,SUMPRODUCT('Data Input'!E87:E112,'Data Input'!T87:T112)/SUM('Data Input'!E87:E112))</f>
        <v/>
      </c>
      <c r="H15" s="55">
        <f>IF(SUM('Data Input'!E87:E112)=0,0,SUMPRODUCT('Data Input'!E87:E112,'Data Input'!S87:S112)/SUM('Data Input'!E87:E112))</f>
        <v/>
      </c>
      <c r="I15" s="56">
        <f>ROUND(('Data Input'!$N$8-E15)*24,1)</f>
        <v/>
      </c>
      <c r="K15" s="57" t="n"/>
      <c r="L15" s="57" t="n"/>
      <c r="M15" s="57" t="n"/>
      <c r="N15" s="57" t="n"/>
      <c r="O15" s="57" t="n"/>
      <c r="P15" s="57" t="n"/>
      <c r="Q15" s="57" t="n"/>
      <c r="R15" s="57" t="n"/>
      <c r="S15" s="57" t="n"/>
      <c r="T15" s="57" t="n"/>
      <c r="U15" s="57" t="n"/>
      <c r="V15" s="57" t="n"/>
      <c r="W15" s="57" t="n"/>
      <c r="X15" s="57" t="n"/>
      <c r="Y15" s="57" t="n"/>
      <c r="Z15" s="57" t="n"/>
      <c r="AA15" s="57" t="n"/>
      <c r="AB15" s="57" t="n"/>
      <c r="AC15" s="57" t="n"/>
      <c r="AD15" s="57" t="n"/>
      <c r="AE15" s="57" t="n"/>
      <c r="AF15" s="57" t="n"/>
      <c r="AG15" s="57" t="n"/>
      <c r="AH15" s="57" t="n"/>
      <c r="AI15" s="57" t="n"/>
      <c r="AJ15" s="57" t="n"/>
      <c r="AK15" s="57" t="n"/>
      <c r="AL15" s="57" t="n"/>
      <c r="AM15" s="57" t="n"/>
      <c r="AN15" s="57" t="n"/>
      <c r="AO15" s="57" t="n"/>
      <c r="AP15" s="57" t="n"/>
      <c r="AQ15" s="57" t="n"/>
      <c r="AR15" s="57" t="n"/>
      <c r="AS15" s="57" t="n"/>
      <c r="AT15" s="57" t="n"/>
      <c r="AU15" s="57" t="n"/>
      <c r="AV15" s="57" t="n"/>
      <c r="AW15" s="57" t="n"/>
      <c r="AX15" s="57" t="n"/>
      <c r="AY15" s="57" t="n"/>
      <c r="AZ15" s="57" t="n"/>
      <c r="BA15" s="57" t="n"/>
      <c r="BB15" s="57" t="n"/>
      <c r="BC15" s="57" t="n"/>
      <c r="BD15" s="57" t="n"/>
      <c r="BE15" s="57" t="n"/>
      <c r="BF15" s="57" t="n"/>
    </row>
    <row r="16" ht="25.5" customHeight="1">
      <c r="A16" s="49" t="inlineStr">
        <is>
          <t>C288  –  KM 337+391   (3 cells)</t>
        </is>
      </c>
      <c r="B16" s="103" t="n"/>
      <c r="C16" s="50">
        <f>IF(COUNTIF('Data Input'!X117:X142,"!*")&gt;0,"CHECK INPUT",IF(I16&lt;0,"AT RISK",IF(F16&gt;0.1,"BEHIND",IF(I16&lt;2,"TIGHT",IF(F16&lt;-0.1,"AHEAD","ON TIME")))))</f>
        <v/>
      </c>
      <c r="D16" s="51">
        <f>MAX('Data Input'!D117:D142)</f>
        <v/>
      </c>
      <c r="E16" s="52">
        <f>'Data Input'!W143</f>
        <v/>
      </c>
      <c r="F16" s="53">
        <f>ROUND('Data Input'!X143,1)</f>
        <v/>
      </c>
      <c r="G16" s="54">
        <f>IF(SUM('Data Input'!E117:E142)=0,0,SUMPRODUCT('Data Input'!E117:E142,'Data Input'!T117:T142)/SUM('Data Input'!E117:E142))</f>
        <v/>
      </c>
      <c r="H16" s="55">
        <f>IF(SUM('Data Input'!E117:E142)=0,0,SUMPRODUCT('Data Input'!E117:E142,'Data Input'!S117:S142)/SUM('Data Input'!E117:E142))</f>
        <v/>
      </c>
      <c r="I16" s="56">
        <f>ROUND(('Data Input'!$N$8-E16)*24,1)</f>
        <v/>
      </c>
      <c r="K16" s="57" t="n"/>
      <c r="L16" s="57" t="n"/>
      <c r="M16" s="57" t="n"/>
      <c r="N16" s="57" t="n"/>
      <c r="O16" s="57" t="n"/>
      <c r="P16" s="57" t="n"/>
      <c r="Q16" s="57" t="n"/>
      <c r="R16" s="57" t="n"/>
      <c r="S16" s="57" t="n"/>
      <c r="T16" s="57" t="n"/>
      <c r="U16" s="57" t="n"/>
      <c r="V16" s="57" t="n"/>
      <c r="W16" s="57" t="n"/>
      <c r="X16" s="57" t="n"/>
      <c r="Y16" s="57" t="n"/>
      <c r="Z16" s="57" t="n"/>
      <c r="AA16" s="57" t="n"/>
      <c r="AB16" s="57" t="n"/>
      <c r="AC16" s="57" t="n"/>
      <c r="AD16" s="57" t="n"/>
      <c r="AE16" s="57" t="n"/>
      <c r="AF16" s="57" t="n"/>
      <c r="AG16" s="57" t="n"/>
      <c r="AH16" s="57" t="n"/>
      <c r="AI16" s="57" t="n"/>
      <c r="AJ16" s="57" t="n"/>
      <c r="AK16" s="57" t="n"/>
      <c r="AL16" s="57" t="n"/>
      <c r="AM16" s="57" t="n"/>
      <c r="AN16" s="57" t="n"/>
      <c r="AO16" s="57" t="n"/>
      <c r="AP16" s="57" t="n"/>
      <c r="AQ16" s="57" t="n"/>
      <c r="AR16" s="57" t="n"/>
      <c r="AS16" s="57" t="n"/>
      <c r="AT16" s="57" t="n"/>
      <c r="AU16" s="57" t="n"/>
      <c r="AV16" s="57" t="n"/>
      <c r="AW16" s="57" t="n"/>
      <c r="AX16" s="57" t="n"/>
      <c r="AY16" s="57" t="n"/>
      <c r="AZ16" s="57" t="n"/>
      <c r="BA16" s="57" t="n"/>
      <c r="BB16" s="57" t="n"/>
      <c r="BC16" s="57" t="n"/>
      <c r="BD16" s="57" t="n"/>
      <c r="BE16" s="57" t="n"/>
      <c r="BF16" s="57" t="n"/>
    </row>
    <row r="17" ht="25.5" customHeight="1">
      <c r="A17" s="49" t="inlineStr">
        <is>
          <t>C289  –  KM 338+491   (3 cells)</t>
        </is>
      </c>
      <c r="B17" s="103" t="n"/>
      <c r="C17" s="50">
        <f>IF(COUNTIF('Data Input'!X147:X172,"!*")&gt;0,"CHECK INPUT",IF(I17&lt;0,"AT RISK",IF(F17&gt;0.1,"BEHIND",IF(I17&lt;2,"TIGHT",IF(F17&lt;-0.1,"AHEAD","ON TIME")))))</f>
        <v/>
      </c>
      <c r="D17" s="51">
        <f>MAX('Data Input'!D147:D172)</f>
        <v/>
      </c>
      <c r="E17" s="52">
        <f>'Data Input'!W173</f>
        <v/>
      </c>
      <c r="F17" s="53">
        <f>ROUND('Data Input'!X173,1)</f>
        <v/>
      </c>
      <c r="G17" s="54">
        <f>IF(SUM('Data Input'!E147:E172)=0,0,SUMPRODUCT('Data Input'!E147:E172,'Data Input'!T147:T172)/SUM('Data Input'!E147:E172))</f>
        <v/>
      </c>
      <c r="H17" s="55">
        <f>IF(SUM('Data Input'!E147:E172)=0,0,SUMPRODUCT('Data Input'!E147:E172,'Data Input'!S147:S172)/SUM('Data Input'!E147:E172))</f>
        <v/>
      </c>
      <c r="I17" s="56">
        <f>ROUND(('Data Input'!$N$8-E17)*24,1)</f>
        <v/>
      </c>
      <c r="K17" s="57" t="n"/>
      <c r="L17" s="57" t="n"/>
      <c r="M17" s="57" t="n"/>
      <c r="N17" s="57" t="n"/>
      <c r="O17" s="57" t="n"/>
      <c r="P17" s="57" t="n"/>
      <c r="Q17" s="57" t="n"/>
      <c r="R17" s="57" t="n"/>
      <c r="S17" s="57" t="n"/>
      <c r="T17" s="57" t="n"/>
      <c r="U17" s="57" t="n"/>
      <c r="V17" s="57" t="n"/>
      <c r="W17" s="57" t="n"/>
      <c r="X17" s="57" t="n"/>
      <c r="Y17" s="57" t="n"/>
      <c r="Z17" s="57" t="n"/>
      <c r="AA17" s="57" t="n"/>
      <c r="AB17" s="57" t="n"/>
      <c r="AC17" s="57" t="n"/>
      <c r="AD17" s="57" t="n"/>
      <c r="AE17" s="57" t="n"/>
      <c r="AF17" s="57" t="n"/>
      <c r="AG17" s="57" t="n"/>
      <c r="AH17" s="57" t="n"/>
      <c r="AI17" s="57" t="n"/>
      <c r="AJ17" s="57" t="n"/>
      <c r="AK17" s="57" t="n"/>
      <c r="AL17" s="57" t="n"/>
      <c r="AM17" s="57" t="n"/>
      <c r="AN17" s="57" t="n"/>
      <c r="AO17" s="57" t="n"/>
      <c r="AP17" s="57" t="n"/>
      <c r="AQ17" s="57" t="n"/>
      <c r="AR17" s="57" t="n"/>
      <c r="AS17" s="57" t="n"/>
      <c r="AT17" s="57" t="n"/>
      <c r="AU17" s="57" t="n"/>
      <c r="AV17" s="57" t="n"/>
      <c r="AW17" s="57" t="n"/>
      <c r="AX17" s="57" t="n"/>
      <c r="AY17" s="57" t="n"/>
      <c r="AZ17" s="57" t="n"/>
      <c r="BA17" s="57" t="n"/>
      <c r="BB17" s="57" t="n"/>
      <c r="BC17" s="57" t="n"/>
      <c r="BD17" s="57" t="n"/>
      <c r="BE17" s="57" t="n"/>
      <c r="BF17" s="57" t="n"/>
    </row>
    <row r="18" ht="25.5" customHeight="1">
      <c r="A18" s="7" t="inlineStr">
        <is>
          <t xml:space="preserve">   ALL LOCATIONS</t>
        </is>
      </c>
      <c r="C18" s="58">
        <f>IF(MIN(I13:I17)&lt;0,"AT RISK",IF(MAX(F13:F17)&gt;0.1,"BEHIND",IF(MIN(I13:I17)&lt;2,"TIGHT","ON TIME")))</f>
        <v/>
      </c>
      <c r="D18" s="59">
        <f>MAX(D13:D17)</f>
        <v/>
      </c>
      <c r="E18" s="59">
        <f>MAX(E13:E17)</f>
        <v/>
      </c>
      <c r="F18" s="60">
        <f>ROUND(MAX(F13:F17),1)</f>
        <v/>
      </c>
      <c r="G18" s="61">
        <f>AVERAGE(G13:G17)</f>
        <v/>
      </c>
      <c r="H18" s="61">
        <f>AVERAGE(H13:H17)</f>
        <v/>
      </c>
      <c r="I18" s="62">
        <f>ROUND(MIN(I13:I17),1)</f>
        <v/>
      </c>
      <c r="K18" s="38" t="n"/>
    </row>
    <row r="20" ht="19.5" customHeight="1">
      <c r="A20" s="7" t="inlineStr">
        <is>
          <t xml:space="preserve">   SITE LAYOUT  -  SCHEMATIC OVERVIEW</t>
        </is>
      </c>
    </row>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7" ht="26" customHeight="1">
      <c r="A37" s="63" t="inlineStr">
        <is>
          <t xml:space="preserve">   EWR CULVERTS REPLACEMENT PHASE 2    -    CULVERT C263    -    KM 209+025    -    1 CELL    -    TSO OTMP / Station 29</t>
        </is>
      </c>
    </row>
    <row r="38" ht="22" customHeight="1">
      <c r="A38" s="64">
        <f>"   1 cell        ACTUAL  "&amp;TEXT(H13,"0%")&amp;"        PLANNED  "&amp;TEXT(G13,"0%")&amp;"        PLAN FINISH  "&amp;TEXT(D13,"ddd dd-mmm hh:mm")</f>
        <v/>
      </c>
      <c r="K38" s="65">
        <f>C13&amp;"        FORECAST  "&amp;TEXT(E13,"ddd dd-mmm hh:mm")&amp;"        "&amp;TEXT(ABS(F13),"0.0")&amp;IF(F13&gt;0," h LATE",IF(F13&lt;0," h EARLY"," h"))</f>
        <v/>
      </c>
    </row>
    <row r="39" ht="28" customHeight="1">
      <c r="A39" s="22" t="inlineStr">
        <is>
          <t>No</t>
        </is>
      </c>
      <c r="B39" s="22" t="inlineStr">
        <is>
          <t>Activity</t>
        </is>
      </c>
      <c r="C39" s="22" t="inlineStr">
        <is>
          <t>Status</t>
        </is>
      </c>
      <c r="D39" s="22" t="inlineStr">
        <is>
          <t>Planned
Finish</t>
        </is>
      </c>
      <c r="E39" s="22" t="inlineStr">
        <is>
          <t>Forecast
Finish</t>
        </is>
      </c>
      <c r="F39" s="22" t="inlineStr">
        <is>
          <t>Time
Variance</t>
        </is>
      </c>
      <c r="G39" s="22" t="inlineStr">
        <is>
          <t>Plan
%</t>
        </is>
      </c>
      <c r="H39" s="22" t="inlineStr">
        <is>
          <t>Act.
%</t>
        </is>
      </c>
      <c r="I39" s="22" t="inlineStr">
        <is>
          <t>Buffer to
Hand-back</t>
        </is>
      </c>
      <c r="K39" s="120">
        <f>UPPER(TEXT($A$1+($D$1+0*$E$1)/24,"ddd  dd-mmm  hh:mm")&amp;"  to  "&amp;TEXT($A$1+($D$1+24*$E$1)/24,"ddd  dd-mmm  hh:mm"))</f>
        <v/>
      </c>
      <c r="AH39" s="114" t="n"/>
      <c r="AI39" s="120">
        <f>UPPER(TEXT($A$1+($D$1+24*$E$1)/24,"ddd  dd-mmm  hh:mm")&amp;"  to  "&amp;TEXT($A$1+($D$1+48*$E$1)/24,"ddd  dd-mmm  hh:mm"))</f>
        <v/>
      </c>
      <c r="BF39" s="114" t="n"/>
    </row>
    <row r="40" ht="15.75" customHeight="1">
      <c r="K40" s="121">
        <f>TEXT($A$1+($D$1+0*$E$1)/24,"hh:mm")&amp;" - "&amp;TEXT($A$1+($D$1+6*$E$1)/24,"hh:mm")</f>
        <v/>
      </c>
      <c r="P40" s="115" t="n"/>
      <c r="Q40" s="121">
        <f>TEXT($A$1+($D$1+6*$E$1)/24,"hh:mm")&amp;" - "&amp;TEXT($A$1+($D$1+12*$E$1)/24,"hh:mm")</f>
        <v/>
      </c>
      <c r="V40" s="115" t="n"/>
      <c r="W40" s="121">
        <f>TEXT($A$1+($D$1+12*$E$1)/24,"hh:mm")&amp;" - "&amp;TEXT($A$1+($D$1+18*$E$1)/24,"hh:mm")</f>
        <v/>
      </c>
      <c r="AB40" s="115" t="n"/>
      <c r="AC40" s="121">
        <f>TEXT($A$1+($D$1+18*$E$1)/24,"hh:mm")&amp;" - "&amp;TEXT($A$1+($D$1+24*$E$1)/24,"hh:mm")</f>
        <v/>
      </c>
      <c r="AH40" s="115" t="n"/>
      <c r="AI40" s="121">
        <f>TEXT($A$1+($D$1+24*$E$1)/24,"hh:mm")&amp;" - "&amp;TEXT($A$1+($D$1+30*$E$1)/24,"hh:mm")</f>
        <v/>
      </c>
      <c r="AN40" s="115" t="n"/>
      <c r="AO40" s="121">
        <f>TEXT($A$1+($D$1+30*$E$1)/24,"hh:mm")&amp;" - "&amp;TEXT($A$1+($D$1+36*$E$1)/24,"hh:mm")</f>
        <v/>
      </c>
      <c r="AT40" s="115" t="n"/>
      <c r="AU40" s="121">
        <f>TEXT($A$1+($D$1+36*$E$1)/24,"hh:mm")&amp;" - "&amp;TEXT($A$1+($D$1+42*$E$1)/24,"hh:mm")</f>
        <v/>
      </c>
      <c r="AZ40" s="115" t="n"/>
      <c r="BA40" s="121">
        <f>TEXT($A$1+($D$1+42*$E$1)/24,"hh:mm")&amp;" - "&amp;TEXT($A$1+($D$1+48*$E$1)/24,"hh:mm")</f>
        <v/>
      </c>
      <c r="BF40" s="115" t="n"/>
    </row>
    <row r="41" ht="11.5" customHeight="1">
      <c r="A41" s="68">
        <f>'Data Input'!A27</f>
        <v/>
      </c>
      <c r="B41" s="69">
        <f>'Data Input'!B27</f>
        <v/>
      </c>
      <c r="C41" s="70">
        <f>'Data Input'!O27</f>
        <v/>
      </c>
      <c r="D41" s="71">
        <f>'Data Input'!D27</f>
        <v/>
      </c>
      <c r="E41" s="72">
        <f>'Data Input'!D27+'Data Input'!Y27/24</f>
        <v/>
      </c>
      <c r="F41" s="73">
        <f>'Data Input'!Y27</f>
        <v/>
      </c>
      <c r="G41" s="74">
        <f>'Data Input'!T27</f>
        <v/>
      </c>
      <c r="H41" s="75">
        <f>'Data Input'!S27</f>
        <v/>
      </c>
      <c r="I41" s="57" t="n"/>
      <c r="J41" s="76" t="inlineStr">
        <is>
          <t>P</t>
        </is>
      </c>
      <c r="K41" s="77" t="n"/>
      <c r="L41" s="77" t="n"/>
      <c r="M41" s="77" t="n"/>
      <c r="N41" s="77" t="n"/>
      <c r="O41" s="77" t="n"/>
      <c r="P41" s="77" t="n"/>
      <c r="Q41" s="77" t="n"/>
      <c r="R41" s="77" t="n"/>
      <c r="S41" s="77" t="n"/>
      <c r="T41" s="77" t="n"/>
      <c r="U41" s="77" t="n"/>
      <c r="V41" s="77" t="n"/>
      <c r="W41" s="77" t="n"/>
      <c r="X41" s="77" t="n"/>
      <c r="Y41" s="77" t="n"/>
      <c r="Z41" s="77" t="n"/>
      <c r="AA41" s="77" t="n"/>
      <c r="AB41" s="77" t="n"/>
      <c r="AC41" s="77" t="n"/>
      <c r="AD41" s="77" t="n"/>
      <c r="AE41" s="77" t="n"/>
      <c r="AF41" s="77" t="n"/>
      <c r="AG41" s="77" t="n"/>
      <c r="AH41" s="77" t="n"/>
      <c r="AI41" s="77" t="n"/>
      <c r="AJ41" s="77" t="n"/>
      <c r="AK41" s="77" t="n"/>
      <c r="AL41" s="77" t="n"/>
      <c r="AM41" s="77" t="n"/>
      <c r="AN41" s="77" t="n"/>
      <c r="AO41" s="77" t="n"/>
      <c r="AP41" s="77" t="n"/>
      <c r="AQ41" s="77" t="n"/>
      <c r="AR41" s="77" t="n"/>
      <c r="AS41" s="77" t="n"/>
      <c r="AT41" s="77" t="n"/>
      <c r="AU41" s="77" t="n"/>
      <c r="AV41" s="77" t="n"/>
      <c r="AW41" s="77" t="n"/>
      <c r="AX41" s="77" t="n"/>
      <c r="AY41" s="77" t="n"/>
      <c r="AZ41" s="77" t="n"/>
      <c r="BA41" s="77" t="n"/>
      <c r="BB41" s="77" t="n"/>
      <c r="BC41" s="77" t="n"/>
      <c r="BD41" s="77" t="n"/>
      <c r="BE41" s="77" t="n"/>
      <c r="BF41" s="77" t="n"/>
      <c r="BH41">
        <f>('Data Input'!C27-$A$1)*24</f>
        <v/>
      </c>
      <c r="BI41">
        <f>('Data Input'!D27-$A$1)*24</f>
        <v/>
      </c>
      <c r="BJ41" t="n">
        <v>1</v>
      </c>
      <c r="BO41" t="n">
        <v>-999</v>
      </c>
      <c r="BP41" t="n">
        <v>-999</v>
      </c>
    </row>
    <row r="42" ht="11.5" customHeight="1">
      <c r="A42" s="78" t="n"/>
      <c r="B42" s="78" t="n"/>
      <c r="C42" s="78" t="n"/>
      <c r="D42" s="78" t="n"/>
      <c r="E42" s="78" t="n"/>
      <c r="F42" s="78" t="n"/>
      <c r="G42" s="78" t="n"/>
      <c r="H42" s="78" t="n"/>
      <c r="I42" s="78" t="n"/>
      <c r="J42" s="76" t="inlineStr">
        <is>
          <t>A</t>
        </is>
      </c>
      <c r="K42" s="79" t="n"/>
      <c r="L42" s="79" t="n"/>
      <c r="M42" s="79" t="n"/>
      <c r="N42" s="79" t="n"/>
      <c r="O42" s="79" t="n"/>
      <c r="P42" s="79" t="n"/>
      <c r="Q42" s="79" t="n"/>
      <c r="R42" s="79" t="n"/>
      <c r="S42" s="79" t="n"/>
      <c r="T42" s="79" t="n"/>
      <c r="U42" s="79" t="n"/>
      <c r="V42" s="79" t="n"/>
      <c r="W42" s="79" t="n"/>
      <c r="X42" s="79" t="n"/>
      <c r="Y42" s="79" t="n"/>
      <c r="Z42" s="79" t="n"/>
      <c r="AA42" s="79" t="n"/>
      <c r="AB42" s="79" t="n"/>
      <c r="AC42" s="79" t="n"/>
      <c r="AD42" s="79" t="n"/>
      <c r="AE42" s="79" t="n"/>
      <c r="AF42" s="79" t="n"/>
      <c r="AG42" s="79" t="n"/>
      <c r="AH42" s="79" t="n"/>
      <c r="AI42" s="79" t="n"/>
      <c r="AJ42" s="79" t="n"/>
      <c r="AK42" s="79" t="n"/>
      <c r="AL42" s="79" t="n"/>
      <c r="AM42" s="79" t="n"/>
      <c r="AN42" s="79" t="n"/>
      <c r="AO42" s="79" t="n"/>
      <c r="AP42" s="79" t="n"/>
      <c r="AQ42" s="79" t="n"/>
      <c r="AR42" s="79" t="n"/>
      <c r="AS42" s="79" t="n"/>
      <c r="AT42" s="79" t="n"/>
      <c r="AU42" s="79" t="n"/>
      <c r="AV42" s="79" t="n"/>
      <c r="AW42" s="79" t="n"/>
      <c r="AX42" s="79" t="n"/>
      <c r="AY42" s="79" t="n"/>
      <c r="AZ42" s="79" t="n"/>
      <c r="BA42" s="79" t="n"/>
      <c r="BB42" s="79" t="n"/>
      <c r="BC42" s="79" t="n"/>
      <c r="BD42" s="79" t="n"/>
      <c r="BE42" s="79" t="n"/>
      <c r="BF42" s="79" t="n"/>
      <c r="BH42">
        <f>IF($BK42="",-999,($BK42-$A$1)*24)</f>
        <v/>
      </c>
      <c r="BI42">
        <f>IF($BK42="",-999,(IF($BL42&lt;&gt;"",$BL42,IF($C$1&gt;$BK42,$C$1,$BK42+MAX('Data Input'!E27*$BM42,0.5)/24))-$A$1)*24)</f>
        <v/>
      </c>
      <c r="BJ42">
        <f>IF($BK42="",0,IF($BM42&gt;=1,IF($BN42&lt;=0,2,3),IF($BN42&lt;=0,4,5)))</f>
        <v/>
      </c>
      <c r="BK42">
        <f>IF('Data Input'!Q27="","",'Data Input'!Q27)</f>
        <v/>
      </c>
      <c r="BL42">
        <f>IF('Data Input'!R27="","",'Data Input'!R27)</f>
        <v/>
      </c>
      <c r="BM42">
        <f>'Data Input'!S27</f>
        <v/>
      </c>
      <c r="BN42">
        <f>'Data Input'!Y27</f>
        <v/>
      </c>
      <c r="BO42">
        <f>IF($BM42&gt;=1,-999,MAX(($C$1-$A$1)*24,IF($BK42&lt;&gt;"",$BI42,$BP42-'Data Input'!E27)))</f>
        <v/>
      </c>
      <c r="BP42">
        <f>('Data Input'!D27+'Data Input'!Y27/24-$A$1)*24</f>
        <v/>
      </c>
    </row>
    <row r="43" ht="11.5" customHeight="1">
      <c r="A43" s="68">
        <f>'Data Input'!A28</f>
        <v/>
      </c>
      <c r="B43" s="69">
        <f>'Data Input'!B28</f>
        <v/>
      </c>
      <c r="C43" s="70">
        <f>'Data Input'!O28</f>
        <v/>
      </c>
      <c r="D43" s="71">
        <f>'Data Input'!D28</f>
        <v/>
      </c>
      <c r="E43" s="72">
        <f>'Data Input'!D28+'Data Input'!Y28/24</f>
        <v/>
      </c>
      <c r="F43" s="73">
        <f>'Data Input'!Y28</f>
        <v/>
      </c>
      <c r="G43" s="74">
        <f>'Data Input'!T28</f>
        <v/>
      </c>
      <c r="H43" s="75">
        <f>'Data Input'!S28</f>
        <v/>
      </c>
      <c r="I43" s="57" t="n"/>
      <c r="J43" s="76" t="inlineStr">
        <is>
          <t>P</t>
        </is>
      </c>
      <c r="K43" s="77" t="n"/>
      <c r="L43" s="77" t="n"/>
      <c r="M43" s="77" t="n"/>
      <c r="N43" s="77" t="n"/>
      <c r="O43" s="77" t="n"/>
      <c r="P43" s="77" t="n"/>
      <c r="Q43" s="77" t="n"/>
      <c r="R43" s="77" t="n"/>
      <c r="S43" s="77" t="n"/>
      <c r="T43" s="77" t="n"/>
      <c r="U43" s="77" t="n"/>
      <c r="V43" s="77" t="n"/>
      <c r="W43" s="77" t="n"/>
      <c r="X43" s="77" t="n"/>
      <c r="Y43" s="77" t="n"/>
      <c r="Z43" s="77" t="n"/>
      <c r="AA43" s="77" t="n"/>
      <c r="AB43" s="77" t="n"/>
      <c r="AC43" s="77" t="n"/>
      <c r="AD43" s="77" t="n"/>
      <c r="AE43" s="77" t="n"/>
      <c r="AF43" s="77" t="n"/>
      <c r="AG43" s="77" t="n"/>
      <c r="AH43" s="77" t="n"/>
      <c r="AI43" s="77" t="n"/>
      <c r="AJ43" s="77" t="n"/>
      <c r="AK43" s="77" t="n"/>
      <c r="AL43" s="77" t="n"/>
      <c r="AM43" s="77" t="n"/>
      <c r="AN43" s="77" t="n"/>
      <c r="AO43" s="77" t="n"/>
      <c r="AP43" s="77" t="n"/>
      <c r="AQ43" s="77" t="n"/>
      <c r="AR43" s="77" t="n"/>
      <c r="AS43" s="77" t="n"/>
      <c r="AT43" s="77" t="n"/>
      <c r="AU43" s="77" t="n"/>
      <c r="AV43" s="77" t="n"/>
      <c r="AW43" s="77" t="n"/>
      <c r="AX43" s="77" t="n"/>
      <c r="AY43" s="77" t="n"/>
      <c r="AZ43" s="77" t="n"/>
      <c r="BA43" s="77" t="n"/>
      <c r="BB43" s="77" t="n"/>
      <c r="BC43" s="77" t="n"/>
      <c r="BD43" s="77" t="n"/>
      <c r="BE43" s="77" t="n"/>
      <c r="BF43" s="77" t="n"/>
      <c r="BH43">
        <f>('Data Input'!C28-$A$1)*24</f>
        <v/>
      </c>
      <c r="BI43">
        <f>('Data Input'!D28-$A$1)*24</f>
        <v/>
      </c>
      <c r="BJ43" t="n">
        <v>1</v>
      </c>
      <c r="BO43" t="n">
        <v>-999</v>
      </c>
      <c r="BP43" t="n">
        <v>-999</v>
      </c>
    </row>
    <row r="44" ht="11.5" customHeight="1">
      <c r="A44" s="78" t="n"/>
      <c r="B44" s="78" t="n"/>
      <c r="C44" s="78" t="n"/>
      <c r="D44" s="78" t="n"/>
      <c r="E44" s="78" t="n"/>
      <c r="F44" s="78" t="n"/>
      <c r="G44" s="78" t="n"/>
      <c r="H44" s="78" t="n"/>
      <c r="I44" s="78" t="n"/>
      <c r="J44" s="76" t="inlineStr">
        <is>
          <t>A</t>
        </is>
      </c>
      <c r="K44" s="79" t="n"/>
      <c r="L44" s="79" t="n"/>
      <c r="M44" s="79" t="n"/>
      <c r="N44" s="79" t="n"/>
      <c r="O44" s="79" t="n"/>
      <c r="P44" s="79" t="n"/>
      <c r="Q44" s="79" t="n"/>
      <c r="R44" s="79" t="n"/>
      <c r="S44" s="79" t="n"/>
      <c r="T44" s="79" t="n"/>
      <c r="U44" s="79" t="n"/>
      <c r="V44" s="79" t="n"/>
      <c r="W44" s="79" t="n"/>
      <c r="X44" s="79" t="n"/>
      <c r="Y44" s="79" t="n"/>
      <c r="Z44" s="79" t="n"/>
      <c r="AA44" s="79" t="n"/>
      <c r="AB44" s="79" t="n"/>
      <c r="AC44" s="79" t="n"/>
      <c r="AD44" s="79" t="n"/>
      <c r="AE44" s="79" t="n"/>
      <c r="AF44" s="79" t="n"/>
      <c r="AG44" s="79" t="n"/>
      <c r="AH44" s="79" t="n"/>
      <c r="AI44" s="79" t="n"/>
      <c r="AJ44" s="79" t="n"/>
      <c r="AK44" s="79" t="n"/>
      <c r="AL44" s="79" t="n"/>
      <c r="AM44" s="79" t="n"/>
      <c r="AN44" s="79" t="n"/>
      <c r="AO44" s="79" t="n"/>
      <c r="AP44" s="79" t="n"/>
      <c r="AQ44" s="79" t="n"/>
      <c r="AR44" s="79" t="n"/>
      <c r="AS44" s="79" t="n"/>
      <c r="AT44" s="79" t="n"/>
      <c r="AU44" s="79" t="n"/>
      <c r="AV44" s="79" t="n"/>
      <c r="AW44" s="79" t="n"/>
      <c r="AX44" s="79" t="n"/>
      <c r="AY44" s="79" t="n"/>
      <c r="AZ44" s="79" t="n"/>
      <c r="BA44" s="79" t="n"/>
      <c r="BB44" s="79" t="n"/>
      <c r="BC44" s="79" t="n"/>
      <c r="BD44" s="79" t="n"/>
      <c r="BE44" s="79" t="n"/>
      <c r="BF44" s="79" t="n"/>
      <c r="BH44">
        <f>IF($BK44="",-999,($BK44-$A$1)*24)</f>
        <v/>
      </c>
      <c r="BI44">
        <f>IF($BK44="",-999,(IF($BL44&lt;&gt;"",$BL44,IF($C$1&gt;$BK44,$C$1,$BK44+MAX('Data Input'!E28*$BM44,0.5)/24))-$A$1)*24)</f>
        <v/>
      </c>
      <c r="BJ44">
        <f>IF($BK44="",0,IF($BM44&gt;=1,IF($BN44&lt;=0,2,3),IF($BN44&lt;=0,4,5)))</f>
        <v/>
      </c>
      <c r="BK44">
        <f>IF('Data Input'!Q28="","",'Data Input'!Q28)</f>
        <v/>
      </c>
      <c r="BL44">
        <f>IF('Data Input'!R28="","",'Data Input'!R28)</f>
        <v/>
      </c>
      <c r="BM44">
        <f>'Data Input'!S28</f>
        <v/>
      </c>
      <c r="BN44">
        <f>'Data Input'!Y28</f>
        <v/>
      </c>
      <c r="BO44">
        <f>IF($BM44&gt;=1,-999,MAX(($C$1-$A$1)*24,IF($BK44&lt;&gt;"",$BI44,$BP44-'Data Input'!E28)))</f>
        <v/>
      </c>
      <c r="BP44">
        <f>('Data Input'!D28+'Data Input'!Y28/24-$A$1)*24</f>
        <v/>
      </c>
    </row>
    <row r="45" ht="11.5" customHeight="1">
      <c r="A45" s="68">
        <f>'Data Input'!A29</f>
        <v/>
      </c>
      <c r="B45" s="69">
        <f>'Data Input'!B29</f>
        <v/>
      </c>
      <c r="C45" s="70">
        <f>'Data Input'!O29</f>
        <v/>
      </c>
      <c r="D45" s="71">
        <f>'Data Input'!D29</f>
        <v/>
      </c>
      <c r="E45" s="72">
        <f>'Data Input'!D29+'Data Input'!Y29/24</f>
        <v/>
      </c>
      <c r="F45" s="73">
        <f>'Data Input'!Y29</f>
        <v/>
      </c>
      <c r="G45" s="74">
        <f>'Data Input'!T29</f>
        <v/>
      </c>
      <c r="H45" s="75">
        <f>'Data Input'!S29</f>
        <v/>
      </c>
      <c r="I45" s="57" t="n"/>
      <c r="J45" s="76" t="inlineStr">
        <is>
          <t>P</t>
        </is>
      </c>
      <c r="K45" s="77" t="n"/>
      <c r="L45" s="77" t="n"/>
      <c r="M45" s="77" t="n"/>
      <c r="N45" s="77" t="n"/>
      <c r="O45" s="77" t="n"/>
      <c r="P45" s="77" t="n"/>
      <c r="Q45" s="77" t="n"/>
      <c r="R45" s="77" t="n"/>
      <c r="S45" s="77" t="n"/>
      <c r="T45" s="77" t="n"/>
      <c r="U45" s="77" t="n"/>
      <c r="V45" s="77" t="n"/>
      <c r="W45" s="77" t="n"/>
      <c r="X45" s="77" t="n"/>
      <c r="Y45" s="77" t="n"/>
      <c r="Z45" s="77" t="n"/>
      <c r="AA45" s="77" t="n"/>
      <c r="AB45" s="77" t="n"/>
      <c r="AC45" s="77" t="n"/>
      <c r="AD45" s="77" t="n"/>
      <c r="AE45" s="77" t="n"/>
      <c r="AF45" s="77" t="n"/>
      <c r="AG45" s="77" t="n"/>
      <c r="AH45" s="77" t="n"/>
      <c r="AI45" s="77" t="n"/>
      <c r="AJ45" s="77" t="n"/>
      <c r="AK45" s="77" t="n"/>
      <c r="AL45" s="77" t="n"/>
      <c r="AM45" s="77" t="n"/>
      <c r="AN45" s="77" t="n"/>
      <c r="AO45" s="77" t="n"/>
      <c r="AP45" s="77" t="n"/>
      <c r="AQ45" s="77" t="n"/>
      <c r="AR45" s="77" t="n"/>
      <c r="AS45" s="77" t="n"/>
      <c r="AT45" s="77" t="n"/>
      <c r="AU45" s="77" t="n"/>
      <c r="AV45" s="77" t="n"/>
      <c r="AW45" s="77" t="n"/>
      <c r="AX45" s="77" t="n"/>
      <c r="AY45" s="77" t="n"/>
      <c r="AZ45" s="77" t="n"/>
      <c r="BA45" s="77" t="n"/>
      <c r="BB45" s="77" t="n"/>
      <c r="BC45" s="77" t="n"/>
      <c r="BD45" s="77" t="n"/>
      <c r="BE45" s="77" t="n"/>
      <c r="BF45" s="77" t="n"/>
      <c r="BH45">
        <f>('Data Input'!C29-$A$1)*24</f>
        <v/>
      </c>
      <c r="BI45">
        <f>('Data Input'!D29-$A$1)*24</f>
        <v/>
      </c>
      <c r="BJ45" t="n">
        <v>1</v>
      </c>
      <c r="BO45" t="n">
        <v>-999</v>
      </c>
      <c r="BP45" t="n">
        <v>-999</v>
      </c>
    </row>
    <row r="46" ht="11.5" customHeight="1">
      <c r="A46" s="78" t="n"/>
      <c r="B46" s="78" t="n"/>
      <c r="C46" s="78" t="n"/>
      <c r="D46" s="78" t="n"/>
      <c r="E46" s="78" t="n"/>
      <c r="F46" s="78" t="n"/>
      <c r="G46" s="78" t="n"/>
      <c r="H46" s="78" t="n"/>
      <c r="I46" s="78" t="n"/>
      <c r="J46" s="76" t="inlineStr">
        <is>
          <t>A</t>
        </is>
      </c>
      <c r="K46" s="79" t="n"/>
      <c r="L46" s="79" t="n"/>
      <c r="M46" s="79" t="n"/>
      <c r="N46" s="79" t="n"/>
      <c r="O46" s="79" t="n"/>
      <c r="P46" s="79" t="n"/>
      <c r="Q46" s="79" t="n"/>
      <c r="R46" s="79" t="n"/>
      <c r="S46" s="79" t="n"/>
      <c r="T46" s="79" t="n"/>
      <c r="U46" s="79" t="n"/>
      <c r="V46" s="79" t="n"/>
      <c r="W46" s="79" t="n"/>
      <c r="X46" s="79" t="n"/>
      <c r="Y46" s="79" t="n"/>
      <c r="Z46" s="79" t="n"/>
      <c r="AA46" s="79" t="n"/>
      <c r="AB46" s="79" t="n"/>
      <c r="AC46" s="79" t="n"/>
      <c r="AD46" s="79" t="n"/>
      <c r="AE46" s="79" t="n"/>
      <c r="AF46" s="79" t="n"/>
      <c r="AG46" s="79" t="n"/>
      <c r="AH46" s="79" t="n"/>
      <c r="AI46" s="79" t="n"/>
      <c r="AJ46" s="79" t="n"/>
      <c r="AK46" s="79" t="n"/>
      <c r="AL46" s="79" t="n"/>
      <c r="AM46" s="79" t="n"/>
      <c r="AN46" s="79" t="n"/>
      <c r="AO46" s="79" t="n"/>
      <c r="AP46" s="79" t="n"/>
      <c r="AQ46" s="79" t="n"/>
      <c r="AR46" s="79" t="n"/>
      <c r="AS46" s="79" t="n"/>
      <c r="AT46" s="79" t="n"/>
      <c r="AU46" s="79" t="n"/>
      <c r="AV46" s="79" t="n"/>
      <c r="AW46" s="79" t="n"/>
      <c r="AX46" s="79" t="n"/>
      <c r="AY46" s="79" t="n"/>
      <c r="AZ46" s="79" t="n"/>
      <c r="BA46" s="79" t="n"/>
      <c r="BB46" s="79" t="n"/>
      <c r="BC46" s="79" t="n"/>
      <c r="BD46" s="79" t="n"/>
      <c r="BE46" s="79" t="n"/>
      <c r="BF46" s="79" t="n"/>
      <c r="BH46">
        <f>IF($BK46="",-999,($BK46-$A$1)*24)</f>
        <v/>
      </c>
      <c r="BI46">
        <f>IF($BK46="",-999,(IF($BL46&lt;&gt;"",$BL46,IF($C$1&gt;$BK46,$C$1,$BK46+MAX('Data Input'!E29*$BM46,0.5)/24))-$A$1)*24)</f>
        <v/>
      </c>
      <c r="BJ46">
        <f>IF($BK46="",0,IF($BM46&gt;=1,IF($BN46&lt;=0,2,3),IF($BN46&lt;=0,4,5)))</f>
        <v/>
      </c>
      <c r="BK46">
        <f>IF('Data Input'!Q29="","",'Data Input'!Q29)</f>
        <v/>
      </c>
      <c r="BL46">
        <f>IF('Data Input'!R29="","",'Data Input'!R29)</f>
        <v/>
      </c>
      <c r="BM46">
        <f>'Data Input'!S29</f>
        <v/>
      </c>
      <c r="BN46">
        <f>'Data Input'!Y29</f>
        <v/>
      </c>
      <c r="BO46">
        <f>IF($BM46&gt;=1,-999,MAX(($C$1-$A$1)*24,IF($BK46&lt;&gt;"",$BI46,$BP46-'Data Input'!E29)))</f>
        <v/>
      </c>
      <c r="BP46">
        <f>('Data Input'!D29+'Data Input'!Y29/24-$A$1)*24</f>
        <v/>
      </c>
    </row>
    <row r="47" ht="11.5" customHeight="1">
      <c r="A47" s="68">
        <f>'Data Input'!A30</f>
        <v/>
      </c>
      <c r="B47" s="69">
        <f>'Data Input'!B30</f>
        <v/>
      </c>
      <c r="C47" s="70">
        <f>'Data Input'!O30</f>
        <v/>
      </c>
      <c r="D47" s="71">
        <f>'Data Input'!D30</f>
        <v/>
      </c>
      <c r="E47" s="72">
        <f>'Data Input'!D30+'Data Input'!Y30/24</f>
        <v/>
      </c>
      <c r="F47" s="73">
        <f>'Data Input'!Y30</f>
        <v/>
      </c>
      <c r="G47" s="74">
        <f>'Data Input'!T30</f>
        <v/>
      </c>
      <c r="H47" s="75">
        <f>'Data Input'!S30</f>
        <v/>
      </c>
      <c r="I47" s="57" t="n"/>
      <c r="J47" s="76" t="inlineStr">
        <is>
          <t>P</t>
        </is>
      </c>
      <c r="K47" s="77" t="n"/>
      <c r="L47" s="77" t="n"/>
      <c r="M47" s="77" t="n"/>
      <c r="N47" s="77" t="n"/>
      <c r="O47" s="77" t="n"/>
      <c r="P47" s="77" t="n"/>
      <c r="Q47" s="77" t="n"/>
      <c r="R47" s="77" t="n"/>
      <c r="S47" s="77" t="n"/>
      <c r="T47" s="77" t="n"/>
      <c r="U47" s="77" t="n"/>
      <c r="V47" s="77" t="n"/>
      <c r="W47" s="77" t="n"/>
      <c r="X47" s="77" t="n"/>
      <c r="Y47" s="77" t="n"/>
      <c r="Z47" s="77" t="n"/>
      <c r="AA47" s="77" t="n"/>
      <c r="AB47" s="77" t="n"/>
      <c r="AC47" s="77" t="n"/>
      <c r="AD47" s="77" t="n"/>
      <c r="AE47" s="77" t="n"/>
      <c r="AF47" s="77" t="n"/>
      <c r="AG47" s="77" t="n"/>
      <c r="AH47" s="77" t="n"/>
      <c r="AI47" s="77" t="n"/>
      <c r="AJ47" s="77" t="n"/>
      <c r="AK47" s="77" t="n"/>
      <c r="AL47" s="77" t="n"/>
      <c r="AM47" s="77" t="n"/>
      <c r="AN47" s="77" t="n"/>
      <c r="AO47" s="77" t="n"/>
      <c r="AP47" s="77" t="n"/>
      <c r="AQ47" s="77" t="n"/>
      <c r="AR47" s="77" t="n"/>
      <c r="AS47" s="77" t="n"/>
      <c r="AT47" s="77" t="n"/>
      <c r="AU47" s="77" t="n"/>
      <c r="AV47" s="77" t="n"/>
      <c r="AW47" s="77" t="n"/>
      <c r="AX47" s="77" t="n"/>
      <c r="AY47" s="77" t="n"/>
      <c r="AZ47" s="77" t="n"/>
      <c r="BA47" s="77" t="n"/>
      <c r="BB47" s="77" t="n"/>
      <c r="BC47" s="77" t="n"/>
      <c r="BD47" s="77" t="n"/>
      <c r="BE47" s="77" t="n"/>
      <c r="BF47" s="77" t="n"/>
      <c r="BH47">
        <f>('Data Input'!C30-$A$1)*24</f>
        <v/>
      </c>
      <c r="BI47">
        <f>('Data Input'!D30-$A$1)*24</f>
        <v/>
      </c>
      <c r="BJ47" t="n">
        <v>1</v>
      </c>
      <c r="BO47" t="n">
        <v>-999</v>
      </c>
      <c r="BP47" t="n">
        <v>-999</v>
      </c>
    </row>
    <row r="48" ht="11.5" customHeight="1">
      <c r="A48" s="78" t="n"/>
      <c r="B48" s="78" t="n"/>
      <c r="C48" s="78" t="n"/>
      <c r="D48" s="78" t="n"/>
      <c r="E48" s="78" t="n"/>
      <c r="F48" s="78" t="n"/>
      <c r="G48" s="78" t="n"/>
      <c r="H48" s="78" t="n"/>
      <c r="I48" s="78" t="n"/>
      <c r="J48" s="76" t="inlineStr">
        <is>
          <t>A</t>
        </is>
      </c>
      <c r="K48" s="79" t="n"/>
      <c r="L48" s="79" t="n"/>
      <c r="M48" s="79" t="n"/>
      <c r="N48" s="79" t="n"/>
      <c r="O48" s="79" t="n"/>
      <c r="P48" s="79" t="n"/>
      <c r="Q48" s="79" t="n"/>
      <c r="R48" s="79" t="n"/>
      <c r="S48" s="79" t="n"/>
      <c r="T48" s="79" t="n"/>
      <c r="U48" s="79" t="n"/>
      <c r="V48" s="79" t="n"/>
      <c r="W48" s="79" t="n"/>
      <c r="X48" s="79" t="n"/>
      <c r="Y48" s="79" t="n"/>
      <c r="Z48" s="79" t="n"/>
      <c r="AA48" s="79" t="n"/>
      <c r="AB48" s="79" t="n"/>
      <c r="AC48" s="79" t="n"/>
      <c r="AD48" s="79" t="n"/>
      <c r="AE48" s="79" t="n"/>
      <c r="AF48" s="79" t="n"/>
      <c r="AG48" s="79" t="n"/>
      <c r="AH48" s="79" t="n"/>
      <c r="AI48" s="79" t="n"/>
      <c r="AJ48" s="79" t="n"/>
      <c r="AK48" s="79" t="n"/>
      <c r="AL48" s="79" t="n"/>
      <c r="AM48" s="79" t="n"/>
      <c r="AN48" s="79" t="n"/>
      <c r="AO48" s="79" t="n"/>
      <c r="AP48" s="79" t="n"/>
      <c r="AQ48" s="79" t="n"/>
      <c r="AR48" s="79" t="n"/>
      <c r="AS48" s="79" t="n"/>
      <c r="AT48" s="79" t="n"/>
      <c r="AU48" s="79" t="n"/>
      <c r="AV48" s="79" t="n"/>
      <c r="AW48" s="79" t="n"/>
      <c r="AX48" s="79" t="n"/>
      <c r="AY48" s="79" t="n"/>
      <c r="AZ48" s="79" t="n"/>
      <c r="BA48" s="79" t="n"/>
      <c r="BB48" s="79" t="n"/>
      <c r="BC48" s="79" t="n"/>
      <c r="BD48" s="79" t="n"/>
      <c r="BE48" s="79" t="n"/>
      <c r="BF48" s="79" t="n"/>
      <c r="BH48">
        <f>IF($BK48="",-999,($BK48-$A$1)*24)</f>
        <v/>
      </c>
      <c r="BI48">
        <f>IF($BK48="",-999,(IF($BL48&lt;&gt;"",$BL48,IF($C$1&gt;$BK48,$C$1,$BK48+MAX('Data Input'!E30*$BM48,0.5)/24))-$A$1)*24)</f>
        <v/>
      </c>
      <c r="BJ48">
        <f>IF($BK48="",0,IF($BM48&gt;=1,IF($BN48&lt;=0,2,3),IF($BN48&lt;=0,4,5)))</f>
        <v/>
      </c>
      <c r="BK48">
        <f>IF('Data Input'!Q30="","",'Data Input'!Q30)</f>
        <v/>
      </c>
      <c r="BL48">
        <f>IF('Data Input'!R30="","",'Data Input'!R30)</f>
        <v/>
      </c>
      <c r="BM48">
        <f>'Data Input'!S30</f>
        <v/>
      </c>
      <c r="BN48">
        <f>'Data Input'!Y30</f>
        <v/>
      </c>
      <c r="BO48">
        <f>IF($BM48&gt;=1,-999,MAX(($C$1-$A$1)*24,IF($BK48&lt;&gt;"",$BI48,$BP48-'Data Input'!E30)))</f>
        <v/>
      </c>
      <c r="BP48">
        <f>('Data Input'!D30+'Data Input'!Y30/24-$A$1)*24</f>
        <v/>
      </c>
    </row>
    <row r="49" ht="11.5" customHeight="1">
      <c r="A49" s="68">
        <f>'Data Input'!A31</f>
        <v/>
      </c>
      <c r="B49" s="69">
        <f>'Data Input'!B31</f>
        <v/>
      </c>
      <c r="C49" s="70">
        <f>'Data Input'!O31</f>
        <v/>
      </c>
      <c r="D49" s="71">
        <f>'Data Input'!D31</f>
        <v/>
      </c>
      <c r="E49" s="72">
        <f>'Data Input'!D31+'Data Input'!Y31/24</f>
        <v/>
      </c>
      <c r="F49" s="73">
        <f>'Data Input'!Y31</f>
        <v/>
      </c>
      <c r="G49" s="74">
        <f>'Data Input'!T31</f>
        <v/>
      </c>
      <c r="H49" s="75">
        <f>'Data Input'!S31</f>
        <v/>
      </c>
      <c r="I49" s="57" t="n"/>
      <c r="J49" s="76" t="inlineStr">
        <is>
          <t>P</t>
        </is>
      </c>
      <c r="K49" s="77" t="n"/>
      <c r="L49" s="77" t="n"/>
      <c r="M49" s="77" t="n"/>
      <c r="N49" s="77" t="n"/>
      <c r="O49" s="77" t="n"/>
      <c r="P49" s="77" t="n"/>
      <c r="Q49" s="77" t="n"/>
      <c r="R49" s="77" t="n"/>
      <c r="S49" s="77" t="n"/>
      <c r="T49" s="77" t="n"/>
      <c r="U49" s="77" t="n"/>
      <c r="V49" s="77" t="n"/>
      <c r="W49" s="77" t="n"/>
      <c r="X49" s="77" t="n"/>
      <c r="Y49" s="77" t="n"/>
      <c r="Z49" s="77" t="n"/>
      <c r="AA49" s="77" t="n"/>
      <c r="AB49" s="77" t="n"/>
      <c r="AC49" s="77" t="n"/>
      <c r="AD49" s="77" t="n"/>
      <c r="AE49" s="77" t="n"/>
      <c r="AF49" s="77" t="n"/>
      <c r="AG49" s="77" t="n"/>
      <c r="AH49" s="77" t="n"/>
      <c r="AI49" s="77" t="n"/>
      <c r="AJ49" s="77" t="n"/>
      <c r="AK49" s="77" t="n"/>
      <c r="AL49" s="77" t="n"/>
      <c r="AM49" s="77" t="n"/>
      <c r="AN49" s="77" t="n"/>
      <c r="AO49" s="77" t="n"/>
      <c r="AP49" s="77" t="n"/>
      <c r="AQ49" s="77" t="n"/>
      <c r="AR49" s="77" t="n"/>
      <c r="AS49" s="77" t="n"/>
      <c r="AT49" s="77" t="n"/>
      <c r="AU49" s="77" t="n"/>
      <c r="AV49" s="77" t="n"/>
      <c r="AW49" s="77" t="n"/>
      <c r="AX49" s="77" t="n"/>
      <c r="AY49" s="77" t="n"/>
      <c r="AZ49" s="77" t="n"/>
      <c r="BA49" s="77" t="n"/>
      <c r="BB49" s="77" t="n"/>
      <c r="BC49" s="77" t="n"/>
      <c r="BD49" s="77" t="n"/>
      <c r="BE49" s="77" t="n"/>
      <c r="BF49" s="77" t="n"/>
      <c r="BH49">
        <f>('Data Input'!C31-$A$1)*24</f>
        <v/>
      </c>
      <c r="BI49">
        <f>('Data Input'!D31-$A$1)*24</f>
        <v/>
      </c>
      <c r="BJ49" t="n">
        <v>1</v>
      </c>
      <c r="BO49" t="n">
        <v>-999</v>
      </c>
      <c r="BP49" t="n">
        <v>-999</v>
      </c>
    </row>
    <row r="50" ht="11.5" customHeight="1">
      <c r="A50" s="78" t="n"/>
      <c r="B50" s="78" t="n"/>
      <c r="C50" s="78" t="n"/>
      <c r="D50" s="78" t="n"/>
      <c r="E50" s="78" t="n"/>
      <c r="F50" s="78" t="n"/>
      <c r="G50" s="78" t="n"/>
      <c r="H50" s="78" t="n"/>
      <c r="I50" s="78" t="n"/>
      <c r="J50" s="76" t="inlineStr">
        <is>
          <t>A</t>
        </is>
      </c>
      <c r="K50" s="79" t="n"/>
      <c r="L50" s="79" t="n"/>
      <c r="M50" s="79" t="n"/>
      <c r="N50" s="79" t="n"/>
      <c r="O50" s="79" t="n"/>
      <c r="P50" s="79" t="n"/>
      <c r="Q50" s="79" t="n"/>
      <c r="R50" s="79" t="n"/>
      <c r="S50" s="79" t="n"/>
      <c r="T50" s="79" t="n"/>
      <c r="U50" s="79" t="n"/>
      <c r="V50" s="79" t="n"/>
      <c r="W50" s="79" t="n"/>
      <c r="X50" s="79" t="n"/>
      <c r="Y50" s="79" t="n"/>
      <c r="Z50" s="79" t="n"/>
      <c r="AA50" s="79" t="n"/>
      <c r="AB50" s="79" t="n"/>
      <c r="AC50" s="79" t="n"/>
      <c r="AD50" s="79" t="n"/>
      <c r="AE50" s="79" t="n"/>
      <c r="AF50" s="79" t="n"/>
      <c r="AG50" s="79" t="n"/>
      <c r="AH50" s="79" t="n"/>
      <c r="AI50" s="79" t="n"/>
      <c r="AJ50" s="79" t="n"/>
      <c r="AK50" s="79" t="n"/>
      <c r="AL50" s="79" t="n"/>
      <c r="AM50" s="79" t="n"/>
      <c r="AN50" s="79" t="n"/>
      <c r="AO50" s="79" t="n"/>
      <c r="AP50" s="79" t="n"/>
      <c r="AQ50" s="79" t="n"/>
      <c r="AR50" s="79" t="n"/>
      <c r="AS50" s="79" t="n"/>
      <c r="AT50" s="79" t="n"/>
      <c r="AU50" s="79" t="n"/>
      <c r="AV50" s="79" t="n"/>
      <c r="AW50" s="79" t="n"/>
      <c r="AX50" s="79" t="n"/>
      <c r="AY50" s="79" t="n"/>
      <c r="AZ50" s="79" t="n"/>
      <c r="BA50" s="79" t="n"/>
      <c r="BB50" s="79" t="n"/>
      <c r="BC50" s="79" t="n"/>
      <c r="BD50" s="79" t="n"/>
      <c r="BE50" s="79" t="n"/>
      <c r="BF50" s="79" t="n"/>
      <c r="BH50">
        <f>IF($BK50="",-999,($BK50-$A$1)*24)</f>
        <v/>
      </c>
      <c r="BI50">
        <f>IF($BK50="",-999,(IF($BL50&lt;&gt;"",$BL50,IF($C$1&gt;$BK50,$C$1,$BK50+MAX('Data Input'!E31*$BM50,0.5)/24))-$A$1)*24)</f>
        <v/>
      </c>
      <c r="BJ50">
        <f>IF($BK50="",0,IF($BM50&gt;=1,IF($BN50&lt;=0,2,3),IF($BN50&lt;=0,4,5)))</f>
        <v/>
      </c>
      <c r="BK50">
        <f>IF('Data Input'!Q31="","",'Data Input'!Q31)</f>
        <v/>
      </c>
      <c r="BL50">
        <f>IF('Data Input'!R31="","",'Data Input'!R31)</f>
        <v/>
      </c>
      <c r="BM50">
        <f>'Data Input'!S31</f>
        <v/>
      </c>
      <c r="BN50">
        <f>'Data Input'!Y31</f>
        <v/>
      </c>
      <c r="BO50">
        <f>IF($BM50&gt;=1,-999,MAX(($C$1-$A$1)*24,IF($BK50&lt;&gt;"",$BI50,$BP50-'Data Input'!E31)))</f>
        <v/>
      </c>
      <c r="BP50">
        <f>('Data Input'!D31+'Data Input'!Y31/24-$A$1)*24</f>
        <v/>
      </c>
    </row>
    <row r="51" ht="11.5" customHeight="1">
      <c r="A51" s="68">
        <f>'Data Input'!A32</f>
        <v/>
      </c>
      <c r="B51" s="69">
        <f>'Data Input'!B32</f>
        <v/>
      </c>
      <c r="C51" s="70">
        <f>'Data Input'!O32</f>
        <v/>
      </c>
      <c r="D51" s="71">
        <f>'Data Input'!D32</f>
        <v/>
      </c>
      <c r="E51" s="72">
        <f>'Data Input'!D32+'Data Input'!Y32/24</f>
        <v/>
      </c>
      <c r="F51" s="73">
        <f>'Data Input'!Y32</f>
        <v/>
      </c>
      <c r="G51" s="74">
        <f>'Data Input'!T32</f>
        <v/>
      </c>
      <c r="H51" s="75">
        <f>'Data Input'!S32</f>
        <v/>
      </c>
      <c r="I51" s="57" t="n"/>
      <c r="J51" s="76" t="inlineStr">
        <is>
          <t>P</t>
        </is>
      </c>
      <c r="K51" s="77" t="n"/>
      <c r="L51" s="77" t="n"/>
      <c r="M51" s="77" t="n"/>
      <c r="N51" s="77" t="n"/>
      <c r="O51" s="77" t="n"/>
      <c r="P51" s="77" t="n"/>
      <c r="Q51" s="77" t="n"/>
      <c r="R51" s="77" t="n"/>
      <c r="S51" s="77" t="n"/>
      <c r="T51" s="77" t="n"/>
      <c r="U51" s="77" t="n"/>
      <c r="V51" s="77" t="n"/>
      <c r="W51" s="77" t="n"/>
      <c r="X51" s="77" t="n"/>
      <c r="Y51" s="77" t="n"/>
      <c r="Z51" s="77" t="n"/>
      <c r="AA51" s="77" t="n"/>
      <c r="AB51" s="77" t="n"/>
      <c r="AC51" s="77" t="n"/>
      <c r="AD51" s="77" t="n"/>
      <c r="AE51" s="77" t="n"/>
      <c r="AF51" s="77" t="n"/>
      <c r="AG51" s="77" t="n"/>
      <c r="AH51" s="77" t="n"/>
      <c r="AI51" s="77" t="n"/>
      <c r="AJ51" s="77" t="n"/>
      <c r="AK51" s="77" t="n"/>
      <c r="AL51" s="77" t="n"/>
      <c r="AM51" s="77" t="n"/>
      <c r="AN51" s="77" t="n"/>
      <c r="AO51" s="77" t="n"/>
      <c r="AP51" s="77" t="n"/>
      <c r="AQ51" s="77" t="n"/>
      <c r="AR51" s="77" t="n"/>
      <c r="AS51" s="77" t="n"/>
      <c r="AT51" s="77" t="n"/>
      <c r="AU51" s="77" t="n"/>
      <c r="AV51" s="77" t="n"/>
      <c r="AW51" s="77" t="n"/>
      <c r="AX51" s="77" t="n"/>
      <c r="AY51" s="77" t="n"/>
      <c r="AZ51" s="77" t="n"/>
      <c r="BA51" s="77" t="n"/>
      <c r="BB51" s="77" t="n"/>
      <c r="BC51" s="77" t="n"/>
      <c r="BD51" s="77" t="n"/>
      <c r="BE51" s="77" t="n"/>
      <c r="BF51" s="77" t="n"/>
      <c r="BH51">
        <f>('Data Input'!C32-$A$1)*24</f>
        <v/>
      </c>
      <c r="BI51">
        <f>('Data Input'!D32-$A$1)*24</f>
        <v/>
      </c>
      <c r="BJ51" t="n">
        <v>1</v>
      </c>
      <c r="BO51" t="n">
        <v>-999</v>
      </c>
      <c r="BP51" t="n">
        <v>-999</v>
      </c>
    </row>
    <row r="52" ht="11.5" customHeight="1">
      <c r="A52" s="78" t="n"/>
      <c r="B52" s="78" t="n"/>
      <c r="C52" s="78" t="n"/>
      <c r="D52" s="78" t="n"/>
      <c r="E52" s="78" t="n"/>
      <c r="F52" s="78" t="n"/>
      <c r="G52" s="78" t="n"/>
      <c r="H52" s="78" t="n"/>
      <c r="I52" s="78" t="n"/>
      <c r="J52" s="76" t="inlineStr">
        <is>
          <t>A</t>
        </is>
      </c>
      <c r="K52" s="79" t="n"/>
      <c r="L52" s="79" t="n"/>
      <c r="M52" s="79" t="n"/>
      <c r="N52" s="79" t="n"/>
      <c r="O52" s="79" t="n"/>
      <c r="P52" s="79" t="n"/>
      <c r="Q52" s="79" t="n"/>
      <c r="R52" s="79" t="n"/>
      <c r="S52" s="79" t="n"/>
      <c r="T52" s="79" t="n"/>
      <c r="U52" s="79" t="n"/>
      <c r="V52" s="79" t="n"/>
      <c r="W52" s="79" t="n"/>
      <c r="X52" s="79" t="n"/>
      <c r="Y52" s="79" t="n"/>
      <c r="Z52" s="79" t="n"/>
      <c r="AA52" s="79" t="n"/>
      <c r="AB52" s="79" t="n"/>
      <c r="AC52" s="79" t="n"/>
      <c r="AD52" s="79" t="n"/>
      <c r="AE52" s="79" t="n"/>
      <c r="AF52" s="79" t="n"/>
      <c r="AG52" s="79" t="n"/>
      <c r="AH52" s="79" t="n"/>
      <c r="AI52" s="79" t="n"/>
      <c r="AJ52" s="79" t="n"/>
      <c r="AK52" s="79" t="n"/>
      <c r="AL52" s="79" t="n"/>
      <c r="AM52" s="79" t="n"/>
      <c r="AN52" s="79" t="n"/>
      <c r="AO52" s="79" t="n"/>
      <c r="AP52" s="79" t="n"/>
      <c r="AQ52" s="79" t="n"/>
      <c r="AR52" s="79" t="n"/>
      <c r="AS52" s="79" t="n"/>
      <c r="AT52" s="79" t="n"/>
      <c r="AU52" s="79" t="n"/>
      <c r="AV52" s="79" t="n"/>
      <c r="AW52" s="79" t="n"/>
      <c r="AX52" s="79" t="n"/>
      <c r="AY52" s="79" t="n"/>
      <c r="AZ52" s="79" t="n"/>
      <c r="BA52" s="79" t="n"/>
      <c r="BB52" s="79" t="n"/>
      <c r="BC52" s="79" t="n"/>
      <c r="BD52" s="79" t="n"/>
      <c r="BE52" s="79" t="n"/>
      <c r="BF52" s="79" t="n"/>
      <c r="BH52">
        <f>IF($BK52="",-999,($BK52-$A$1)*24)</f>
        <v/>
      </c>
      <c r="BI52">
        <f>IF($BK52="",-999,(IF($BL52&lt;&gt;"",$BL52,IF($C$1&gt;$BK52,$C$1,$BK52+MAX('Data Input'!E32*$BM52,0.5)/24))-$A$1)*24)</f>
        <v/>
      </c>
      <c r="BJ52">
        <f>IF($BK52="",0,IF($BM52&gt;=1,IF($BN52&lt;=0,2,3),IF($BN52&lt;=0,4,5)))</f>
        <v/>
      </c>
      <c r="BK52">
        <f>IF('Data Input'!Q32="","",'Data Input'!Q32)</f>
        <v/>
      </c>
      <c r="BL52">
        <f>IF('Data Input'!R32="","",'Data Input'!R32)</f>
        <v/>
      </c>
      <c r="BM52">
        <f>'Data Input'!S32</f>
        <v/>
      </c>
      <c r="BN52">
        <f>'Data Input'!Y32</f>
        <v/>
      </c>
      <c r="BO52">
        <f>IF($BM52&gt;=1,-999,MAX(($C$1-$A$1)*24,IF($BK52&lt;&gt;"",$BI52,$BP52-'Data Input'!E32)))</f>
        <v/>
      </c>
      <c r="BP52">
        <f>('Data Input'!D32+'Data Input'!Y32/24-$A$1)*24</f>
        <v/>
      </c>
    </row>
    <row r="53" ht="11.5" customHeight="1">
      <c r="A53" s="68">
        <f>'Data Input'!A33</f>
        <v/>
      </c>
      <c r="B53" s="69">
        <f>'Data Input'!B33</f>
        <v/>
      </c>
      <c r="C53" s="70">
        <f>'Data Input'!O33</f>
        <v/>
      </c>
      <c r="D53" s="71">
        <f>'Data Input'!D33</f>
        <v/>
      </c>
      <c r="E53" s="72">
        <f>'Data Input'!D33+'Data Input'!Y33/24</f>
        <v/>
      </c>
      <c r="F53" s="73">
        <f>'Data Input'!Y33</f>
        <v/>
      </c>
      <c r="G53" s="74">
        <f>'Data Input'!T33</f>
        <v/>
      </c>
      <c r="H53" s="75">
        <f>'Data Input'!S33</f>
        <v/>
      </c>
      <c r="I53" s="57" t="n"/>
      <c r="J53" s="76" t="inlineStr">
        <is>
          <t>P</t>
        </is>
      </c>
      <c r="K53" s="77" t="n"/>
      <c r="L53" s="77" t="n"/>
      <c r="M53" s="77" t="n"/>
      <c r="N53" s="77" t="n"/>
      <c r="O53" s="77" t="n"/>
      <c r="P53" s="77" t="n"/>
      <c r="Q53" s="77" t="n"/>
      <c r="R53" s="77" t="n"/>
      <c r="S53" s="77" t="n"/>
      <c r="T53" s="77" t="n"/>
      <c r="U53" s="77" t="n"/>
      <c r="V53" s="77" t="n"/>
      <c r="W53" s="77" t="n"/>
      <c r="X53" s="77" t="n"/>
      <c r="Y53" s="77" t="n"/>
      <c r="Z53" s="77" t="n"/>
      <c r="AA53" s="77" t="n"/>
      <c r="AB53" s="77" t="n"/>
      <c r="AC53" s="77" t="n"/>
      <c r="AD53" s="77" t="n"/>
      <c r="AE53" s="77" t="n"/>
      <c r="AF53" s="77" t="n"/>
      <c r="AG53" s="77" t="n"/>
      <c r="AH53" s="77" t="n"/>
      <c r="AI53" s="77" t="n"/>
      <c r="AJ53" s="77" t="n"/>
      <c r="AK53" s="77" t="n"/>
      <c r="AL53" s="77" t="n"/>
      <c r="AM53" s="77" t="n"/>
      <c r="AN53" s="77" t="n"/>
      <c r="AO53" s="77" t="n"/>
      <c r="AP53" s="77" t="n"/>
      <c r="AQ53" s="77" t="n"/>
      <c r="AR53" s="77" t="n"/>
      <c r="AS53" s="77" t="n"/>
      <c r="AT53" s="77" t="n"/>
      <c r="AU53" s="77" t="n"/>
      <c r="AV53" s="77" t="n"/>
      <c r="AW53" s="77" t="n"/>
      <c r="AX53" s="77" t="n"/>
      <c r="AY53" s="77" t="n"/>
      <c r="AZ53" s="77" t="n"/>
      <c r="BA53" s="77" t="n"/>
      <c r="BB53" s="77" t="n"/>
      <c r="BC53" s="77" t="n"/>
      <c r="BD53" s="77" t="n"/>
      <c r="BE53" s="77" t="n"/>
      <c r="BF53" s="77" t="n"/>
      <c r="BH53">
        <f>('Data Input'!C33-$A$1)*24</f>
        <v/>
      </c>
      <c r="BI53">
        <f>('Data Input'!D33-$A$1)*24</f>
        <v/>
      </c>
      <c r="BJ53" t="n">
        <v>1</v>
      </c>
      <c r="BO53" t="n">
        <v>-999</v>
      </c>
      <c r="BP53" t="n">
        <v>-999</v>
      </c>
    </row>
    <row r="54" ht="11.5" customHeight="1">
      <c r="A54" s="78" t="n"/>
      <c r="B54" s="78" t="n"/>
      <c r="C54" s="78" t="n"/>
      <c r="D54" s="78" t="n"/>
      <c r="E54" s="78" t="n"/>
      <c r="F54" s="78" t="n"/>
      <c r="G54" s="78" t="n"/>
      <c r="H54" s="78" t="n"/>
      <c r="I54" s="78" t="n"/>
      <c r="J54" s="76" t="inlineStr">
        <is>
          <t>A</t>
        </is>
      </c>
      <c r="K54" s="79" t="n"/>
      <c r="L54" s="79" t="n"/>
      <c r="M54" s="79" t="n"/>
      <c r="N54" s="79" t="n"/>
      <c r="O54" s="79" t="n"/>
      <c r="P54" s="79" t="n"/>
      <c r="Q54" s="79" t="n"/>
      <c r="R54" s="79" t="n"/>
      <c r="S54" s="79" t="n"/>
      <c r="T54" s="79" t="n"/>
      <c r="U54" s="79" t="n"/>
      <c r="V54" s="79" t="n"/>
      <c r="W54" s="79" t="n"/>
      <c r="X54" s="79" t="n"/>
      <c r="Y54" s="79" t="n"/>
      <c r="Z54" s="79" t="n"/>
      <c r="AA54" s="79" t="n"/>
      <c r="AB54" s="79" t="n"/>
      <c r="AC54" s="79" t="n"/>
      <c r="AD54" s="79" t="n"/>
      <c r="AE54" s="79" t="n"/>
      <c r="AF54" s="79" t="n"/>
      <c r="AG54" s="79" t="n"/>
      <c r="AH54" s="79" t="n"/>
      <c r="AI54" s="79" t="n"/>
      <c r="AJ54" s="79" t="n"/>
      <c r="AK54" s="79" t="n"/>
      <c r="AL54" s="79" t="n"/>
      <c r="AM54" s="79" t="n"/>
      <c r="AN54" s="79" t="n"/>
      <c r="AO54" s="79" t="n"/>
      <c r="AP54" s="79" t="n"/>
      <c r="AQ54" s="79" t="n"/>
      <c r="AR54" s="79" t="n"/>
      <c r="AS54" s="79" t="n"/>
      <c r="AT54" s="79" t="n"/>
      <c r="AU54" s="79" t="n"/>
      <c r="AV54" s="79" t="n"/>
      <c r="AW54" s="79" t="n"/>
      <c r="AX54" s="79" t="n"/>
      <c r="AY54" s="79" t="n"/>
      <c r="AZ54" s="79" t="n"/>
      <c r="BA54" s="79" t="n"/>
      <c r="BB54" s="79" t="n"/>
      <c r="BC54" s="79" t="n"/>
      <c r="BD54" s="79" t="n"/>
      <c r="BE54" s="79" t="n"/>
      <c r="BF54" s="79" t="n"/>
      <c r="BH54">
        <f>IF($BK54="",-999,($BK54-$A$1)*24)</f>
        <v/>
      </c>
      <c r="BI54">
        <f>IF($BK54="",-999,(IF($BL54&lt;&gt;"",$BL54,IF($C$1&gt;$BK54,$C$1,$BK54+MAX('Data Input'!E33*$BM54,0.5)/24))-$A$1)*24)</f>
        <v/>
      </c>
      <c r="BJ54">
        <f>IF($BK54="",0,IF($BM54&gt;=1,IF($BN54&lt;=0,2,3),IF($BN54&lt;=0,4,5)))</f>
        <v/>
      </c>
      <c r="BK54">
        <f>IF('Data Input'!Q33="","",'Data Input'!Q33)</f>
        <v/>
      </c>
      <c r="BL54">
        <f>IF('Data Input'!R33="","",'Data Input'!R33)</f>
        <v/>
      </c>
      <c r="BM54">
        <f>'Data Input'!S33</f>
        <v/>
      </c>
      <c r="BN54">
        <f>'Data Input'!Y33</f>
        <v/>
      </c>
      <c r="BO54">
        <f>IF($BM54&gt;=1,-999,MAX(($C$1-$A$1)*24,IF($BK54&lt;&gt;"",$BI54,$BP54-'Data Input'!E33)))</f>
        <v/>
      </c>
      <c r="BP54">
        <f>('Data Input'!D33+'Data Input'!Y33/24-$A$1)*24</f>
        <v/>
      </c>
    </row>
    <row r="55" ht="11.5" customHeight="1">
      <c r="A55" s="68">
        <f>'Data Input'!A34</f>
        <v/>
      </c>
      <c r="B55" s="69">
        <f>'Data Input'!B34</f>
        <v/>
      </c>
      <c r="C55" s="70">
        <f>'Data Input'!O34</f>
        <v/>
      </c>
      <c r="D55" s="71">
        <f>'Data Input'!D34</f>
        <v/>
      </c>
      <c r="E55" s="72">
        <f>'Data Input'!D34+'Data Input'!Y34/24</f>
        <v/>
      </c>
      <c r="F55" s="73">
        <f>'Data Input'!Y34</f>
        <v/>
      </c>
      <c r="G55" s="74">
        <f>'Data Input'!T34</f>
        <v/>
      </c>
      <c r="H55" s="75">
        <f>'Data Input'!S34</f>
        <v/>
      </c>
      <c r="I55" s="57" t="n"/>
      <c r="J55" s="76" t="inlineStr">
        <is>
          <t>P</t>
        </is>
      </c>
      <c r="K55" s="77" t="n"/>
      <c r="L55" s="77" t="n"/>
      <c r="M55" s="77" t="n"/>
      <c r="N55" s="77" t="n"/>
      <c r="O55" s="77" t="n"/>
      <c r="P55" s="77" t="n"/>
      <c r="Q55" s="77" t="n"/>
      <c r="R55" s="77" t="n"/>
      <c r="S55" s="77" t="n"/>
      <c r="T55" s="77" t="n"/>
      <c r="U55" s="77" t="n"/>
      <c r="V55" s="77" t="n"/>
      <c r="W55" s="77" t="n"/>
      <c r="X55" s="77" t="n"/>
      <c r="Y55" s="77" t="n"/>
      <c r="Z55" s="77" t="n"/>
      <c r="AA55" s="77" t="n"/>
      <c r="AB55" s="77" t="n"/>
      <c r="AC55" s="77" t="n"/>
      <c r="AD55" s="77" t="n"/>
      <c r="AE55" s="77" t="n"/>
      <c r="AF55" s="77" t="n"/>
      <c r="AG55" s="77" t="n"/>
      <c r="AH55" s="77" t="n"/>
      <c r="AI55" s="77" t="n"/>
      <c r="AJ55" s="77" t="n"/>
      <c r="AK55" s="77" t="n"/>
      <c r="AL55" s="77" t="n"/>
      <c r="AM55" s="77" t="n"/>
      <c r="AN55" s="77" t="n"/>
      <c r="AO55" s="77" t="n"/>
      <c r="AP55" s="77" t="n"/>
      <c r="AQ55" s="77" t="n"/>
      <c r="AR55" s="77" t="n"/>
      <c r="AS55" s="77" t="n"/>
      <c r="AT55" s="77" t="n"/>
      <c r="AU55" s="77" t="n"/>
      <c r="AV55" s="77" t="n"/>
      <c r="AW55" s="77" t="n"/>
      <c r="AX55" s="77" t="n"/>
      <c r="AY55" s="77" t="n"/>
      <c r="AZ55" s="77" t="n"/>
      <c r="BA55" s="77" t="n"/>
      <c r="BB55" s="77" t="n"/>
      <c r="BC55" s="77" t="n"/>
      <c r="BD55" s="77" t="n"/>
      <c r="BE55" s="77" t="n"/>
      <c r="BF55" s="77" t="n"/>
      <c r="BH55">
        <f>('Data Input'!C34-$A$1)*24</f>
        <v/>
      </c>
      <c r="BI55">
        <f>('Data Input'!D34-$A$1)*24</f>
        <v/>
      </c>
      <c r="BJ55" t="n">
        <v>1</v>
      </c>
      <c r="BO55" t="n">
        <v>-999</v>
      </c>
      <c r="BP55" t="n">
        <v>-999</v>
      </c>
    </row>
    <row r="56" ht="11.5" customHeight="1">
      <c r="A56" s="78" t="n"/>
      <c r="B56" s="78" t="n"/>
      <c r="C56" s="78" t="n"/>
      <c r="D56" s="78" t="n"/>
      <c r="E56" s="78" t="n"/>
      <c r="F56" s="78" t="n"/>
      <c r="G56" s="78" t="n"/>
      <c r="H56" s="78" t="n"/>
      <c r="I56" s="78" t="n"/>
      <c r="J56" s="76" t="inlineStr">
        <is>
          <t>A</t>
        </is>
      </c>
      <c r="K56" s="79" t="n"/>
      <c r="L56" s="79" t="n"/>
      <c r="M56" s="79" t="n"/>
      <c r="N56" s="79" t="n"/>
      <c r="O56" s="79" t="n"/>
      <c r="P56" s="79" t="n"/>
      <c r="Q56" s="79" t="n"/>
      <c r="R56" s="79" t="n"/>
      <c r="S56" s="79" t="n"/>
      <c r="T56" s="79" t="n"/>
      <c r="U56" s="79" t="n"/>
      <c r="V56" s="79" t="n"/>
      <c r="W56" s="79" t="n"/>
      <c r="X56" s="79" t="n"/>
      <c r="Y56" s="79" t="n"/>
      <c r="Z56" s="79" t="n"/>
      <c r="AA56" s="79" t="n"/>
      <c r="AB56" s="79" t="n"/>
      <c r="AC56" s="79" t="n"/>
      <c r="AD56" s="79" t="n"/>
      <c r="AE56" s="79" t="n"/>
      <c r="AF56" s="79" t="n"/>
      <c r="AG56" s="79" t="n"/>
      <c r="AH56" s="79" t="n"/>
      <c r="AI56" s="79" t="n"/>
      <c r="AJ56" s="79" t="n"/>
      <c r="AK56" s="79" t="n"/>
      <c r="AL56" s="79" t="n"/>
      <c r="AM56" s="79" t="n"/>
      <c r="AN56" s="79" t="n"/>
      <c r="AO56" s="79" t="n"/>
      <c r="AP56" s="79" t="n"/>
      <c r="AQ56" s="79" t="n"/>
      <c r="AR56" s="79" t="n"/>
      <c r="AS56" s="79" t="n"/>
      <c r="AT56" s="79" t="n"/>
      <c r="AU56" s="79" t="n"/>
      <c r="AV56" s="79" t="n"/>
      <c r="AW56" s="79" t="n"/>
      <c r="AX56" s="79" t="n"/>
      <c r="AY56" s="79" t="n"/>
      <c r="AZ56" s="79" t="n"/>
      <c r="BA56" s="79" t="n"/>
      <c r="BB56" s="79" t="n"/>
      <c r="BC56" s="79" t="n"/>
      <c r="BD56" s="79" t="n"/>
      <c r="BE56" s="79" t="n"/>
      <c r="BF56" s="79" t="n"/>
      <c r="BH56">
        <f>IF($BK56="",-999,($BK56-$A$1)*24)</f>
        <v/>
      </c>
      <c r="BI56">
        <f>IF($BK56="",-999,(IF($BL56&lt;&gt;"",$BL56,IF($C$1&gt;$BK56,$C$1,$BK56+MAX('Data Input'!E34*$BM56,0.5)/24))-$A$1)*24)</f>
        <v/>
      </c>
      <c r="BJ56">
        <f>IF($BK56="",0,IF($BM56&gt;=1,IF($BN56&lt;=0,2,3),IF($BN56&lt;=0,4,5)))</f>
        <v/>
      </c>
      <c r="BK56">
        <f>IF('Data Input'!Q34="","",'Data Input'!Q34)</f>
        <v/>
      </c>
      <c r="BL56">
        <f>IF('Data Input'!R34="","",'Data Input'!R34)</f>
        <v/>
      </c>
      <c r="BM56">
        <f>'Data Input'!S34</f>
        <v/>
      </c>
      <c r="BN56">
        <f>'Data Input'!Y34</f>
        <v/>
      </c>
      <c r="BO56">
        <f>IF($BM56&gt;=1,-999,MAX(($C$1-$A$1)*24,IF($BK56&lt;&gt;"",$BI56,$BP56-'Data Input'!E34)))</f>
        <v/>
      </c>
      <c r="BP56">
        <f>('Data Input'!D34+'Data Input'!Y34/24-$A$1)*24</f>
        <v/>
      </c>
    </row>
    <row r="57" ht="11.5" customHeight="1">
      <c r="A57" s="68">
        <f>'Data Input'!A35</f>
        <v/>
      </c>
      <c r="B57" s="69">
        <f>'Data Input'!B35</f>
        <v/>
      </c>
      <c r="C57" s="70">
        <f>'Data Input'!O35</f>
        <v/>
      </c>
      <c r="D57" s="71">
        <f>'Data Input'!D35</f>
        <v/>
      </c>
      <c r="E57" s="72">
        <f>'Data Input'!D35+'Data Input'!Y35/24</f>
        <v/>
      </c>
      <c r="F57" s="73">
        <f>'Data Input'!Y35</f>
        <v/>
      </c>
      <c r="G57" s="74">
        <f>'Data Input'!T35</f>
        <v/>
      </c>
      <c r="H57" s="75">
        <f>'Data Input'!S35</f>
        <v/>
      </c>
      <c r="I57" s="57" t="n"/>
      <c r="J57" s="76" t="inlineStr">
        <is>
          <t>P</t>
        </is>
      </c>
      <c r="K57" s="77" t="n"/>
      <c r="L57" s="77" t="n"/>
      <c r="M57" s="77" t="n"/>
      <c r="N57" s="77" t="n"/>
      <c r="O57" s="77" t="n"/>
      <c r="P57" s="77" t="n"/>
      <c r="Q57" s="77" t="n"/>
      <c r="R57" s="77" t="n"/>
      <c r="S57" s="77" t="n"/>
      <c r="T57" s="77" t="n"/>
      <c r="U57" s="77" t="n"/>
      <c r="V57" s="77" t="n"/>
      <c r="W57" s="77" t="n"/>
      <c r="X57" s="77" t="n"/>
      <c r="Y57" s="77" t="n"/>
      <c r="Z57" s="77" t="n"/>
      <c r="AA57" s="77" t="n"/>
      <c r="AB57" s="77" t="n"/>
      <c r="AC57" s="77" t="n"/>
      <c r="AD57" s="77" t="n"/>
      <c r="AE57" s="77" t="n"/>
      <c r="AF57" s="77" t="n"/>
      <c r="AG57" s="77" t="n"/>
      <c r="AH57" s="77" t="n"/>
      <c r="AI57" s="77" t="n"/>
      <c r="AJ57" s="77" t="n"/>
      <c r="AK57" s="77" t="n"/>
      <c r="AL57" s="77" t="n"/>
      <c r="AM57" s="77" t="n"/>
      <c r="AN57" s="77" t="n"/>
      <c r="AO57" s="77" t="n"/>
      <c r="AP57" s="77" t="n"/>
      <c r="AQ57" s="77" t="n"/>
      <c r="AR57" s="77" t="n"/>
      <c r="AS57" s="77" t="n"/>
      <c r="AT57" s="77" t="n"/>
      <c r="AU57" s="77" t="n"/>
      <c r="AV57" s="77" t="n"/>
      <c r="AW57" s="77" t="n"/>
      <c r="AX57" s="77" t="n"/>
      <c r="AY57" s="77" t="n"/>
      <c r="AZ57" s="77" t="n"/>
      <c r="BA57" s="77" t="n"/>
      <c r="BB57" s="77" t="n"/>
      <c r="BC57" s="77" t="n"/>
      <c r="BD57" s="77" t="n"/>
      <c r="BE57" s="77" t="n"/>
      <c r="BF57" s="77" t="n"/>
      <c r="BH57">
        <f>('Data Input'!C35-$A$1)*24</f>
        <v/>
      </c>
      <c r="BI57">
        <f>('Data Input'!D35-$A$1)*24</f>
        <v/>
      </c>
      <c r="BJ57" t="n">
        <v>1</v>
      </c>
      <c r="BO57" t="n">
        <v>-999</v>
      </c>
      <c r="BP57" t="n">
        <v>-999</v>
      </c>
    </row>
    <row r="58" ht="11.5" customHeight="1">
      <c r="A58" s="78" t="n"/>
      <c r="B58" s="78" t="n"/>
      <c r="C58" s="78" t="n"/>
      <c r="D58" s="78" t="n"/>
      <c r="E58" s="78" t="n"/>
      <c r="F58" s="78" t="n"/>
      <c r="G58" s="78" t="n"/>
      <c r="H58" s="78" t="n"/>
      <c r="I58" s="78" t="n"/>
      <c r="J58" s="76" t="inlineStr">
        <is>
          <t>A</t>
        </is>
      </c>
      <c r="K58" s="79" t="n"/>
      <c r="L58" s="79" t="n"/>
      <c r="M58" s="79" t="n"/>
      <c r="N58" s="79" t="n"/>
      <c r="O58" s="79" t="n"/>
      <c r="P58" s="79" t="n"/>
      <c r="Q58" s="79" t="n"/>
      <c r="R58" s="79" t="n"/>
      <c r="S58" s="79" t="n"/>
      <c r="T58" s="79" t="n"/>
      <c r="U58" s="79" t="n"/>
      <c r="V58" s="79" t="n"/>
      <c r="W58" s="79" t="n"/>
      <c r="X58" s="79" t="n"/>
      <c r="Y58" s="79" t="n"/>
      <c r="Z58" s="79" t="n"/>
      <c r="AA58" s="79" t="n"/>
      <c r="AB58" s="79" t="n"/>
      <c r="AC58" s="79" t="n"/>
      <c r="AD58" s="79" t="n"/>
      <c r="AE58" s="79" t="n"/>
      <c r="AF58" s="79" t="n"/>
      <c r="AG58" s="79" t="n"/>
      <c r="AH58" s="79" t="n"/>
      <c r="AI58" s="79" t="n"/>
      <c r="AJ58" s="79" t="n"/>
      <c r="AK58" s="79" t="n"/>
      <c r="AL58" s="79" t="n"/>
      <c r="AM58" s="79" t="n"/>
      <c r="AN58" s="79" t="n"/>
      <c r="AO58" s="79" t="n"/>
      <c r="AP58" s="79" t="n"/>
      <c r="AQ58" s="79" t="n"/>
      <c r="AR58" s="79" t="n"/>
      <c r="AS58" s="79" t="n"/>
      <c r="AT58" s="79" t="n"/>
      <c r="AU58" s="79" t="n"/>
      <c r="AV58" s="79" t="n"/>
      <c r="AW58" s="79" t="n"/>
      <c r="AX58" s="79" t="n"/>
      <c r="AY58" s="79" t="n"/>
      <c r="AZ58" s="79" t="n"/>
      <c r="BA58" s="79" t="n"/>
      <c r="BB58" s="79" t="n"/>
      <c r="BC58" s="79" t="n"/>
      <c r="BD58" s="79" t="n"/>
      <c r="BE58" s="79" t="n"/>
      <c r="BF58" s="79" t="n"/>
      <c r="BH58">
        <f>IF($BK58="",-999,($BK58-$A$1)*24)</f>
        <v/>
      </c>
      <c r="BI58">
        <f>IF($BK58="",-999,(IF($BL58&lt;&gt;"",$BL58,IF($C$1&gt;$BK58,$C$1,$BK58+MAX('Data Input'!E35*$BM58,0.5)/24))-$A$1)*24)</f>
        <v/>
      </c>
      <c r="BJ58">
        <f>IF($BK58="",0,IF($BM58&gt;=1,IF($BN58&lt;=0,2,3),IF($BN58&lt;=0,4,5)))</f>
        <v/>
      </c>
      <c r="BK58">
        <f>IF('Data Input'!Q35="","",'Data Input'!Q35)</f>
        <v/>
      </c>
      <c r="BL58">
        <f>IF('Data Input'!R35="","",'Data Input'!R35)</f>
        <v/>
      </c>
      <c r="BM58">
        <f>'Data Input'!S35</f>
        <v/>
      </c>
      <c r="BN58">
        <f>'Data Input'!Y35</f>
        <v/>
      </c>
      <c r="BO58">
        <f>IF($BM58&gt;=1,-999,MAX(($C$1-$A$1)*24,IF($BK58&lt;&gt;"",$BI58,$BP58-'Data Input'!E35)))</f>
        <v/>
      </c>
      <c r="BP58">
        <f>('Data Input'!D35+'Data Input'!Y35/24-$A$1)*24</f>
        <v/>
      </c>
    </row>
    <row r="59" ht="11.5" customHeight="1">
      <c r="A59" s="68">
        <f>'Data Input'!A36</f>
        <v/>
      </c>
      <c r="B59" s="69">
        <f>'Data Input'!B36</f>
        <v/>
      </c>
      <c r="C59" s="70">
        <f>'Data Input'!O36</f>
        <v/>
      </c>
      <c r="D59" s="71">
        <f>'Data Input'!D36</f>
        <v/>
      </c>
      <c r="E59" s="72">
        <f>'Data Input'!D36+'Data Input'!Y36/24</f>
        <v/>
      </c>
      <c r="F59" s="73">
        <f>'Data Input'!Y36</f>
        <v/>
      </c>
      <c r="G59" s="74">
        <f>'Data Input'!T36</f>
        <v/>
      </c>
      <c r="H59" s="75">
        <f>'Data Input'!S36</f>
        <v/>
      </c>
      <c r="I59" s="57" t="n"/>
      <c r="J59" s="76" t="inlineStr">
        <is>
          <t>P</t>
        </is>
      </c>
      <c r="K59" s="77" t="n"/>
      <c r="L59" s="77" t="n"/>
      <c r="M59" s="77" t="n"/>
      <c r="N59" s="77" t="n"/>
      <c r="O59" s="77" t="n"/>
      <c r="P59" s="77" t="n"/>
      <c r="Q59" s="77" t="n"/>
      <c r="R59" s="77" t="n"/>
      <c r="S59" s="77" t="n"/>
      <c r="T59" s="77" t="n"/>
      <c r="U59" s="77" t="n"/>
      <c r="V59" s="77" t="n"/>
      <c r="W59" s="77" t="n"/>
      <c r="X59" s="77" t="n"/>
      <c r="Y59" s="77" t="n"/>
      <c r="Z59" s="77" t="n"/>
      <c r="AA59" s="77" t="n"/>
      <c r="AB59" s="77" t="n"/>
      <c r="AC59" s="77" t="n"/>
      <c r="AD59" s="77" t="n"/>
      <c r="AE59" s="77" t="n"/>
      <c r="AF59" s="77" t="n"/>
      <c r="AG59" s="77" t="n"/>
      <c r="AH59" s="77" t="n"/>
      <c r="AI59" s="77" t="n"/>
      <c r="AJ59" s="77" t="n"/>
      <c r="AK59" s="77" t="n"/>
      <c r="AL59" s="77" t="n"/>
      <c r="AM59" s="77" t="n"/>
      <c r="AN59" s="77" t="n"/>
      <c r="AO59" s="77" t="n"/>
      <c r="AP59" s="77" t="n"/>
      <c r="AQ59" s="77" t="n"/>
      <c r="AR59" s="77" t="n"/>
      <c r="AS59" s="77" t="n"/>
      <c r="AT59" s="77" t="n"/>
      <c r="AU59" s="77" t="n"/>
      <c r="AV59" s="77" t="n"/>
      <c r="AW59" s="77" t="n"/>
      <c r="AX59" s="77" t="n"/>
      <c r="AY59" s="77" t="n"/>
      <c r="AZ59" s="77" t="n"/>
      <c r="BA59" s="77" t="n"/>
      <c r="BB59" s="77" t="n"/>
      <c r="BC59" s="77" t="n"/>
      <c r="BD59" s="77" t="n"/>
      <c r="BE59" s="77" t="n"/>
      <c r="BF59" s="77" t="n"/>
      <c r="BH59">
        <f>('Data Input'!C36-$A$1)*24</f>
        <v/>
      </c>
      <c r="BI59">
        <f>('Data Input'!D36-$A$1)*24</f>
        <v/>
      </c>
      <c r="BJ59" t="n">
        <v>1</v>
      </c>
      <c r="BO59" t="n">
        <v>-999</v>
      </c>
      <c r="BP59" t="n">
        <v>-999</v>
      </c>
    </row>
    <row r="60" ht="11.5" customHeight="1">
      <c r="A60" s="78" t="n"/>
      <c r="B60" s="78" t="n"/>
      <c r="C60" s="78" t="n"/>
      <c r="D60" s="78" t="n"/>
      <c r="E60" s="78" t="n"/>
      <c r="F60" s="78" t="n"/>
      <c r="G60" s="78" t="n"/>
      <c r="H60" s="78" t="n"/>
      <c r="I60" s="78" t="n"/>
      <c r="J60" s="76" t="inlineStr">
        <is>
          <t>A</t>
        </is>
      </c>
      <c r="K60" s="79" t="n"/>
      <c r="L60" s="79" t="n"/>
      <c r="M60" s="79" t="n"/>
      <c r="N60" s="79" t="n"/>
      <c r="O60" s="79" t="n"/>
      <c r="P60" s="79" t="n"/>
      <c r="Q60" s="79" t="n"/>
      <c r="R60" s="79" t="n"/>
      <c r="S60" s="79" t="n"/>
      <c r="T60" s="79" t="n"/>
      <c r="U60" s="79" t="n"/>
      <c r="V60" s="79" t="n"/>
      <c r="W60" s="79" t="n"/>
      <c r="X60" s="79" t="n"/>
      <c r="Y60" s="79" t="n"/>
      <c r="Z60" s="79" t="n"/>
      <c r="AA60" s="79" t="n"/>
      <c r="AB60" s="79" t="n"/>
      <c r="AC60" s="79" t="n"/>
      <c r="AD60" s="79" t="n"/>
      <c r="AE60" s="79" t="n"/>
      <c r="AF60" s="79" t="n"/>
      <c r="AG60" s="79" t="n"/>
      <c r="AH60" s="79" t="n"/>
      <c r="AI60" s="79" t="n"/>
      <c r="AJ60" s="79" t="n"/>
      <c r="AK60" s="79" t="n"/>
      <c r="AL60" s="79" t="n"/>
      <c r="AM60" s="79" t="n"/>
      <c r="AN60" s="79" t="n"/>
      <c r="AO60" s="79" t="n"/>
      <c r="AP60" s="79" t="n"/>
      <c r="AQ60" s="79" t="n"/>
      <c r="AR60" s="79" t="n"/>
      <c r="AS60" s="79" t="n"/>
      <c r="AT60" s="79" t="n"/>
      <c r="AU60" s="79" t="n"/>
      <c r="AV60" s="79" t="n"/>
      <c r="AW60" s="79" t="n"/>
      <c r="AX60" s="79" t="n"/>
      <c r="AY60" s="79" t="n"/>
      <c r="AZ60" s="79" t="n"/>
      <c r="BA60" s="79" t="n"/>
      <c r="BB60" s="79" t="n"/>
      <c r="BC60" s="79" t="n"/>
      <c r="BD60" s="79" t="n"/>
      <c r="BE60" s="79" t="n"/>
      <c r="BF60" s="79" t="n"/>
      <c r="BH60">
        <f>IF($BK60="",-999,($BK60-$A$1)*24)</f>
        <v/>
      </c>
      <c r="BI60">
        <f>IF($BK60="",-999,(IF($BL60&lt;&gt;"",$BL60,IF($C$1&gt;$BK60,$C$1,$BK60+MAX('Data Input'!E36*$BM60,0.5)/24))-$A$1)*24)</f>
        <v/>
      </c>
      <c r="BJ60">
        <f>IF($BK60="",0,IF($BM60&gt;=1,IF($BN60&lt;=0,2,3),IF($BN60&lt;=0,4,5)))</f>
        <v/>
      </c>
      <c r="BK60">
        <f>IF('Data Input'!Q36="","",'Data Input'!Q36)</f>
        <v/>
      </c>
      <c r="BL60">
        <f>IF('Data Input'!R36="","",'Data Input'!R36)</f>
        <v/>
      </c>
      <c r="BM60">
        <f>'Data Input'!S36</f>
        <v/>
      </c>
      <c r="BN60">
        <f>'Data Input'!Y36</f>
        <v/>
      </c>
      <c r="BO60">
        <f>IF($BM60&gt;=1,-999,MAX(($C$1-$A$1)*24,IF($BK60&lt;&gt;"",$BI60,$BP60-'Data Input'!E36)))</f>
        <v/>
      </c>
      <c r="BP60">
        <f>('Data Input'!D36+'Data Input'!Y36/24-$A$1)*24</f>
        <v/>
      </c>
    </row>
    <row r="61" ht="11.5" customHeight="1">
      <c r="A61" s="68">
        <f>'Data Input'!A37</f>
        <v/>
      </c>
      <c r="B61" s="69">
        <f>'Data Input'!B37</f>
        <v/>
      </c>
      <c r="C61" s="70">
        <f>'Data Input'!O37</f>
        <v/>
      </c>
      <c r="D61" s="71">
        <f>'Data Input'!D37</f>
        <v/>
      </c>
      <c r="E61" s="72">
        <f>'Data Input'!D37+'Data Input'!Y37/24</f>
        <v/>
      </c>
      <c r="F61" s="73">
        <f>'Data Input'!Y37</f>
        <v/>
      </c>
      <c r="G61" s="74">
        <f>'Data Input'!T37</f>
        <v/>
      </c>
      <c r="H61" s="75">
        <f>'Data Input'!S37</f>
        <v/>
      </c>
      <c r="I61" s="57" t="n"/>
      <c r="J61" s="76" t="inlineStr">
        <is>
          <t>P</t>
        </is>
      </c>
      <c r="K61" s="77" t="n"/>
      <c r="L61" s="77" t="n"/>
      <c r="M61" s="77" t="n"/>
      <c r="N61" s="77" t="n"/>
      <c r="O61" s="77" t="n"/>
      <c r="P61" s="77" t="n"/>
      <c r="Q61" s="77" t="n"/>
      <c r="R61" s="77" t="n"/>
      <c r="S61" s="77" t="n"/>
      <c r="T61" s="77" t="n"/>
      <c r="U61" s="77" t="n"/>
      <c r="V61" s="77" t="n"/>
      <c r="W61" s="77" t="n"/>
      <c r="X61" s="77" t="n"/>
      <c r="Y61" s="77" t="n"/>
      <c r="Z61" s="77" t="n"/>
      <c r="AA61" s="77" t="n"/>
      <c r="AB61" s="77" t="n"/>
      <c r="AC61" s="77" t="n"/>
      <c r="AD61" s="77" t="n"/>
      <c r="AE61" s="77" t="n"/>
      <c r="AF61" s="77" t="n"/>
      <c r="AG61" s="77" t="n"/>
      <c r="AH61" s="77" t="n"/>
      <c r="AI61" s="77" t="n"/>
      <c r="AJ61" s="77" t="n"/>
      <c r="AK61" s="77" t="n"/>
      <c r="AL61" s="77" t="n"/>
      <c r="AM61" s="77" t="n"/>
      <c r="AN61" s="77" t="n"/>
      <c r="AO61" s="77" t="n"/>
      <c r="AP61" s="77" t="n"/>
      <c r="AQ61" s="77" t="n"/>
      <c r="AR61" s="77" t="n"/>
      <c r="AS61" s="77" t="n"/>
      <c r="AT61" s="77" t="n"/>
      <c r="AU61" s="77" t="n"/>
      <c r="AV61" s="77" t="n"/>
      <c r="AW61" s="77" t="n"/>
      <c r="AX61" s="77" t="n"/>
      <c r="AY61" s="77" t="n"/>
      <c r="AZ61" s="77" t="n"/>
      <c r="BA61" s="77" t="n"/>
      <c r="BB61" s="77" t="n"/>
      <c r="BC61" s="77" t="n"/>
      <c r="BD61" s="77" t="n"/>
      <c r="BE61" s="77" t="n"/>
      <c r="BF61" s="77" t="n"/>
      <c r="BH61">
        <f>('Data Input'!C37-$A$1)*24</f>
        <v/>
      </c>
      <c r="BI61">
        <f>('Data Input'!D37-$A$1)*24</f>
        <v/>
      </c>
      <c r="BJ61" t="n">
        <v>1</v>
      </c>
      <c r="BO61" t="n">
        <v>-999</v>
      </c>
      <c r="BP61" t="n">
        <v>-999</v>
      </c>
    </row>
    <row r="62" ht="11.5" customHeight="1">
      <c r="A62" s="78" t="n"/>
      <c r="B62" s="78" t="n"/>
      <c r="C62" s="78" t="n"/>
      <c r="D62" s="78" t="n"/>
      <c r="E62" s="78" t="n"/>
      <c r="F62" s="78" t="n"/>
      <c r="G62" s="78" t="n"/>
      <c r="H62" s="78" t="n"/>
      <c r="I62" s="78" t="n"/>
      <c r="J62" s="76" t="inlineStr">
        <is>
          <t>A</t>
        </is>
      </c>
      <c r="K62" s="79" t="n"/>
      <c r="L62" s="79" t="n"/>
      <c r="M62" s="79" t="n"/>
      <c r="N62" s="79" t="n"/>
      <c r="O62" s="79" t="n"/>
      <c r="P62" s="79" t="n"/>
      <c r="Q62" s="79" t="n"/>
      <c r="R62" s="79" t="n"/>
      <c r="S62" s="79" t="n"/>
      <c r="T62" s="79" t="n"/>
      <c r="U62" s="79" t="n"/>
      <c r="V62" s="79" t="n"/>
      <c r="W62" s="79" t="n"/>
      <c r="X62" s="79" t="n"/>
      <c r="Y62" s="79" t="n"/>
      <c r="Z62" s="79" t="n"/>
      <c r="AA62" s="79" t="n"/>
      <c r="AB62" s="79" t="n"/>
      <c r="AC62" s="79" t="n"/>
      <c r="AD62" s="79" t="n"/>
      <c r="AE62" s="79" t="n"/>
      <c r="AF62" s="79" t="n"/>
      <c r="AG62" s="79" t="n"/>
      <c r="AH62" s="79" t="n"/>
      <c r="AI62" s="79" t="n"/>
      <c r="AJ62" s="79" t="n"/>
      <c r="AK62" s="79" t="n"/>
      <c r="AL62" s="79" t="n"/>
      <c r="AM62" s="79" t="n"/>
      <c r="AN62" s="79" t="n"/>
      <c r="AO62" s="79" t="n"/>
      <c r="AP62" s="79" t="n"/>
      <c r="AQ62" s="79" t="n"/>
      <c r="AR62" s="79" t="n"/>
      <c r="AS62" s="79" t="n"/>
      <c r="AT62" s="79" t="n"/>
      <c r="AU62" s="79" t="n"/>
      <c r="AV62" s="79" t="n"/>
      <c r="AW62" s="79" t="n"/>
      <c r="AX62" s="79" t="n"/>
      <c r="AY62" s="79" t="n"/>
      <c r="AZ62" s="79" t="n"/>
      <c r="BA62" s="79" t="n"/>
      <c r="BB62" s="79" t="n"/>
      <c r="BC62" s="79" t="n"/>
      <c r="BD62" s="79" t="n"/>
      <c r="BE62" s="79" t="n"/>
      <c r="BF62" s="79" t="n"/>
      <c r="BH62">
        <f>IF($BK62="",-999,($BK62-$A$1)*24)</f>
        <v/>
      </c>
      <c r="BI62">
        <f>IF($BK62="",-999,(IF($BL62&lt;&gt;"",$BL62,IF($C$1&gt;$BK62,$C$1,$BK62+MAX('Data Input'!E37*$BM62,0.5)/24))-$A$1)*24)</f>
        <v/>
      </c>
      <c r="BJ62">
        <f>IF($BK62="",0,IF($BM62&gt;=1,IF($BN62&lt;=0,2,3),IF($BN62&lt;=0,4,5)))</f>
        <v/>
      </c>
      <c r="BK62">
        <f>IF('Data Input'!Q37="","",'Data Input'!Q37)</f>
        <v/>
      </c>
      <c r="BL62">
        <f>IF('Data Input'!R37="","",'Data Input'!R37)</f>
        <v/>
      </c>
      <c r="BM62">
        <f>'Data Input'!S37</f>
        <v/>
      </c>
      <c r="BN62">
        <f>'Data Input'!Y37</f>
        <v/>
      </c>
      <c r="BO62">
        <f>IF($BM62&gt;=1,-999,MAX(($C$1-$A$1)*24,IF($BK62&lt;&gt;"",$BI62,$BP62-'Data Input'!E37)))</f>
        <v/>
      </c>
      <c r="BP62">
        <f>('Data Input'!D37+'Data Input'!Y37/24-$A$1)*24</f>
        <v/>
      </c>
    </row>
    <row r="63" ht="11.5" customHeight="1">
      <c r="A63" s="68">
        <f>'Data Input'!A38</f>
        <v/>
      </c>
      <c r="B63" s="69">
        <f>'Data Input'!B38</f>
        <v/>
      </c>
      <c r="C63" s="70">
        <f>'Data Input'!O38</f>
        <v/>
      </c>
      <c r="D63" s="71">
        <f>'Data Input'!D38</f>
        <v/>
      </c>
      <c r="E63" s="72">
        <f>'Data Input'!D38+'Data Input'!Y38/24</f>
        <v/>
      </c>
      <c r="F63" s="73">
        <f>'Data Input'!Y38</f>
        <v/>
      </c>
      <c r="G63" s="74">
        <f>'Data Input'!T38</f>
        <v/>
      </c>
      <c r="H63" s="75">
        <f>'Data Input'!S38</f>
        <v/>
      </c>
      <c r="I63" s="57" t="n"/>
      <c r="J63" s="76" t="inlineStr">
        <is>
          <t>P</t>
        </is>
      </c>
      <c r="K63" s="77" t="n"/>
      <c r="L63" s="77" t="n"/>
      <c r="M63" s="77" t="n"/>
      <c r="N63" s="77" t="n"/>
      <c r="O63" s="77" t="n"/>
      <c r="P63" s="77" t="n"/>
      <c r="Q63" s="77" t="n"/>
      <c r="R63" s="77" t="n"/>
      <c r="S63" s="77" t="n"/>
      <c r="T63" s="77" t="n"/>
      <c r="U63" s="77" t="n"/>
      <c r="V63" s="77" t="n"/>
      <c r="W63" s="77" t="n"/>
      <c r="X63" s="77" t="n"/>
      <c r="Y63" s="77" t="n"/>
      <c r="Z63" s="77" t="n"/>
      <c r="AA63" s="77" t="n"/>
      <c r="AB63" s="77" t="n"/>
      <c r="AC63" s="77" t="n"/>
      <c r="AD63" s="77" t="n"/>
      <c r="AE63" s="77" t="n"/>
      <c r="AF63" s="77" t="n"/>
      <c r="AG63" s="77" t="n"/>
      <c r="AH63" s="77" t="n"/>
      <c r="AI63" s="77" t="n"/>
      <c r="AJ63" s="77" t="n"/>
      <c r="AK63" s="77" t="n"/>
      <c r="AL63" s="77" t="n"/>
      <c r="AM63" s="77" t="n"/>
      <c r="AN63" s="77" t="n"/>
      <c r="AO63" s="77" t="n"/>
      <c r="AP63" s="77" t="n"/>
      <c r="AQ63" s="77" t="n"/>
      <c r="AR63" s="77" t="n"/>
      <c r="AS63" s="77" t="n"/>
      <c r="AT63" s="77" t="n"/>
      <c r="AU63" s="77" t="n"/>
      <c r="AV63" s="77" t="n"/>
      <c r="AW63" s="77" t="n"/>
      <c r="AX63" s="77" t="n"/>
      <c r="AY63" s="77" t="n"/>
      <c r="AZ63" s="77" t="n"/>
      <c r="BA63" s="77" t="n"/>
      <c r="BB63" s="77" t="n"/>
      <c r="BC63" s="77" t="n"/>
      <c r="BD63" s="77" t="n"/>
      <c r="BE63" s="77" t="n"/>
      <c r="BF63" s="77" t="n"/>
      <c r="BH63">
        <f>('Data Input'!C38-$A$1)*24</f>
        <v/>
      </c>
      <c r="BI63">
        <f>('Data Input'!D38-$A$1)*24</f>
        <v/>
      </c>
      <c r="BJ63" t="n">
        <v>1</v>
      </c>
      <c r="BO63" t="n">
        <v>-999</v>
      </c>
      <c r="BP63" t="n">
        <v>-999</v>
      </c>
    </row>
    <row r="64" ht="11.5" customHeight="1">
      <c r="A64" s="78" t="n"/>
      <c r="B64" s="78" t="n"/>
      <c r="C64" s="78" t="n"/>
      <c r="D64" s="78" t="n"/>
      <c r="E64" s="78" t="n"/>
      <c r="F64" s="78" t="n"/>
      <c r="G64" s="78" t="n"/>
      <c r="H64" s="78" t="n"/>
      <c r="I64" s="78" t="n"/>
      <c r="J64" s="76" t="inlineStr">
        <is>
          <t>A</t>
        </is>
      </c>
      <c r="K64" s="79" t="n"/>
      <c r="L64" s="79" t="n"/>
      <c r="M64" s="79" t="n"/>
      <c r="N64" s="79" t="n"/>
      <c r="O64" s="79" t="n"/>
      <c r="P64" s="79" t="n"/>
      <c r="Q64" s="79" t="n"/>
      <c r="R64" s="79" t="n"/>
      <c r="S64" s="79" t="n"/>
      <c r="T64" s="79" t="n"/>
      <c r="U64" s="79" t="n"/>
      <c r="V64" s="79" t="n"/>
      <c r="W64" s="79" t="n"/>
      <c r="X64" s="79" t="n"/>
      <c r="Y64" s="79" t="n"/>
      <c r="Z64" s="79" t="n"/>
      <c r="AA64" s="79" t="n"/>
      <c r="AB64" s="79" t="n"/>
      <c r="AC64" s="79" t="n"/>
      <c r="AD64" s="79" t="n"/>
      <c r="AE64" s="79" t="n"/>
      <c r="AF64" s="79" t="n"/>
      <c r="AG64" s="79" t="n"/>
      <c r="AH64" s="79" t="n"/>
      <c r="AI64" s="79" t="n"/>
      <c r="AJ64" s="79" t="n"/>
      <c r="AK64" s="79" t="n"/>
      <c r="AL64" s="79" t="n"/>
      <c r="AM64" s="79" t="n"/>
      <c r="AN64" s="79" t="n"/>
      <c r="AO64" s="79" t="n"/>
      <c r="AP64" s="79" t="n"/>
      <c r="AQ64" s="79" t="n"/>
      <c r="AR64" s="79" t="n"/>
      <c r="AS64" s="79" t="n"/>
      <c r="AT64" s="79" t="n"/>
      <c r="AU64" s="79" t="n"/>
      <c r="AV64" s="79" t="n"/>
      <c r="AW64" s="79" t="n"/>
      <c r="AX64" s="79" t="n"/>
      <c r="AY64" s="79" t="n"/>
      <c r="AZ64" s="79" t="n"/>
      <c r="BA64" s="79" t="n"/>
      <c r="BB64" s="79" t="n"/>
      <c r="BC64" s="79" t="n"/>
      <c r="BD64" s="79" t="n"/>
      <c r="BE64" s="79" t="n"/>
      <c r="BF64" s="79" t="n"/>
      <c r="BH64">
        <f>IF($BK64="",-999,($BK64-$A$1)*24)</f>
        <v/>
      </c>
      <c r="BI64">
        <f>IF($BK64="",-999,(IF($BL64&lt;&gt;"",$BL64,IF($C$1&gt;$BK64,$C$1,$BK64+MAX('Data Input'!E38*$BM64,0.5)/24))-$A$1)*24)</f>
        <v/>
      </c>
      <c r="BJ64">
        <f>IF($BK64="",0,IF($BM64&gt;=1,IF($BN64&lt;=0,2,3),IF($BN64&lt;=0,4,5)))</f>
        <v/>
      </c>
      <c r="BK64">
        <f>IF('Data Input'!Q38="","",'Data Input'!Q38)</f>
        <v/>
      </c>
      <c r="BL64">
        <f>IF('Data Input'!R38="","",'Data Input'!R38)</f>
        <v/>
      </c>
      <c r="BM64">
        <f>'Data Input'!S38</f>
        <v/>
      </c>
      <c r="BN64">
        <f>'Data Input'!Y38</f>
        <v/>
      </c>
      <c r="BO64">
        <f>IF($BM64&gt;=1,-999,MAX(($C$1-$A$1)*24,IF($BK64&lt;&gt;"",$BI64,$BP64-'Data Input'!E38)))</f>
        <v/>
      </c>
      <c r="BP64">
        <f>('Data Input'!D38+'Data Input'!Y38/24-$A$1)*24</f>
        <v/>
      </c>
    </row>
    <row r="65" ht="11.5" customHeight="1">
      <c r="A65" s="68">
        <f>'Data Input'!A39</f>
        <v/>
      </c>
      <c r="B65" s="69">
        <f>'Data Input'!B39</f>
        <v/>
      </c>
      <c r="C65" s="70">
        <f>'Data Input'!O39</f>
        <v/>
      </c>
      <c r="D65" s="71">
        <f>'Data Input'!D39</f>
        <v/>
      </c>
      <c r="E65" s="72">
        <f>'Data Input'!D39+'Data Input'!Y39/24</f>
        <v/>
      </c>
      <c r="F65" s="73">
        <f>'Data Input'!Y39</f>
        <v/>
      </c>
      <c r="G65" s="74">
        <f>'Data Input'!T39</f>
        <v/>
      </c>
      <c r="H65" s="75">
        <f>'Data Input'!S39</f>
        <v/>
      </c>
      <c r="I65" s="57" t="n"/>
      <c r="J65" s="76" t="inlineStr">
        <is>
          <t>P</t>
        </is>
      </c>
      <c r="K65" s="77" t="n"/>
      <c r="L65" s="77" t="n"/>
      <c r="M65" s="77" t="n"/>
      <c r="N65" s="77" t="n"/>
      <c r="O65" s="77" t="n"/>
      <c r="P65" s="77" t="n"/>
      <c r="Q65" s="77" t="n"/>
      <c r="R65" s="77" t="n"/>
      <c r="S65" s="77" t="n"/>
      <c r="T65" s="77" t="n"/>
      <c r="U65" s="77" t="n"/>
      <c r="V65" s="77" t="n"/>
      <c r="W65" s="77" t="n"/>
      <c r="X65" s="77" t="n"/>
      <c r="Y65" s="77" t="n"/>
      <c r="Z65" s="77" t="n"/>
      <c r="AA65" s="77" t="n"/>
      <c r="AB65" s="77" t="n"/>
      <c r="AC65" s="77" t="n"/>
      <c r="AD65" s="77" t="n"/>
      <c r="AE65" s="77" t="n"/>
      <c r="AF65" s="77" t="n"/>
      <c r="AG65" s="77" t="n"/>
      <c r="AH65" s="77" t="n"/>
      <c r="AI65" s="77" t="n"/>
      <c r="AJ65" s="77" t="n"/>
      <c r="AK65" s="77" t="n"/>
      <c r="AL65" s="77" t="n"/>
      <c r="AM65" s="77" t="n"/>
      <c r="AN65" s="77" t="n"/>
      <c r="AO65" s="77" t="n"/>
      <c r="AP65" s="77" t="n"/>
      <c r="AQ65" s="77" t="n"/>
      <c r="AR65" s="77" t="n"/>
      <c r="AS65" s="77" t="n"/>
      <c r="AT65" s="77" t="n"/>
      <c r="AU65" s="77" t="n"/>
      <c r="AV65" s="77" t="n"/>
      <c r="AW65" s="77" t="n"/>
      <c r="AX65" s="77" t="n"/>
      <c r="AY65" s="77" t="n"/>
      <c r="AZ65" s="77" t="n"/>
      <c r="BA65" s="77" t="n"/>
      <c r="BB65" s="77" t="n"/>
      <c r="BC65" s="77" t="n"/>
      <c r="BD65" s="77" t="n"/>
      <c r="BE65" s="77" t="n"/>
      <c r="BF65" s="77" t="n"/>
      <c r="BH65">
        <f>('Data Input'!C39-$A$1)*24</f>
        <v/>
      </c>
      <c r="BI65">
        <f>('Data Input'!D39-$A$1)*24</f>
        <v/>
      </c>
      <c r="BJ65" t="n">
        <v>1</v>
      </c>
      <c r="BO65" t="n">
        <v>-999</v>
      </c>
      <c r="BP65" t="n">
        <v>-999</v>
      </c>
    </row>
    <row r="66" ht="11.5" customHeight="1">
      <c r="A66" s="78" t="n"/>
      <c r="B66" s="78" t="n"/>
      <c r="C66" s="78" t="n"/>
      <c r="D66" s="78" t="n"/>
      <c r="E66" s="78" t="n"/>
      <c r="F66" s="78" t="n"/>
      <c r="G66" s="78" t="n"/>
      <c r="H66" s="78" t="n"/>
      <c r="I66" s="78" t="n"/>
      <c r="J66" s="76" t="inlineStr">
        <is>
          <t>A</t>
        </is>
      </c>
      <c r="K66" s="79" t="n"/>
      <c r="L66" s="79" t="n"/>
      <c r="M66" s="79" t="n"/>
      <c r="N66" s="79" t="n"/>
      <c r="O66" s="79" t="n"/>
      <c r="P66" s="79" t="n"/>
      <c r="Q66" s="79" t="n"/>
      <c r="R66" s="79" t="n"/>
      <c r="S66" s="79" t="n"/>
      <c r="T66" s="79" t="n"/>
      <c r="U66" s="79" t="n"/>
      <c r="V66" s="79" t="n"/>
      <c r="W66" s="79" t="n"/>
      <c r="X66" s="79" t="n"/>
      <c r="Y66" s="79" t="n"/>
      <c r="Z66" s="79" t="n"/>
      <c r="AA66" s="79" t="n"/>
      <c r="AB66" s="79" t="n"/>
      <c r="AC66" s="79" t="n"/>
      <c r="AD66" s="79" t="n"/>
      <c r="AE66" s="79" t="n"/>
      <c r="AF66" s="79" t="n"/>
      <c r="AG66" s="79" t="n"/>
      <c r="AH66" s="79" t="n"/>
      <c r="AI66" s="79" t="n"/>
      <c r="AJ66" s="79" t="n"/>
      <c r="AK66" s="79" t="n"/>
      <c r="AL66" s="79" t="n"/>
      <c r="AM66" s="79" t="n"/>
      <c r="AN66" s="79" t="n"/>
      <c r="AO66" s="79" t="n"/>
      <c r="AP66" s="79" t="n"/>
      <c r="AQ66" s="79" t="n"/>
      <c r="AR66" s="79" t="n"/>
      <c r="AS66" s="79" t="n"/>
      <c r="AT66" s="79" t="n"/>
      <c r="AU66" s="79" t="n"/>
      <c r="AV66" s="79" t="n"/>
      <c r="AW66" s="79" t="n"/>
      <c r="AX66" s="79" t="n"/>
      <c r="AY66" s="79" t="n"/>
      <c r="AZ66" s="79" t="n"/>
      <c r="BA66" s="79" t="n"/>
      <c r="BB66" s="79" t="n"/>
      <c r="BC66" s="79" t="n"/>
      <c r="BD66" s="79" t="n"/>
      <c r="BE66" s="79" t="n"/>
      <c r="BF66" s="79" t="n"/>
      <c r="BH66">
        <f>IF($BK66="",-999,($BK66-$A$1)*24)</f>
        <v/>
      </c>
      <c r="BI66">
        <f>IF($BK66="",-999,(IF($BL66&lt;&gt;"",$BL66,IF($C$1&gt;$BK66,$C$1,$BK66+MAX('Data Input'!E39*$BM66,0.5)/24))-$A$1)*24)</f>
        <v/>
      </c>
      <c r="BJ66">
        <f>IF($BK66="",0,IF($BM66&gt;=1,IF($BN66&lt;=0,2,3),IF($BN66&lt;=0,4,5)))</f>
        <v/>
      </c>
      <c r="BK66">
        <f>IF('Data Input'!Q39="","",'Data Input'!Q39)</f>
        <v/>
      </c>
      <c r="BL66">
        <f>IF('Data Input'!R39="","",'Data Input'!R39)</f>
        <v/>
      </c>
      <c r="BM66">
        <f>'Data Input'!S39</f>
        <v/>
      </c>
      <c r="BN66">
        <f>'Data Input'!Y39</f>
        <v/>
      </c>
      <c r="BO66">
        <f>IF($BM66&gt;=1,-999,MAX(($C$1-$A$1)*24,IF($BK66&lt;&gt;"",$BI66,$BP66-'Data Input'!E39)))</f>
        <v/>
      </c>
      <c r="BP66">
        <f>('Data Input'!D39+'Data Input'!Y39/24-$A$1)*24</f>
        <v/>
      </c>
    </row>
    <row r="67" ht="11.5" customHeight="1">
      <c r="A67" s="68">
        <f>'Data Input'!A40</f>
        <v/>
      </c>
      <c r="B67" s="69">
        <f>'Data Input'!B40</f>
        <v/>
      </c>
      <c r="C67" s="70">
        <f>'Data Input'!O40</f>
        <v/>
      </c>
      <c r="D67" s="71">
        <f>'Data Input'!D40</f>
        <v/>
      </c>
      <c r="E67" s="72">
        <f>'Data Input'!D40+'Data Input'!Y40/24</f>
        <v/>
      </c>
      <c r="F67" s="73">
        <f>'Data Input'!Y40</f>
        <v/>
      </c>
      <c r="G67" s="74">
        <f>'Data Input'!T40</f>
        <v/>
      </c>
      <c r="H67" s="75">
        <f>'Data Input'!S40</f>
        <v/>
      </c>
      <c r="I67" s="57" t="n"/>
      <c r="J67" s="76" t="inlineStr">
        <is>
          <t>P</t>
        </is>
      </c>
      <c r="K67" s="77" t="n"/>
      <c r="L67" s="77" t="n"/>
      <c r="M67" s="77" t="n"/>
      <c r="N67" s="77" t="n"/>
      <c r="O67" s="77" t="n"/>
      <c r="P67" s="77" t="n"/>
      <c r="Q67" s="77" t="n"/>
      <c r="R67" s="77" t="n"/>
      <c r="S67" s="77" t="n"/>
      <c r="T67" s="77" t="n"/>
      <c r="U67" s="77" t="n"/>
      <c r="V67" s="77" t="n"/>
      <c r="W67" s="77" t="n"/>
      <c r="X67" s="77" t="n"/>
      <c r="Y67" s="77" t="n"/>
      <c r="Z67" s="77" t="n"/>
      <c r="AA67" s="77" t="n"/>
      <c r="AB67" s="77" t="n"/>
      <c r="AC67" s="77" t="n"/>
      <c r="AD67" s="77" t="n"/>
      <c r="AE67" s="77" t="n"/>
      <c r="AF67" s="77" t="n"/>
      <c r="AG67" s="77" t="n"/>
      <c r="AH67" s="77" t="n"/>
      <c r="AI67" s="77" t="n"/>
      <c r="AJ67" s="77" t="n"/>
      <c r="AK67" s="77" t="n"/>
      <c r="AL67" s="77" t="n"/>
      <c r="AM67" s="77" t="n"/>
      <c r="AN67" s="77" t="n"/>
      <c r="AO67" s="77" t="n"/>
      <c r="AP67" s="77" t="n"/>
      <c r="AQ67" s="77" t="n"/>
      <c r="AR67" s="77" t="n"/>
      <c r="AS67" s="77" t="n"/>
      <c r="AT67" s="77" t="n"/>
      <c r="AU67" s="77" t="n"/>
      <c r="AV67" s="77" t="n"/>
      <c r="AW67" s="77" t="n"/>
      <c r="AX67" s="77" t="n"/>
      <c r="AY67" s="77" t="n"/>
      <c r="AZ67" s="77" t="n"/>
      <c r="BA67" s="77" t="n"/>
      <c r="BB67" s="77" t="n"/>
      <c r="BC67" s="77" t="n"/>
      <c r="BD67" s="77" t="n"/>
      <c r="BE67" s="77" t="n"/>
      <c r="BF67" s="77" t="n"/>
      <c r="BH67">
        <f>('Data Input'!C40-$A$1)*24</f>
        <v/>
      </c>
      <c r="BI67">
        <f>('Data Input'!D40-$A$1)*24</f>
        <v/>
      </c>
      <c r="BJ67" t="n">
        <v>1</v>
      </c>
      <c r="BO67" t="n">
        <v>-999</v>
      </c>
      <c r="BP67" t="n">
        <v>-999</v>
      </c>
    </row>
    <row r="68" ht="11.5" customHeight="1">
      <c r="A68" s="78" t="n"/>
      <c r="B68" s="78" t="n"/>
      <c r="C68" s="78" t="n"/>
      <c r="D68" s="78" t="n"/>
      <c r="E68" s="78" t="n"/>
      <c r="F68" s="78" t="n"/>
      <c r="G68" s="78" t="n"/>
      <c r="H68" s="78" t="n"/>
      <c r="I68" s="78" t="n"/>
      <c r="J68" s="76" t="inlineStr">
        <is>
          <t>A</t>
        </is>
      </c>
      <c r="K68" s="79" t="n"/>
      <c r="L68" s="79" t="n"/>
      <c r="M68" s="79" t="n"/>
      <c r="N68" s="79" t="n"/>
      <c r="O68" s="79" t="n"/>
      <c r="P68" s="79" t="n"/>
      <c r="Q68" s="79" t="n"/>
      <c r="R68" s="79" t="n"/>
      <c r="S68" s="79" t="n"/>
      <c r="T68" s="79" t="n"/>
      <c r="U68" s="79" t="n"/>
      <c r="V68" s="79" t="n"/>
      <c r="W68" s="79" t="n"/>
      <c r="X68" s="79" t="n"/>
      <c r="Y68" s="79" t="n"/>
      <c r="Z68" s="79" t="n"/>
      <c r="AA68" s="79" t="n"/>
      <c r="AB68" s="79" t="n"/>
      <c r="AC68" s="79" t="n"/>
      <c r="AD68" s="79" t="n"/>
      <c r="AE68" s="79" t="n"/>
      <c r="AF68" s="79" t="n"/>
      <c r="AG68" s="79" t="n"/>
      <c r="AH68" s="79" t="n"/>
      <c r="AI68" s="79" t="n"/>
      <c r="AJ68" s="79" t="n"/>
      <c r="AK68" s="79" t="n"/>
      <c r="AL68" s="79" t="n"/>
      <c r="AM68" s="79" t="n"/>
      <c r="AN68" s="79" t="n"/>
      <c r="AO68" s="79" t="n"/>
      <c r="AP68" s="79" t="n"/>
      <c r="AQ68" s="79" t="n"/>
      <c r="AR68" s="79" t="n"/>
      <c r="AS68" s="79" t="n"/>
      <c r="AT68" s="79" t="n"/>
      <c r="AU68" s="79" t="n"/>
      <c r="AV68" s="79" t="n"/>
      <c r="AW68" s="79" t="n"/>
      <c r="AX68" s="79" t="n"/>
      <c r="AY68" s="79" t="n"/>
      <c r="AZ68" s="79" t="n"/>
      <c r="BA68" s="79" t="n"/>
      <c r="BB68" s="79" t="n"/>
      <c r="BC68" s="79" t="n"/>
      <c r="BD68" s="79" t="n"/>
      <c r="BE68" s="79" t="n"/>
      <c r="BF68" s="79" t="n"/>
      <c r="BH68">
        <f>IF($BK68="",-999,($BK68-$A$1)*24)</f>
        <v/>
      </c>
      <c r="BI68">
        <f>IF($BK68="",-999,(IF($BL68&lt;&gt;"",$BL68,IF($C$1&gt;$BK68,$C$1,$BK68+MAX('Data Input'!E40*$BM68,0.5)/24))-$A$1)*24)</f>
        <v/>
      </c>
      <c r="BJ68">
        <f>IF($BK68="",0,IF($BM68&gt;=1,IF($BN68&lt;=0,2,3),IF($BN68&lt;=0,4,5)))</f>
        <v/>
      </c>
      <c r="BK68">
        <f>IF('Data Input'!Q40="","",'Data Input'!Q40)</f>
        <v/>
      </c>
      <c r="BL68">
        <f>IF('Data Input'!R40="","",'Data Input'!R40)</f>
        <v/>
      </c>
      <c r="BM68">
        <f>'Data Input'!S40</f>
        <v/>
      </c>
      <c r="BN68">
        <f>'Data Input'!Y40</f>
        <v/>
      </c>
      <c r="BO68">
        <f>IF($BM68&gt;=1,-999,MAX(($C$1-$A$1)*24,IF($BK68&lt;&gt;"",$BI68,$BP68-'Data Input'!E40)))</f>
        <v/>
      </c>
      <c r="BP68">
        <f>('Data Input'!D40+'Data Input'!Y40/24-$A$1)*24</f>
        <v/>
      </c>
    </row>
    <row r="69" ht="11.5" customHeight="1">
      <c r="A69" s="68">
        <f>'Data Input'!A41</f>
        <v/>
      </c>
      <c r="B69" s="69">
        <f>'Data Input'!B41</f>
        <v/>
      </c>
      <c r="C69" s="70">
        <f>'Data Input'!O41</f>
        <v/>
      </c>
      <c r="D69" s="71">
        <f>'Data Input'!D41</f>
        <v/>
      </c>
      <c r="E69" s="72">
        <f>'Data Input'!D41+'Data Input'!Y41/24</f>
        <v/>
      </c>
      <c r="F69" s="73">
        <f>'Data Input'!Y41</f>
        <v/>
      </c>
      <c r="G69" s="74">
        <f>'Data Input'!T41</f>
        <v/>
      </c>
      <c r="H69" s="75">
        <f>'Data Input'!S41</f>
        <v/>
      </c>
      <c r="I69" s="57" t="n"/>
      <c r="J69" s="76" t="inlineStr">
        <is>
          <t>P</t>
        </is>
      </c>
      <c r="K69" s="77" t="n"/>
      <c r="L69" s="77" t="n"/>
      <c r="M69" s="77" t="n"/>
      <c r="N69" s="77" t="n"/>
      <c r="O69" s="77" t="n"/>
      <c r="P69" s="77" t="n"/>
      <c r="Q69" s="77" t="n"/>
      <c r="R69" s="77" t="n"/>
      <c r="S69" s="77" t="n"/>
      <c r="T69" s="77" t="n"/>
      <c r="U69" s="77" t="n"/>
      <c r="V69" s="77" t="n"/>
      <c r="W69" s="77" t="n"/>
      <c r="X69" s="77" t="n"/>
      <c r="Y69" s="77" t="n"/>
      <c r="Z69" s="77" t="n"/>
      <c r="AA69" s="77" t="n"/>
      <c r="AB69" s="77" t="n"/>
      <c r="AC69" s="77" t="n"/>
      <c r="AD69" s="77" t="n"/>
      <c r="AE69" s="77" t="n"/>
      <c r="AF69" s="77" t="n"/>
      <c r="AG69" s="77" t="n"/>
      <c r="AH69" s="77" t="n"/>
      <c r="AI69" s="77" t="n"/>
      <c r="AJ69" s="77" t="n"/>
      <c r="AK69" s="77" t="n"/>
      <c r="AL69" s="77" t="n"/>
      <c r="AM69" s="77" t="n"/>
      <c r="AN69" s="77" t="n"/>
      <c r="AO69" s="77" t="n"/>
      <c r="AP69" s="77" t="n"/>
      <c r="AQ69" s="77" t="n"/>
      <c r="AR69" s="77" t="n"/>
      <c r="AS69" s="77" t="n"/>
      <c r="AT69" s="77" t="n"/>
      <c r="AU69" s="77" t="n"/>
      <c r="AV69" s="77" t="n"/>
      <c r="AW69" s="77" t="n"/>
      <c r="AX69" s="77" t="n"/>
      <c r="AY69" s="77" t="n"/>
      <c r="AZ69" s="77" t="n"/>
      <c r="BA69" s="77" t="n"/>
      <c r="BB69" s="77" t="n"/>
      <c r="BC69" s="77" t="n"/>
      <c r="BD69" s="77" t="n"/>
      <c r="BE69" s="77" t="n"/>
      <c r="BF69" s="77" t="n"/>
      <c r="BH69">
        <f>('Data Input'!C41-$A$1)*24</f>
        <v/>
      </c>
      <c r="BI69">
        <f>('Data Input'!D41-$A$1)*24</f>
        <v/>
      </c>
      <c r="BJ69" t="n">
        <v>1</v>
      </c>
      <c r="BO69" t="n">
        <v>-999</v>
      </c>
      <c r="BP69" t="n">
        <v>-999</v>
      </c>
    </row>
    <row r="70" ht="11.5" customHeight="1">
      <c r="A70" s="78" t="n"/>
      <c r="B70" s="78" t="n"/>
      <c r="C70" s="78" t="n"/>
      <c r="D70" s="78" t="n"/>
      <c r="E70" s="78" t="n"/>
      <c r="F70" s="78" t="n"/>
      <c r="G70" s="78" t="n"/>
      <c r="H70" s="78" t="n"/>
      <c r="I70" s="78" t="n"/>
      <c r="J70" s="76" t="inlineStr">
        <is>
          <t>A</t>
        </is>
      </c>
      <c r="K70" s="79" t="n"/>
      <c r="L70" s="79" t="n"/>
      <c r="M70" s="79" t="n"/>
      <c r="N70" s="79" t="n"/>
      <c r="O70" s="79" t="n"/>
      <c r="P70" s="79" t="n"/>
      <c r="Q70" s="79" t="n"/>
      <c r="R70" s="79" t="n"/>
      <c r="S70" s="79" t="n"/>
      <c r="T70" s="79" t="n"/>
      <c r="U70" s="79" t="n"/>
      <c r="V70" s="79" t="n"/>
      <c r="W70" s="79" t="n"/>
      <c r="X70" s="79" t="n"/>
      <c r="Y70" s="79" t="n"/>
      <c r="Z70" s="79" t="n"/>
      <c r="AA70" s="79" t="n"/>
      <c r="AB70" s="79" t="n"/>
      <c r="AC70" s="79" t="n"/>
      <c r="AD70" s="79" t="n"/>
      <c r="AE70" s="79" t="n"/>
      <c r="AF70" s="79" t="n"/>
      <c r="AG70" s="79" t="n"/>
      <c r="AH70" s="79" t="n"/>
      <c r="AI70" s="79" t="n"/>
      <c r="AJ70" s="79" t="n"/>
      <c r="AK70" s="79" t="n"/>
      <c r="AL70" s="79" t="n"/>
      <c r="AM70" s="79" t="n"/>
      <c r="AN70" s="79" t="n"/>
      <c r="AO70" s="79" t="n"/>
      <c r="AP70" s="79" t="n"/>
      <c r="AQ70" s="79" t="n"/>
      <c r="AR70" s="79" t="n"/>
      <c r="AS70" s="79" t="n"/>
      <c r="AT70" s="79" t="n"/>
      <c r="AU70" s="79" t="n"/>
      <c r="AV70" s="79" t="n"/>
      <c r="AW70" s="79" t="n"/>
      <c r="AX70" s="79" t="n"/>
      <c r="AY70" s="79" t="n"/>
      <c r="AZ70" s="79" t="n"/>
      <c r="BA70" s="79" t="n"/>
      <c r="BB70" s="79" t="n"/>
      <c r="BC70" s="79" t="n"/>
      <c r="BD70" s="79" t="n"/>
      <c r="BE70" s="79" t="n"/>
      <c r="BF70" s="79" t="n"/>
      <c r="BH70">
        <f>IF($BK70="",-999,($BK70-$A$1)*24)</f>
        <v/>
      </c>
      <c r="BI70">
        <f>IF($BK70="",-999,(IF($BL70&lt;&gt;"",$BL70,IF($C$1&gt;$BK70,$C$1,$BK70+MAX('Data Input'!E41*$BM70,0.5)/24))-$A$1)*24)</f>
        <v/>
      </c>
      <c r="BJ70">
        <f>IF($BK70="",0,IF($BM70&gt;=1,IF($BN70&lt;=0,2,3),IF($BN70&lt;=0,4,5)))</f>
        <v/>
      </c>
      <c r="BK70">
        <f>IF('Data Input'!Q41="","",'Data Input'!Q41)</f>
        <v/>
      </c>
      <c r="BL70">
        <f>IF('Data Input'!R41="","",'Data Input'!R41)</f>
        <v/>
      </c>
      <c r="BM70">
        <f>'Data Input'!S41</f>
        <v/>
      </c>
      <c r="BN70">
        <f>'Data Input'!Y41</f>
        <v/>
      </c>
      <c r="BO70">
        <f>IF($BM70&gt;=1,-999,MAX(($C$1-$A$1)*24,IF($BK70&lt;&gt;"",$BI70,$BP70-'Data Input'!E41)))</f>
        <v/>
      </c>
      <c r="BP70">
        <f>('Data Input'!D41+'Data Input'!Y41/24-$A$1)*24</f>
        <v/>
      </c>
    </row>
    <row r="71" ht="11.5" customHeight="1">
      <c r="A71" s="68">
        <f>'Data Input'!A42</f>
        <v/>
      </c>
      <c r="B71" s="69">
        <f>'Data Input'!B42</f>
        <v/>
      </c>
      <c r="C71" s="70">
        <f>'Data Input'!O42</f>
        <v/>
      </c>
      <c r="D71" s="71">
        <f>'Data Input'!D42</f>
        <v/>
      </c>
      <c r="E71" s="72">
        <f>'Data Input'!D42+'Data Input'!Y42/24</f>
        <v/>
      </c>
      <c r="F71" s="73">
        <f>'Data Input'!Y42</f>
        <v/>
      </c>
      <c r="G71" s="74">
        <f>'Data Input'!T42</f>
        <v/>
      </c>
      <c r="H71" s="75">
        <f>'Data Input'!S42</f>
        <v/>
      </c>
      <c r="I71" s="57" t="n"/>
      <c r="J71" s="76" t="inlineStr">
        <is>
          <t>P</t>
        </is>
      </c>
      <c r="K71" s="77" t="n"/>
      <c r="L71" s="77" t="n"/>
      <c r="M71" s="77" t="n"/>
      <c r="N71" s="77" t="n"/>
      <c r="O71" s="77" t="n"/>
      <c r="P71" s="77" t="n"/>
      <c r="Q71" s="77" t="n"/>
      <c r="R71" s="77" t="n"/>
      <c r="S71" s="77" t="n"/>
      <c r="T71" s="77" t="n"/>
      <c r="U71" s="77" t="n"/>
      <c r="V71" s="77" t="n"/>
      <c r="W71" s="77" t="n"/>
      <c r="X71" s="77" t="n"/>
      <c r="Y71" s="77" t="n"/>
      <c r="Z71" s="77" t="n"/>
      <c r="AA71" s="77" t="n"/>
      <c r="AB71" s="77" t="n"/>
      <c r="AC71" s="77" t="n"/>
      <c r="AD71" s="77" t="n"/>
      <c r="AE71" s="77" t="n"/>
      <c r="AF71" s="77" t="n"/>
      <c r="AG71" s="77" t="n"/>
      <c r="AH71" s="77" t="n"/>
      <c r="AI71" s="77" t="n"/>
      <c r="AJ71" s="77" t="n"/>
      <c r="AK71" s="77" t="n"/>
      <c r="AL71" s="77" t="n"/>
      <c r="AM71" s="77" t="n"/>
      <c r="AN71" s="77" t="n"/>
      <c r="AO71" s="77" t="n"/>
      <c r="AP71" s="77" t="n"/>
      <c r="AQ71" s="77" t="n"/>
      <c r="AR71" s="77" t="n"/>
      <c r="AS71" s="77" t="n"/>
      <c r="AT71" s="77" t="n"/>
      <c r="AU71" s="77" t="n"/>
      <c r="AV71" s="77" t="n"/>
      <c r="AW71" s="77" t="n"/>
      <c r="AX71" s="77" t="n"/>
      <c r="AY71" s="77" t="n"/>
      <c r="AZ71" s="77" t="n"/>
      <c r="BA71" s="77" t="n"/>
      <c r="BB71" s="77" t="n"/>
      <c r="BC71" s="77" t="n"/>
      <c r="BD71" s="77" t="n"/>
      <c r="BE71" s="77" t="n"/>
      <c r="BF71" s="77" t="n"/>
      <c r="BH71">
        <f>('Data Input'!C42-$A$1)*24</f>
        <v/>
      </c>
      <c r="BI71">
        <f>('Data Input'!D42-$A$1)*24</f>
        <v/>
      </c>
      <c r="BJ71" t="n">
        <v>1</v>
      </c>
      <c r="BO71" t="n">
        <v>-999</v>
      </c>
      <c r="BP71" t="n">
        <v>-999</v>
      </c>
    </row>
    <row r="72" ht="11.5" customHeight="1">
      <c r="A72" s="78" t="n"/>
      <c r="B72" s="78" t="n"/>
      <c r="C72" s="78" t="n"/>
      <c r="D72" s="78" t="n"/>
      <c r="E72" s="78" t="n"/>
      <c r="F72" s="78" t="n"/>
      <c r="G72" s="78" t="n"/>
      <c r="H72" s="78" t="n"/>
      <c r="I72" s="78" t="n"/>
      <c r="J72" s="76" t="inlineStr">
        <is>
          <t>A</t>
        </is>
      </c>
      <c r="K72" s="79" t="n"/>
      <c r="L72" s="79" t="n"/>
      <c r="M72" s="79" t="n"/>
      <c r="N72" s="79" t="n"/>
      <c r="O72" s="79" t="n"/>
      <c r="P72" s="79" t="n"/>
      <c r="Q72" s="79" t="n"/>
      <c r="R72" s="79" t="n"/>
      <c r="S72" s="79" t="n"/>
      <c r="T72" s="79" t="n"/>
      <c r="U72" s="79" t="n"/>
      <c r="V72" s="79" t="n"/>
      <c r="W72" s="79" t="n"/>
      <c r="X72" s="79" t="n"/>
      <c r="Y72" s="79" t="n"/>
      <c r="Z72" s="79" t="n"/>
      <c r="AA72" s="79" t="n"/>
      <c r="AB72" s="79" t="n"/>
      <c r="AC72" s="79" t="n"/>
      <c r="AD72" s="79" t="n"/>
      <c r="AE72" s="79" t="n"/>
      <c r="AF72" s="79" t="n"/>
      <c r="AG72" s="79" t="n"/>
      <c r="AH72" s="79" t="n"/>
      <c r="AI72" s="79" t="n"/>
      <c r="AJ72" s="79" t="n"/>
      <c r="AK72" s="79" t="n"/>
      <c r="AL72" s="79" t="n"/>
      <c r="AM72" s="79" t="n"/>
      <c r="AN72" s="79" t="n"/>
      <c r="AO72" s="79" t="n"/>
      <c r="AP72" s="79" t="n"/>
      <c r="AQ72" s="79" t="n"/>
      <c r="AR72" s="79" t="n"/>
      <c r="AS72" s="79" t="n"/>
      <c r="AT72" s="79" t="n"/>
      <c r="AU72" s="79" t="n"/>
      <c r="AV72" s="79" t="n"/>
      <c r="AW72" s="79" t="n"/>
      <c r="AX72" s="79" t="n"/>
      <c r="AY72" s="79" t="n"/>
      <c r="AZ72" s="79" t="n"/>
      <c r="BA72" s="79" t="n"/>
      <c r="BB72" s="79" t="n"/>
      <c r="BC72" s="79" t="n"/>
      <c r="BD72" s="79" t="n"/>
      <c r="BE72" s="79" t="n"/>
      <c r="BF72" s="79" t="n"/>
      <c r="BH72">
        <f>IF($BK72="",-999,($BK72-$A$1)*24)</f>
        <v/>
      </c>
      <c r="BI72">
        <f>IF($BK72="",-999,(IF($BL72&lt;&gt;"",$BL72,IF($C$1&gt;$BK72,$C$1,$BK72+MAX('Data Input'!E42*$BM72,0.5)/24))-$A$1)*24)</f>
        <v/>
      </c>
      <c r="BJ72">
        <f>IF($BK72="",0,IF($BM72&gt;=1,IF($BN72&lt;=0,2,3),IF($BN72&lt;=0,4,5)))</f>
        <v/>
      </c>
      <c r="BK72">
        <f>IF('Data Input'!Q42="","",'Data Input'!Q42)</f>
        <v/>
      </c>
      <c r="BL72">
        <f>IF('Data Input'!R42="","",'Data Input'!R42)</f>
        <v/>
      </c>
      <c r="BM72">
        <f>'Data Input'!S42</f>
        <v/>
      </c>
      <c r="BN72">
        <f>'Data Input'!Y42</f>
        <v/>
      </c>
      <c r="BO72">
        <f>IF($BM72&gt;=1,-999,MAX(($C$1-$A$1)*24,IF($BK72&lt;&gt;"",$BI72,$BP72-'Data Input'!E42)))</f>
        <v/>
      </c>
      <c r="BP72">
        <f>('Data Input'!D42+'Data Input'!Y42/24-$A$1)*24</f>
        <v/>
      </c>
    </row>
    <row r="73" ht="11.5" customHeight="1">
      <c r="A73" s="68">
        <f>'Data Input'!A43</f>
        <v/>
      </c>
      <c r="B73" s="69">
        <f>'Data Input'!B43</f>
        <v/>
      </c>
      <c r="C73" s="70">
        <f>'Data Input'!O43</f>
        <v/>
      </c>
      <c r="D73" s="71">
        <f>'Data Input'!D43</f>
        <v/>
      </c>
      <c r="E73" s="72">
        <f>'Data Input'!D43+'Data Input'!Y43/24</f>
        <v/>
      </c>
      <c r="F73" s="73">
        <f>'Data Input'!Y43</f>
        <v/>
      </c>
      <c r="G73" s="74">
        <f>'Data Input'!T43</f>
        <v/>
      </c>
      <c r="H73" s="75">
        <f>'Data Input'!S43</f>
        <v/>
      </c>
      <c r="I73" s="57" t="n"/>
      <c r="J73" s="76" t="inlineStr">
        <is>
          <t>P</t>
        </is>
      </c>
      <c r="K73" s="77" t="n"/>
      <c r="L73" s="77" t="n"/>
      <c r="M73" s="77" t="n"/>
      <c r="N73" s="77" t="n"/>
      <c r="O73" s="77" t="n"/>
      <c r="P73" s="77" t="n"/>
      <c r="Q73" s="77" t="n"/>
      <c r="R73" s="77" t="n"/>
      <c r="S73" s="77" t="n"/>
      <c r="T73" s="77" t="n"/>
      <c r="U73" s="77" t="n"/>
      <c r="V73" s="77" t="n"/>
      <c r="W73" s="77" t="n"/>
      <c r="X73" s="77" t="n"/>
      <c r="Y73" s="77" t="n"/>
      <c r="Z73" s="77" t="n"/>
      <c r="AA73" s="77" t="n"/>
      <c r="AB73" s="77" t="n"/>
      <c r="AC73" s="77" t="n"/>
      <c r="AD73" s="77" t="n"/>
      <c r="AE73" s="77" t="n"/>
      <c r="AF73" s="77" t="n"/>
      <c r="AG73" s="77" t="n"/>
      <c r="AH73" s="77" t="n"/>
      <c r="AI73" s="77" t="n"/>
      <c r="AJ73" s="77" t="n"/>
      <c r="AK73" s="77" t="n"/>
      <c r="AL73" s="77" t="n"/>
      <c r="AM73" s="77" t="n"/>
      <c r="AN73" s="77" t="n"/>
      <c r="AO73" s="77" t="n"/>
      <c r="AP73" s="77" t="n"/>
      <c r="AQ73" s="77" t="n"/>
      <c r="AR73" s="77" t="n"/>
      <c r="AS73" s="77" t="n"/>
      <c r="AT73" s="77" t="n"/>
      <c r="AU73" s="77" t="n"/>
      <c r="AV73" s="77" t="n"/>
      <c r="AW73" s="77" t="n"/>
      <c r="AX73" s="77" t="n"/>
      <c r="AY73" s="77" t="n"/>
      <c r="AZ73" s="77" t="n"/>
      <c r="BA73" s="77" t="n"/>
      <c r="BB73" s="77" t="n"/>
      <c r="BC73" s="77" t="n"/>
      <c r="BD73" s="77" t="n"/>
      <c r="BE73" s="77" t="n"/>
      <c r="BF73" s="77" t="n"/>
      <c r="BH73">
        <f>('Data Input'!C43-$A$1)*24</f>
        <v/>
      </c>
      <c r="BI73">
        <f>('Data Input'!D43-$A$1)*24</f>
        <v/>
      </c>
      <c r="BJ73" t="n">
        <v>1</v>
      </c>
      <c r="BO73" t="n">
        <v>-999</v>
      </c>
      <c r="BP73" t="n">
        <v>-999</v>
      </c>
    </row>
    <row r="74" ht="11.5" customHeight="1">
      <c r="A74" s="78" t="n"/>
      <c r="B74" s="78" t="n"/>
      <c r="C74" s="78" t="n"/>
      <c r="D74" s="78" t="n"/>
      <c r="E74" s="78" t="n"/>
      <c r="F74" s="78" t="n"/>
      <c r="G74" s="78" t="n"/>
      <c r="H74" s="78" t="n"/>
      <c r="I74" s="78" t="n"/>
      <c r="J74" s="76" t="inlineStr">
        <is>
          <t>A</t>
        </is>
      </c>
      <c r="K74" s="79" t="n"/>
      <c r="L74" s="79" t="n"/>
      <c r="M74" s="79" t="n"/>
      <c r="N74" s="79" t="n"/>
      <c r="O74" s="79" t="n"/>
      <c r="P74" s="79" t="n"/>
      <c r="Q74" s="79" t="n"/>
      <c r="R74" s="79" t="n"/>
      <c r="S74" s="79" t="n"/>
      <c r="T74" s="79" t="n"/>
      <c r="U74" s="79" t="n"/>
      <c r="V74" s="79" t="n"/>
      <c r="W74" s="79" t="n"/>
      <c r="X74" s="79" t="n"/>
      <c r="Y74" s="79" t="n"/>
      <c r="Z74" s="79" t="n"/>
      <c r="AA74" s="79" t="n"/>
      <c r="AB74" s="79" t="n"/>
      <c r="AC74" s="79" t="n"/>
      <c r="AD74" s="79" t="n"/>
      <c r="AE74" s="79" t="n"/>
      <c r="AF74" s="79" t="n"/>
      <c r="AG74" s="79" t="n"/>
      <c r="AH74" s="79" t="n"/>
      <c r="AI74" s="79" t="n"/>
      <c r="AJ74" s="79" t="n"/>
      <c r="AK74" s="79" t="n"/>
      <c r="AL74" s="79" t="n"/>
      <c r="AM74" s="79" t="n"/>
      <c r="AN74" s="79" t="n"/>
      <c r="AO74" s="79" t="n"/>
      <c r="AP74" s="79" t="n"/>
      <c r="AQ74" s="79" t="n"/>
      <c r="AR74" s="79" t="n"/>
      <c r="AS74" s="79" t="n"/>
      <c r="AT74" s="79" t="n"/>
      <c r="AU74" s="79" t="n"/>
      <c r="AV74" s="79" t="n"/>
      <c r="AW74" s="79" t="n"/>
      <c r="AX74" s="79" t="n"/>
      <c r="AY74" s="79" t="n"/>
      <c r="AZ74" s="79" t="n"/>
      <c r="BA74" s="79" t="n"/>
      <c r="BB74" s="79" t="n"/>
      <c r="BC74" s="79" t="n"/>
      <c r="BD74" s="79" t="n"/>
      <c r="BE74" s="79" t="n"/>
      <c r="BF74" s="79" t="n"/>
      <c r="BH74">
        <f>IF($BK74="",-999,($BK74-$A$1)*24)</f>
        <v/>
      </c>
      <c r="BI74">
        <f>IF($BK74="",-999,(IF($BL74&lt;&gt;"",$BL74,IF($C$1&gt;$BK74,$C$1,$BK74+MAX('Data Input'!E43*$BM74,0.5)/24))-$A$1)*24)</f>
        <v/>
      </c>
      <c r="BJ74">
        <f>IF($BK74="",0,IF($BM74&gt;=1,IF($BN74&lt;=0,2,3),IF($BN74&lt;=0,4,5)))</f>
        <v/>
      </c>
      <c r="BK74">
        <f>IF('Data Input'!Q43="","",'Data Input'!Q43)</f>
        <v/>
      </c>
      <c r="BL74">
        <f>IF('Data Input'!R43="","",'Data Input'!R43)</f>
        <v/>
      </c>
      <c r="BM74">
        <f>'Data Input'!S43</f>
        <v/>
      </c>
      <c r="BN74">
        <f>'Data Input'!Y43</f>
        <v/>
      </c>
      <c r="BO74">
        <f>IF($BM74&gt;=1,-999,MAX(($C$1-$A$1)*24,IF($BK74&lt;&gt;"",$BI74,$BP74-'Data Input'!E43)))</f>
        <v/>
      </c>
      <c r="BP74">
        <f>('Data Input'!D43+'Data Input'!Y43/24-$A$1)*24</f>
        <v/>
      </c>
    </row>
    <row r="75" ht="11.5" customHeight="1">
      <c r="A75" s="68">
        <f>'Data Input'!A44</f>
        <v/>
      </c>
      <c r="B75" s="69">
        <f>'Data Input'!B44</f>
        <v/>
      </c>
      <c r="C75" s="70">
        <f>'Data Input'!O44</f>
        <v/>
      </c>
      <c r="D75" s="71">
        <f>'Data Input'!D44</f>
        <v/>
      </c>
      <c r="E75" s="72">
        <f>'Data Input'!D44+'Data Input'!Y44/24</f>
        <v/>
      </c>
      <c r="F75" s="73">
        <f>'Data Input'!Y44</f>
        <v/>
      </c>
      <c r="G75" s="74">
        <f>'Data Input'!T44</f>
        <v/>
      </c>
      <c r="H75" s="75">
        <f>'Data Input'!S44</f>
        <v/>
      </c>
      <c r="I75" s="57" t="n"/>
      <c r="J75" s="76" t="inlineStr">
        <is>
          <t>P</t>
        </is>
      </c>
      <c r="K75" s="77" t="n"/>
      <c r="L75" s="77" t="n"/>
      <c r="M75" s="77" t="n"/>
      <c r="N75" s="77" t="n"/>
      <c r="O75" s="77" t="n"/>
      <c r="P75" s="77" t="n"/>
      <c r="Q75" s="77" t="n"/>
      <c r="R75" s="77" t="n"/>
      <c r="S75" s="77" t="n"/>
      <c r="T75" s="77" t="n"/>
      <c r="U75" s="77" t="n"/>
      <c r="V75" s="77" t="n"/>
      <c r="W75" s="77" t="n"/>
      <c r="X75" s="77" t="n"/>
      <c r="Y75" s="77" t="n"/>
      <c r="Z75" s="77" t="n"/>
      <c r="AA75" s="77" t="n"/>
      <c r="AB75" s="77" t="n"/>
      <c r="AC75" s="77" t="n"/>
      <c r="AD75" s="77" t="n"/>
      <c r="AE75" s="77" t="n"/>
      <c r="AF75" s="77" t="n"/>
      <c r="AG75" s="77" t="n"/>
      <c r="AH75" s="77" t="n"/>
      <c r="AI75" s="77" t="n"/>
      <c r="AJ75" s="77" t="n"/>
      <c r="AK75" s="77" t="n"/>
      <c r="AL75" s="77" t="n"/>
      <c r="AM75" s="77" t="n"/>
      <c r="AN75" s="77" t="n"/>
      <c r="AO75" s="77" t="n"/>
      <c r="AP75" s="77" t="n"/>
      <c r="AQ75" s="77" t="n"/>
      <c r="AR75" s="77" t="n"/>
      <c r="AS75" s="77" t="n"/>
      <c r="AT75" s="77" t="n"/>
      <c r="AU75" s="77" t="n"/>
      <c r="AV75" s="77" t="n"/>
      <c r="AW75" s="77" t="n"/>
      <c r="AX75" s="77" t="n"/>
      <c r="AY75" s="77" t="n"/>
      <c r="AZ75" s="77" t="n"/>
      <c r="BA75" s="77" t="n"/>
      <c r="BB75" s="77" t="n"/>
      <c r="BC75" s="77" t="n"/>
      <c r="BD75" s="77" t="n"/>
      <c r="BE75" s="77" t="n"/>
      <c r="BF75" s="77" t="n"/>
      <c r="BH75">
        <f>('Data Input'!C44-$A$1)*24</f>
        <v/>
      </c>
      <c r="BI75">
        <f>('Data Input'!D44-$A$1)*24</f>
        <v/>
      </c>
      <c r="BJ75" t="n">
        <v>1</v>
      </c>
      <c r="BO75" t="n">
        <v>-999</v>
      </c>
      <c r="BP75" t="n">
        <v>-999</v>
      </c>
    </row>
    <row r="76" ht="11.5" customHeight="1">
      <c r="A76" s="78" t="n"/>
      <c r="B76" s="78" t="n"/>
      <c r="C76" s="78" t="n"/>
      <c r="D76" s="78" t="n"/>
      <c r="E76" s="78" t="n"/>
      <c r="F76" s="78" t="n"/>
      <c r="G76" s="78" t="n"/>
      <c r="H76" s="78" t="n"/>
      <c r="I76" s="78" t="n"/>
      <c r="J76" s="76" t="inlineStr">
        <is>
          <t>A</t>
        </is>
      </c>
      <c r="K76" s="79" t="n"/>
      <c r="L76" s="79" t="n"/>
      <c r="M76" s="79" t="n"/>
      <c r="N76" s="79" t="n"/>
      <c r="O76" s="79" t="n"/>
      <c r="P76" s="79" t="n"/>
      <c r="Q76" s="79" t="n"/>
      <c r="R76" s="79" t="n"/>
      <c r="S76" s="79" t="n"/>
      <c r="T76" s="79" t="n"/>
      <c r="U76" s="79" t="n"/>
      <c r="V76" s="79" t="n"/>
      <c r="W76" s="79" t="n"/>
      <c r="X76" s="79" t="n"/>
      <c r="Y76" s="79" t="n"/>
      <c r="Z76" s="79" t="n"/>
      <c r="AA76" s="79" t="n"/>
      <c r="AB76" s="79" t="n"/>
      <c r="AC76" s="79" t="n"/>
      <c r="AD76" s="79" t="n"/>
      <c r="AE76" s="79" t="n"/>
      <c r="AF76" s="79" t="n"/>
      <c r="AG76" s="79" t="n"/>
      <c r="AH76" s="79" t="n"/>
      <c r="AI76" s="79" t="n"/>
      <c r="AJ76" s="79" t="n"/>
      <c r="AK76" s="79" t="n"/>
      <c r="AL76" s="79" t="n"/>
      <c r="AM76" s="79" t="n"/>
      <c r="AN76" s="79" t="n"/>
      <c r="AO76" s="79" t="n"/>
      <c r="AP76" s="79" t="n"/>
      <c r="AQ76" s="79" t="n"/>
      <c r="AR76" s="79" t="n"/>
      <c r="AS76" s="79" t="n"/>
      <c r="AT76" s="79" t="n"/>
      <c r="AU76" s="79" t="n"/>
      <c r="AV76" s="79" t="n"/>
      <c r="AW76" s="79" t="n"/>
      <c r="AX76" s="79" t="n"/>
      <c r="AY76" s="79" t="n"/>
      <c r="AZ76" s="79" t="n"/>
      <c r="BA76" s="79" t="n"/>
      <c r="BB76" s="79" t="n"/>
      <c r="BC76" s="79" t="n"/>
      <c r="BD76" s="79" t="n"/>
      <c r="BE76" s="79" t="n"/>
      <c r="BF76" s="79" t="n"/>
      <c r="BH76">
        <f>IF($BK76="",-999,($BK76-$A$1)*24)</f>
        <v/>
      </c>
      <c r="BI76">
        <f>IF($BK76="",-999,(IF($BL76&lt;&gt;"",$BL76,IF($C$1&gt;$BK76,$C$1,$BK76+MAX('Data Input'!E44*$BM76,0.5)/24))-$A$1)*24)</f>
        <v/>
      </c>
      <c r="BJ76">
        <f>IF($BK76="",0,IF($BM76&gt;=1,IF($BN76&lt;=0,2,3),IF($BN76&lt;=0,4,5)))</f>
        <v/>
      </c>
      <c r="BK76">
        <f>IF('Data Input'!Q44="","",'Data Input'!Q44)</f>
        <v/>
      </c>
      <c r="BL76">
        <f>IF('Data Input'!R44="","",'Data Input'!R44)</f>
        <v/>
      </c>
      <c r="BM76">
        <f>'Data Input'!S44</f>
        <v/>
      </c>
      <c r="BN76">
        <f>'Data Input'!Y44</f>
        <v/>
      </c>
      <c r="BO76">
        <f>IF($BM76&gt;=1,-999,MAX(($C$1-$A$1)*24,IF($BK76&lt;&gt;"",$BI76,$BP76-'Data Input'!E44)))</f>
        <v/>
      </c>
      <c r="BP76">
        <f>('Data Input'!D44+'Data Input'!Y44/24-$A$1)*24</f>
        <v/>
      </c>
    </row>
    <row r="77" ht="11.5" customHeight="1">
      <c r="A77" s="68">
        <f>'Data Input'!A45</f>
        <v/>
      </c>
      <c r="B77" s="69">
        <f>'Data Input'!B45</f>
        <v/>
      </c>
      <c r="C77" s="70">
        <f>'Data Input'!O45</f>
        <v/>
      </c>
      <c r="D77" s="71">
        <f>'Data Input'!D45</f>
        <v/>
      </c>
      <c r="E77" s="72">
        <f>'Data Input'!D45+'Data Input'!Y45/24</f>
        <v/>
      </c>
      <c r="F77" s="73">
        <f>'Data Input'!Y45</f>
        <v/>
      </c>
      <c r="G77" s="74">
        <f>'Data Input'!T45</f>
        <v/>
      </c>
      <c r="H77" s="75">
        <f>'Data Input'!S45</f>
        <v/>
      </c>
      <c r="I77" s="57" t="n"/>
      <c r="J77" s="76" t="inlineStr">
        <is>
          <t>P</t>
        </is>
      </c>
      <c r="K77" s="77" t="n"/>
      <c r="L77" s="77" t="n"/>
      <c r="M77" s="77" t="n"/>
      <c r="N77" s="77" t="n"/>
      <c r="O77" s="77" t="n"/>
      <c r="P77" s="77" t="n"/>
      <c r="Q77" s="77" t="n"/>
      <c r="R77" s="77" t="n"/>
      <c r="S77" s="77" t="n"/>
      <c r="T77" s="77" t="n"/>
      <c r="U77" s="77" t="n"/>
      <c r="V77" s="77" t="n"/>
      <c r="W77" s="77" t="n"/>
      <c r="X77" s="77" t="n"/>
      <c r="Y77" s="77" t="n"/>
      <c r="Z77" s="77" t="n"/>
      <c r="AA77" s="77" t="n"/>
      <c r="AB77" s="77" t="n"/>
      <c r="AC77" s="77" t="n"/>
      <c r="AD77" s="77" t="n"/>
      <c r="AE77" s="77" t="n"/>
      <c r="AF77" s="77" t="n"/>
      <c r="AG77" s="77" t="n"/>
      <c r="AH77" s="77" t="n"/>
      <c r="AI77" s="77" t="n"/>
      <c r="AJ77" s="77" t="n"/>
      <c r="AK77" s="77" t="n"/>
      <c r="AL77" s="77" t="n"/>
      <c r="AM77" s="77" t="n"/>
      <c r="AN77" s="77" t="n"/>
      <c r="AO77" s="77" t="n"/>
      <c r="AP77" s="77" t="n"/>
      <c r="AQ77" s="77" t="n"/>
      <c r="AR77" s="77" t="n"/>
      <c r="AS77" s="77" t="n"/>
      <c r="AT77" s="77" t="n"/>
      <c r="AU77" s="77" t="n"/>
      <c r="AV77" s="77" t="n"/>
      <c r="AW77" s="77" t="n"/>
      <c r="AX77" s="77" t="n"/>
      <c r="AY77" s="77" t="n"/>
      <c r="AZ77" s="77" t="n"/>
      <c r="BA77" s="77" t="n"/>
      <c r="BB77" s="77" t="n"/>
      <c r="BC77" s="77" t="n"/>
      <c r="BD77" s="77" t="n"/>
      <c r="BE77" s="77" t="n"/>
      <c r="BF77" s="77" t="n"/>
      <c r="BH77">
        <f>('Data Input'!C45-$A$1)*24</f>
        <v/>
      </c>
      <c r="BI77">
        <f>('Data Input'!D45-$A$1)*24</f>
        <v/>
      </c>
      <c r="BJ77" t="n">
        <v>1</v>
      </c>
      <c r="BO77" t="n">
        <v>-999</v>
      </c>
      <c r="BP77" t="n">
        <v>-999</v>
      </c>
    </row>
    <row r="78" ht="11.5" customHeight="1">
      <c r="A78" s="78" t="n"/>
      <c r="B78" s="78" t="n"/>
      <c r="C78" s="78" t="n"/>
      <c r="D78" s="78" t="n"/>
      <c r="E78" s="78" t="n"/>
      <c r="F78" s="78" t="n"/>
      <c r="G78" s="78" t="n"/>
      <c r="H78" s="78" t="n"/>
      <c r="I78" s="78" t="n"/>
      <c r="J78" s="76" t="inlineStr">
        <is>
          <t>A</t>
        </is>
      </c>
      <c r="K78" s="79" t="n"/>
      <c r="L78" s="79" t="n"/>
      <c r="M78" s="79" t="n"/>
      <c r="N78" s="79" t="n"/>
      <c r="O78" s="79" t="n"/>
      <c r="P78" s="79" t="n"/>
      <c r="Q78" s="79" t="n"/>
      <c r="R78" s="79" t="n"/>
      <c r="S78" s="79" t="n"/>
      <c r="T78" s="79" t="n"/>
      <c r="U78" s="79" t="n"/>
      <c r="V78" s="79" t="n"/>
      <c r="W78" s="79" t="n"/>
      <c r="X78" s="79" t="n"/>
      <c r="Y78" s="79" t="n"/>
      <c r="Z78" s="79" t="n"/>
      <c r="AA78" s="79" t="n"/>
      <c r="AB78" s="79" t="n"/>
      <c r="AC78" s="79" t="n"/>
      <c r="AD78" s="79" t="n"/>
      <c r="AE78" s="79" t="n"/>
      <c r="AF78" s="79" t="n"/>
      <c r="AG78" s="79" t="n"/>
      <c r="AH78" s="79" t="n"/>
      <c r="AI78" s="79" t="n"/>
      <c r="AJ78" s="79" t="n"/>
      <c r="AK78" s="79" t="n"/>
      <c r="AL78" s="79" t="n"/>
      <c r="AM78" s="79" t="n"/>
      <c r="AN78" s="79" t="n"/>
      <c r="AO78" s="79" t="n"/>
      <c r="AP78" s="79" t="n"/>
      <c r="AQ78" s="79" t="n"/>
      <c r="AR78" s="79" t="n"/>
      <c r="AS78" s="79" t="n"/>
      <c r="AT78" s="79" t="n"/>
      <c r="AU78" s="79" t="n"/>
      <c r="AV78" s="79" t="n"/>
      <c r="AW78" s="79" t="n"/>
      <c r="AX78" s="79" t="n"/>
      <c r="AY78" s="79" t="n"/>
      <c r="AZ78" s="79" t="n"/>
      <c r="BA78" s="79" t="n"/>
      <c r="BB78" s="79" t="n"/>
      <c r="BC78" s="79" t="n"/>
      <c r="BD78" s="79" t="n"/>
      <c r="BE78" s="79" t="n"/>
      <c r="BF78" s="79" t="n"/>
      <c r="BH78">
        <f>IF($BK78="",-999,($BK78-$A$1)*24)</f>
        <v/>
      </c>
      <c r="BI78">
        <f>IF($BK78="",-999,(IF($BL78&lt;&gt;"",$BL78,IF($C$1&gt;$BK78,$C$1,$BK78+MAX('Data Input'!E45*$BM78,0.5)/24))-$A$1)*24)</f>
        <v/>
      </c>
      <c r="BJ78">
        <f>IF($BK78="",0,IF($BM78&gt;=1,IF($BN78&lt;=0,2,3),IF($BN78&lt;=0,4,5)))</f>
        <v/>
      </c>
      <c r="BK78">
        <f>IF('Data Input'!Q45="","",'Data Input'!Q45)</f>
        <v/>
      </c>
      <c r="BL78">
        <f>IF('Data Input'!R45="","",'Data Input'!R45)</f>
        <v/>
      </c>
      <c r="BM78">
        <f>'Data Input'!S45</f>
        <v/>
      </c>
      <c r="BN78">
        <f>'Data Input'!Y45</f>
        <v/>
      </c>
      <c r="BO78">
        <f>IF($BM78&gt;=1,-999,MAX(($C$1-$A$1)*24,IF($BK78&lt;&gt;"",$BI78,$BP78-'Data Input'!E45)))</f>
        <v/>
      </c>
      <c r="BP78">
        <f>('Data Input'!D45+'Data Input'!Y45/24-$A$1)*24</f>
        <v/>
      </c>
    </row>
    <row r="79" ht="11.5" customHeight="1">
      <c r="A79" s="68">
        <f>'Data Input'!A46</f>
        <v/>
      </c>
      <c r="B79" s="69">
        <f>'Data Input'!B46</f>
        <v/>
      </c>
      <c r="C79" s="70">
        <f>'Data Input'!O46</f>
        <v/>
      </c>
      <c r="D79" s="71">
        <f>'Data Input'!D46</f>
        <v/>
      </c>
      <c r="E79" s="72">
        <f>'Data Input'!D46+'Data Input'!Y46/24</f>
        <v/>
      </c>
      <c r="F79" s="73">
        <f>'Data Input'!Y46</f>
        <v/>
      </c>
      <c r="G79" s="74">
        <f>'Data Input'!T46</f>
        <v/>
      </c>
      <c r="H79" s="75">
        <f>'Data Input'!S46</f>
        <v/>
      </c>
      <c r="I79" s="57" t="n"/>
      <c r="J79" s="76" t="inlineStr">
        <is>
          <t>P</t>
        </is>
      </c>
      <c r="K79" s="77" t="n"/>
      <c r="L79" s="77" t="n"/>
      <c r="M79" s="77" t="n"/>
      <c r="N79" s="77" t="n"/>
      <c r="O79" s="77" t="n"/>
      <c r="P79" s="77" t="n"/>
      <c r="Q79" s="77" t="n"/>
      <c r="R79" s="77" t="n"/>
      <c r="S79" s="77" t="n"/>
      <c r="T79" s="77" t="n"/>
      <c r="U79" s="77" t="n"/>
      <c r="V79" s="77" t="n"/>
      <c r="W79" s="77" t="n"/>
      <c r="X79" s="77" t="n"/>
      <c r="Y79" s="77" t="n"/>
      <c r="Z79" s="77" t="n"/>
      <c r="AA79" s="77" t="n"/>
      <c r="AB79" s="77" t="n"/>
      <c r="AC79" s="77" t="n"/>
      <c r="AD79" s="77" t="n"/>
      <c r="AE79" s="77" t="n"/>
      <c r="AF79" s="77" t="n"/>
      <c r="AG79" s="77" t="n"/>
      <c r="AH79" s="77" t="n"/>
      <c r="AI79" s="77" t="n"/>
      <c r="AJ79" s="77" t="n"/>
      <c r="AK79" s="77" t="n"/>
      <c r="AL79" s="77" t="n"/>
      <c r="AM79" s="77" t="n"/>
      <c r="AN79" s="77" t="n"/>
      <c r="AO79" s="77" t="n"/>
      <c r="AP79" s="77" t="n"/>
      <c r="AQ79" s="77" t="n"/>
      <c r="AR79" s="77" t="n"/>
      <c r="AS79" s="77" t="n"/>
      <c r="AT79" s="77" t="n"/>
      <c r="AU79" s="77" t="n"/>
      <c r="AV79" s="77" t="n"/>
      <c r="AW79" s="77" t="n"/>
      <c r="AX79" s="77" t="n"/>
      <c r="AY79" s="77" t="n"/>
      <c r="AZ79" s="77" t="n"/>
      <c r="BA79" s="77" t="n"/>
      <c r="BB79" s="77" t="n"/>
      <c r="BC79" s="77" t="n"/>
      <c r="BD79" s="77" t="n"/>
      <c r="BE79" s="77" t="n"/>
      <c r="BF79" s="77" t="n"/>
      <c r="BH79">
        <f>('Data Input'!C46-$A$1)*24</f>
        <v/>
      </c>
      <c r="BI79">
        <f>('Data Input'!D46-$A$1)*24</f>
        <v/>
      </c>
      <c r="BJ79" t="n">
        <v>1</v>
      </c>
      <c r="BO79" t="n">
        <v>-999</v>
      </c>
      <c r="BP79" t="n">
        <v>-999</v>
      </c>
    </row>
    <row r="80" ht="11.5" customHeight="1">
      <c r="A80" s="78" t="n"/>
      <c r="B80" s="78" t="n"/>
      <c r="C80" s="78" t="n"/>
      <c r="D80" s="78" t="n"/>
      <c r="E80" s="78" t="n"/>
      <c r="F80" s="78" t="n"/>
      <c r="G80" s="78" t="n"/>
      <c r="H80" s="78" t="n"/>
      <c r="I80" s="78" t="n"/>
      <c r="J80" s="76" t="inlineStr">
        <is>
          <t>A</t>
        </is>
      </c>
      <c r="K80" s="79" t="n"/>
      <c r="L80" s="79" t="n"/>
      <c r="M80" s="79" t="n"/>
      <c r="N80" s="79" t="n"/>
      <c r="O80" s="79" t="n"/>
      <c r="P80" s="79" t="n"/>
      <c r="Q80" s="79" t="n"/>
      <c r="R80" s="79" t="n"/>
      <c r="S80" s="79" t="n"/>
      <c r="T80" s="79" t="n"/>
      <c r="U80" s="79" t="n"/>
      <c r="V80" s="79" t="n"/>
      <c r="W80" s="79" t="n"/>
      <c r="X80" s="79" t="n"/>
      <c r="Y80" s="79" t="n"/>
      <c r="Z80" s="79" t="n"/>
      <c r="AA80" s="79" t="n"/>
      <c r="AB80" s="79" t="n"/>
      <c r="AC80" s="79" t="n"/>
      <c r="AD80" s="79" t="n"/>
      <c r="AE80" s="79" t="n"/>
      <c r="AF80" s="79" t="n"/>
      <c r="AG80" s="79" t="n"/>
      <c r="AH80" s="79" t="n"/>
      <c r="AI80" s="79" t="n"/>
      <c r="AJ80" s="79" t="n"/>
      <c r="AK80" s="79" t="n"/>
      <c r="AL80" s="79" t="n"/>
      <c r="AM80" s="79" t="n"/>
      <c r="AN80" s="79" t="n"/>
      <c r="AO80" s="79" t="n"/>
      <c r="AP80" s="79" t="n"/>
      <c r="AQ80" s="79" t="n"/>
      <c r="AR80" s="79" t="n"/>
      <c r="AS80" s="79" t="n"/>
      <c r="AT80" s="79" t="n"/>
      <c r="AU80" s="79" t="n"/>
      <c r="AV80" s="79" t="n"/>
      <c r="AW80" s="79" t="n"/>
      <c r="AX80" s="79" t="n"/>
      <c r="AY80" s="79" t="n"/>
      <c r="AZ80" s="79" t="n"/>
      <c r="BA80" s="79" t="n"/>
      <c r="BB80" s="79" t="n"/>
      <c r="BC80" s="79" t="n"/>
      <c r="BD80" s="79" t="n"/>
      <c r="BE80" s="79" t="n"/>
      <c r="BF80" s="79" t="n"/>
      <c r="BH80">
        <f>IF($BK80="",-999,($BK80-$A$1)*24)</f>
        <v/>
      </c>
      <c r="BI80">
        <f>IF($BK80="",-999,(IF($BL80&lt;&gt;"",$BL80,IF($C$1&gt;$BK80,$C$1,$BK80+MAX('Data Input'!E46*$BM80,0.5)/24))-$A$1)*24)</f>
        <v/>
      </c>
      <c r="BJ80">
        <f>IF($BK80="",0,IF($BM80&gt;=1,IF($BN80&lt;=0,2,3),IF($BN80&lt;=0,4,5)))</f>
        <v/>
      </c>
      <c r="BK80">
        <f>IF('Data Input'!Q46="","",'Data Input'!Q46)</f>
        <v/>
      </c>
      <c r="BL80">
        <f>IF('Data Input'!R46="","",'Data Input'!R46)</f>
        <v/>
      </c>
      <c r="BM80">
        <f>'Data Input'!S46</f>
        <v/>
      </c>
      <c r="BN80">
        <f>'Data Input'!Y46</f>
        <v/>
      </c>
      <c r="BO80">
        <f>IF($BM80&gt;=1,-999,MAX(($C$1-$A$1)*24,IF($BK80&lt;&gt;"",$BI80,$BP80-'Data Input'!E46)))</f>
        <v/>
      </c>
      <c r="BP80">
        <f>('Data Input'!D46+'Data Input'!Y46/24-$A$1)*24</f>
        <v/>
      </c>
    </row>
    <row r="81" ht="11.5" customHeight="1">
      <c r="A81" s="68">
        <f>'Data Input'!A47</f>
        <v/>
      </c>
      <c r="B81" s="69">
        <f>'Data Input'!B47</f>
        <v/>
      </c>
      <c r="C81" s="70">
        <f>'Data Input'!O47</f>
        <v/>
      </c>
      <c r="D81" s="71">
        <f>'Data Input'!D47</f>
        <v/>
      </c>
      <c r="E81" s="72">
        <f>'Data Input'!D47+'Data Input'!Y47/24</f>
        <v/>
      </c>
      <c r="F81" s="73">
        <f>'Data Input'!Y47</f>
        <v/>
      </c>
      <c r="G81" s="74">
        <f>'Data Input'!T47</f>
        <v/>
      </c>
      <c r="H81" s="75">
        <f>'Data Input'!S47</f>
        <v/>
      </c>
      <c r="I81" s="57" t="n"/>
      <c r="J81" s="76" t="inlineStr">
        <is>
          <t>P</t>
        </is>
      </c>
      <c r="K81" s="77" t="n"/>
      <c r="L81" s="77" t="n"/>
      <c r="M81" s="77" t="n"/>
      <c r="N81" s="77" t="n"/>
      <c r="O81" s="77" t="n"/>
      <c r="P81" s="77" t="n"/>
      <c r="Q81" s="77" t="n"/>
      <c r="R81" s="77" t="n"/>
      <c r="S81" s="77" t="n"/>
      <c r="T81" s="77" t="n"/>
      <c r="U81" s="77" t="n"/>
      <c r="V81" s="77" t="n"/>
      <c r="W81" s="77" t="n"/>
      <c r="X81" s="77" t="n"/>
      <c r="Y81" s="77" t="n"/>
      <c r="Z81" s="77" t="n"/>
      <c r="AA81" s="77" t="n"/>
      <c r="AB81" s="77" t="n"/>
      <c r="AC81" s="77" t="n"/>
      <c r="AD81" s="77" t="n"/>
      <c r="AE81" s="77" t="n"/>
      <c r="AF81" s="77" t="n"/>
      <c r="AG81" s="77" t="n"/>
      <c r="AH81" s="77" t="n"/>
      <c r="AI81" s="77" t="n"/>
      <c r="AJ81" s="77" t="n"/>
      <c r="AK81" s="77" t="n"/>
      <c r="AL81" s="77" t="n"/>
      <c r="AM81" s="77" t="n"/>
      <c r="AN81" s="77" t="n"/>
      <c r="AO81" s="77" t="n"/>
      <c r="AP81" s="77" t="n"/>
      <c r="AQ81" s="77" t="n"/>
      <c r="AR81" s="77" t="n"/>
      <c r="AS81" s="77" t="n"/>
      <c r="AT81" s="77" t="n"/>
      <c r="AU81" s="77" t="n"/>
      <c r="AV81" s="77" t="n"/>
      <c r="AW81" s="77" t="n"/>
      <c r="AX81" s="77" t="n"/>
      <c r="AY81" s="77" t="n"/>
      <c r="AZ81" s="77" t="n"/>
      <c r="BA81" s="77" t="n"/>
      <c r="BB81" s="77" t="n"/>
      <c r="BC81" s="77" t="n"/>
      <c r="BD81" s="77" t="n"/>
      <c r="BE81" s="77" t="n"/>
      <c r="BF81" s="77" t="n"/>
      <c r="BH81">
        <f>('Data Input'!C47-$A$1)*24</f>
        <v/>
      </c>
      <c r="BI81">
        <f>('Data Input'!D47-$A$1)*24</f>
        <v/>
      </c>
      <c r="BJ81" t="n">
        <v>1</v>
      </c>
      <c r="BO81" t="n">
        <v>-999</v>
      </c>
      <c r="BP81" t="n">
        <v>-999</v>
      </c>
    </row>
    <row r="82" ht="11.5" customHeight="1">
      <c r="A82" s="78" t="n"/>
      <c r="B82" s="78" t="n"/>
      <c r="C82" s="78" t="n"/>
      <c r="D82" s="78" t="n"/>
      <c r="E82" s="78" t="n"/>
      <c r="F82" s="78" t="n"/>
      <c r="G82" s="78" t="n"/>
      <c r="H82" s="78" t="n"/>
      <c r="I82" s="78" t="n"/>
      <c r="J82" s="76" t="inlineStr">
        <is>
          <t>A</t>
        </is>
      </c>
      <c r="K82" s="79" t="n"/>
      <c r="L82" s="79" t="n"/>
      <c r="M82" s="79" t="n"/>
      <c r="N82" s="79" t="n"/>
      <c r="O82" s="79" t="n"/>
      <c r="P82" s="79" t="n"/>
      <c r="Q82" s="79" t="n"/>
      <c r="R82" s="79" t="n"/>
      <c r="S82" s="79" t="n"/>
      <c r="T82" s="79" t="n"/>
      <c r="U82" s="79" t="n"/>
      <c r="V82" s="79" t="n"/>
      <c r="W82" s="79" t="n"/>
      <c r="X82" s="79" t="n"/>
      <c r="Y82" s="79" t="n"/>
      <c r="Z82" s="79" t="n"/>
      <c r="AA82" s="79" t="n"/>
      <c r="AB82" s="79" t="n"/>
      <c r="AC82" s="79" t="n"/>
      <c r="AD82" s="79" t="n"/>
      <c r="AE82" s="79" t="n"/>
      <c r="AF82" s="79" t="n"/>
      <c r="AG82" s="79" t="n"/>
      <c r="AH82" s="79" t="n"/>
      <c r="AI82" s="79" t="n"/>
      <c r="AJ82" s="79" t="n"/>
      <c r="AK82" s="79" t="n"/>
      <c r="AL82" s="79" t="n"/>
      <c r="AM82" s="79" t="n"/>
      <c r="AN82" s="79" t="n"/>
      <c r="AO82" s="79" t="n"/>
      <c r="AP82" s="79" t="n"/>
      <c r="AQ82" s="79" t="n"/>
      <c r="AR82" s="79" t="n"/>
      <c r="AS82" s="79" t="n"/>
      <c r="AT82" s="79" t="n"/>
      <c r="AU82" s="79" t="n"/>
      <c r="AV82" s="79" t="n"/>
      <c r="AW82" s="79" t="n"/>
      <c r="AX82" s="79" t="n"/>
      <c r="AY82" s="79" t="n"/>
      <c r="AZ82" s="79" t="n"/>
      <c r="BA82" s="79" t="n"/>
      <c r="BB82" s="79" t="n"/>
      <c r="BC82" s="79" t="n"/>
      <c r="BD82" s="79" t="n"/>
      <c r="BE82" s="79" t="n"/>
      <c r="BF82" s="79" t="n"/>
      <c r="BH82">
        <f>IF($BK82="",-999,($BK82-$A$1)*24)</f>
        <v/>
      </c>
      <c r="BI82">
        <f>IF($BK82="",-999,(IF($BL82&lt;&gt;"",$BL82,IF($C$1&gt;$BK82,$C$1,$BK82+MAX('Data Input'!E47*$BM82,0.5)/24))-$A$1)*24)</f>
        <v/>
      </c>
      <c r="BJ82">
        <f>IF($BK82="",0,IF($BM82&gt;=1,IF($BN82&lt;=0,2,3),IF($BN82&lt;=0,4,5)))</f>
        <v/>
      </c>
      <c r="BK82">
        <f>IF('Data Input'!Q47="","",'Data Input'!Q47)</f>
        <v/>
      </c>
      <c r="BL82">
        <f>IF('Data Input'!R47="","",'Data Input'!R47)</f>
        <v/>
      </c>
      <c r="BM82">
        <f>'Data Input'!S47</f>
        <v/>
      </c>
      <c r="BN82">
        <f>'Data Input'!Y47</f>
        <v/>
      </c>
      <c r="BO82">
        <f>IF($BM82&gt;=1,-999,MAX(($C$1-$A$1)*24,IF($BK82&lt;&gt;"",$BI82,$BP82-'Data Input'!E47)))</f>
        <v/>
      </c>
      <c r="BP82">
        <f>('Data Input'!D47+'Data Input'!Y47/24-$A$1)*24</f>
        <v/>
      </c>
    </row>
    <row r="83" ht="11.5" customHeight="1">
      <c r="A83" s="68">
        <f>'Data Input'!A48</f>
        <v/>
      </c>
      <c r="B83" s="69">
        <f>'Data Input'!B48</f>
        <v/>
      </c>
      <c r="C83" s="70">
        <f>'Data Input'!O48</f>
        <v/>
      </c>
      <c r="D83" s="71">
        <f>'Data Input'!D48</f>
        <v/>
      </c>
      <c r="E83" s="72">
        <f>'Data Input'!D48+'Data Input'!Y48/24</f>
        <v/>
      </c>
      <c r="F83" s="73">
        <f>'Data Input'!Y48</f>
        <v/>
      </c>
      <c r="G83" s="74">
        <f>'Data Input'!T48</f>
        <v/>
      </c>
      <c r="H83" s="75">
        <f>'Data Input'!S48</f>
        <v/>
      </c>
      <c r="I83" s="57" t="n"/>
      <c r="J83" s="76" t="inlineStr">
        <is>
          <t>P</t>
        </is>
      </c>
      <c r="K83" s="77" t="n"/>
      <c r="L83" s="77" t="n"/>
      <c r="M83" s="77" t="n"/>
      <c r="N83" s="77" t="n"/>
      <c r="O83" s="77" t="n"/>
      <c r="P83" s="77" t="n"/>
      <c r="Q83" s="77" t="n"/>
      <c r="R83" s="77" t="n"/>
      <c r="S83" s="77" t="n"/>
      <c r="T83" s="77" t="n"/>
      <c r="U83" s="77" t="n"/>
      <c r="V83" s="77" t="n"/>
      <c r="W83" s="77" t="n"/>
      <c r="X83" s="77" t="n"/>
      <c r="Y83" s="77" t="n"/>
      <c r="Z83" s="77" t="n"/>
      <c r="AA83" s="77" t="n"/>
      <c r="AB83" s="77" t="n"/>
      <c r="AC83" s="77" t="n"/>
      <c r="AD83" s="77" t="n"/>
      <c r="AE83" s="77" t="n"/>
      <c r="AF83" s="77" t="n"/>
      <c r="AG83" s="77" t="n"/>
      <c r="AH83" s="77" t="n"/>
      <c r="AI83" s="77" t="n"/>
      <c r="AJ83" s="77" t="n"/>
      <c r="AK83" s="77" t="n"/>
      <c r="AL83" s="77" t="n"/>
      <c r="AM83" s="77" t="n"/>
      <c r="AN83" s="77" t="n"/>
      <c r="AO83" s="77" t="n"/>
      <c r="AP83" s="77" t="n"/>
      <c r="AQ83" s="77" t="n"/>
      <c r="AR83" s="77" t="n"/>
      <c r="AS83" s="77" t="n"/>
      <c r="AT83" s="77" t="n"/>
      <c r="AU83" s="77" t="n"/>
      <c r="AV83" s="77" t="n"/>
      <c r="AW83" s="77" t="n"/>
      <c r="AX83" s="77" t="n"/>
      <c r="AY83" s="77" t="n"/>
      <c r="AZ83" s="77" t="n"/>
      <c r="BA83" s="77" t="n"/>
      <c r="BB83" s="77" t="n"/>
      <c r="BC83" s="77" t="n"/>
      <c r="BD83" s="77" t="n"/>
      <c r="BE83" s="77" t="n"/>
      <c r="BF83" s="77" t="n"/>
      <c r="BH83">
        <f>('Data Input'!C48-$A$1)*24</f>
        <v/>
      </c>
      <c r="BI83">
        <f>('Data Input'!D48-$A$1)*24</f>
        <v/>
      </c>
      <c r="BJ83" t="n">
        <v>1</v>
      </c>
      <c r="BO83" t="n">
        <v>-999</v>
      </c>
      <c r="BP83" t="n">
        <v>-999</v>
      </c>
    </row>
    <row r="84" ht="11.5" customHeight="1">
      <c r="A84" s="78" t="n"/>
      <c r="B84" s="78" t="n"/>
      <c r="C84" s="78" t="n"/>
      <c r="D84" s="78" t="n"/>
      <c r="E84" s="78" t="n"/>
      <c r="F84" s="78" t="n"/>
      <c r="G84" s="78" t="n"/>
      <c r="H84" s="78" t="n"/>
      <c r="I84" s="78" t="n"/>
      <c r="J84" s="76" t="inlineStr">
        <is>
          <t>A</t>
        </is>
      </c>
      <c r="K84" s="79" t="n"/>
      <c r="L84" s="79" t="n"/>
      <c r="M84" s="79" t="n"/>
      <c r="N84" s="79" t="n"/>
      <c r="O84" s="79" t="n"/>
      <c r="P84" s="79" t="n"/>
      <c r="Q84" s="79" t="n"/>
      <c r="R84" s="79" t="n"/>
      <c r="S84" s="79" t="n"/>
      <c r="T84" s="79" t="n"/>
      <c r="U84" s="79" t="n"/>
      <c r="V84" s="79" t="n"/>
      <c r="W84" s="79" t="n"/>
      <c r="X84" s="79" t="n"/>
      <c r="Y84" s="79" t="n"/>
      <c r="Z84" s="79" t="n"/>
      <c r="AA84" s="79" t="n"/>
      <c r="AB84" s="79" t="n"/>
      <c r="AC84" s="79" t="n"/>
      <c r="AD84" s="79" t="n"/>
      <c r="AE84" s="79" t="n"/>
      <c r="AF84" s="79" t="n"/>
      <c r="AG84" s="79" t="n"/>
      <c r="AH84" s="79" t="n"/>
      <c r="AI84" s="79" t="n"/>
      <c r="AJ84" s="79" t="n"/>
      <c r="AK84" s="79" t="n"/>
      <c r="AL84" s="79" t="n"/>
      <c r="AM84" s="79" t="n"/>
      <c r="AN84" s="79" t="n"/>
      <c r="AO84" s="79" t="n"/>
      <c r="AP84" s="79" t="n"/>
      <c r="AQ84" s="79" t="n"/>
      <c r="AR84" s="79" t="n"/>
      <c r="AS84" s="79" t="n"/>
      <c r="AT84" s="79" t="n"/>
      <c r="AU84" s="79" t="n"/>
      <c r="AV84" s="79" t="n"/>
      <c r="AW84" s="79" t="n"/>
      <c r="AX84" s="79" t="n"/>
      <c r="AY84" s="79" t="n"/>
      <c r="AZ84" s="79" t="n"/>
      <c r="BA84" s="79" t="n"/>
      <c r="BB84" s="79" t="n"/>
      <c r="BC84" s="79" t="n"/>
      <c r="BD84" s="79" t="n"/>
      <c r="BE84" s="79" t="n"/>
      <c r="BF84" s="79" t="n"/>
      <c r="BH84">
        <f>IF($BK84="",-999,($BK84-$A$1)*24)</f>
        <v/>
      </c>
      <c r="BI84">
        <f>IF($BK84="",-999,(IF($BL84&lt;&gt;"",$BL84,IF($C$1&gt;$BK84,$C$1,$BK84+MAX('Data Input'!E48*$BM84,0.5)/24))-$A$1)*24)</f>
        <v/>
      </c>
      <c r="BJ84">
        <f>IF($BK84="",0,IF($BM84&gt;=1,IF($BN84&lt;=0,2,3),IF($BN84&lt;=0,4,5)))</f>
        <v/>
      </c>
      <c r="BK84">
        <f>IF('Data Input'!Q48="","",'Data Input'!Q48)</f>
        <v/>
      </c>
      <c r="BL84">
        <f>IF('Data Input'!R48="","",'Data Input'!R48)</f>
        <v/>
      </c>
      <c r="BM84">
        <f>'Data Input'!S48</f>
        <v/>
      </c>
      <c r="BN84">
        <f>'Data Input'!Y48</f>
        <v/>
      </c>
      <c r="BO84">
        <f>IF($BM84&gt;=1,-999,MAX(($C$1-$A$1)*24,IF($BK84&lt;&gt;"",$BI84,$BP84-'Data Input'!E48)))</f>
        <v/>
      </c>
      <c r="BP84">
        <f>('Data Input'!D48+'Data Input'!Y48/24-$A$1)*24</f>
        <v/>
      </c>
    </row>
    <row r="85" ht="11.5" customHeight="1">
      <c r="A85" s="68">
        <f>'Data Input'!A49</f>
        <v/>
      </c>
      <c r="B85" s="69">
        <f>'Data Input'!B49</f>
        <v/>
      </c>
      <c r="C85" s="70">
        <f>'Data Input'!O49</f>
        <v/>
      </c>
      <c r="D85" s="71">
        <f>'Data Input'!D49</f>
        <v/>
      </c>
      <c r="E85" s="72">
        <f>'Data Input'!D49+'Data Input'!Y49/24</f>
        <v/>
      </c>
      <c r="F85" s="73">
        <f>'Data Input'!Y49</f>
        <v/>
      </c>
      <c r="G85" s="74">
        <f>'Data Input'!T49</f>
        <v/>
      </c>
      <c r="H85" s="75">
        <f>'Data Input'!S49</f>
        <v/>
      </c>
      <c r="I85" s="57" t="n"/>
      <c r="J85" s="76" t="inlineStr">
        <is>
          <t>P</t>
        </is>
      </c>
      <c r="K85" s="77" t="n"/>
      <c r="L85" s="77" t="n"/>
      <c r="M85" s="77" t="n"/>
      <c r="N85" s="77" t="n"/>
      <c r="O85" s="77" t="n"/>
      <c r="P85" s="77" t="n"/>
      <c r="Q85" s="77" t="n"/>
      <c r="R85" s="77" t="n"/>
      <c r="S85" s="77" t="n"/>
      <c r="T85" s="77" t="n"/>
      <c r="U85" s="77" t="n"/>
      <c r="V85" s="77" t="n"/>
      <c r="W85" s="77" t="n"/>
      <c r="X85" s="77" t="n"/>
      <c r="Y85" s="77" t="n"/>
      <c r="Z85" s="77" t="n"/>
      <c r="AA85" s="77" t="n"/>
      <c r="AB85" s="77" t="n"/>
      <c r="AC85" s="77" t="n"/>
      <c r="AD85" s="77" t="n"/>
      <c r="AE85" s="77" t="n"/>
      <c r="AF85" s="77" t="n"/>
      <c r="AG85" s="77" t="n"/>
      <c r="AH85" s="77" t="n"/>
      <c r="AI85" s="77" t="n"/>
      <c r="AJ85" s="77" t="n"/>
      <c r="AK85" s="77" t="n"/>
      <c r="AL85" s="77" t="n"/>
      <c r="AM85" s="77" t="n"/>
      <c r="AN85" s="77" t="n"/>
      <c r="AO85" s="77" t="n"/>
      <c r="AP85" s="77" t="n"/>
      <c r="AQ85" s="77" t="n"/>
      <c r="AR85" s="77" t="n"/>
      <c r="AS85" s="77" t="n"/>
      <c r="AT85" s="77" t="n"/>
      <c r="AU85" s="77" t="n"/>
      <c r="AV85" s="77" t="n"/>
      <c r="AW85" s="77" t="n"/>
      <c r="AX85" s="77" t="n"/>
      <c r="AY85" s="77" t="n"/>
      <c r="AZ85" s="77" t="n"/>
      <c r="BA85" s="77" t="n"/>
      <c r="BB85" s="77" t="n"/>
      <c r="BC85" s="77" t="n"/>
      <c r="BD85" s="77" t="n"/>
      <c r="BE85" s="77" t="n"/>
      <c r="BF85" s="77" t="n"/>
      <c r="BH85">
        <f>('Data Input'!C49-$A$1)*24</f>
        <v/>
      </c>
      <c r="BI85">
        <f>('Data Input'!D49-$A$1)*24</f>
        <v/>
      </c>
      <c r="BJ85" t="n">
        <v>1</v>
      </c>
      <c r="BO85" t="n">
        <v>-999</v>
      </c>
      <c r="BP85" t="n">
        <v>-999</v>
      </c>
    </row>
    <row r="86" ht="11.5" customHeight="1">
      <c r="A86" s="78" t="n"/>
      <c r="B86" s="78" t="n"/>
      <c r="C86" s="78" t="n"/>
      <c r="D86" s="78" t="n"/>
      <c r="E86" s="78" t="n"/>
      <c r="F86" s="78" t="n"/>
      <c r="G86" s="78" t="n"/>
      <c r="H86" s="78" t="n"/>
      <c r="I86" s="78" t="n"/>
      <c r="J86" s="76" t="inlineStr">
        <is>
          <t>A</t>
        </is>
      </c>
      <c r="K86" s="79" t="n"/>
      <c r="L86" s="79" t="n"/>
      <c r="M86" s="79" t="n"/>
      <c r="N86" s="79" t="n"/>
      <c r="O86" s="79" t="n"/>
      <c r="P86" s="79" t="n"/>
      <c r="Q86" s="79" t="n"/>
      <c r="R86" s="79" t="n"/>
      <c r="S86" s="79" t="n"/>
      <c r="T86" s="79" t="n"/>
      <c r="U86" s="79" t="n"/>
      <c r="V86" s="79" t="n"/>
      <c r="W86" s="79" t="n"/>
      <c r="X86" s="79" t="n"/>
      <c r="Y86" s="79" t="n"/>
      <c r="Z86" s="79" t="n"/>
      <c r="AA86" s="79" t="n"/>
      <c r="AB86" s="79" t="n"/>
      <c r="AC86" s="79" t="n"/>
      <c r="AD86" s="79" t="n"/>
      <c r="AE86" s="79" t="n"/>
      <c r="AF86" s="79" t="n"/>
      <c r="AG86" s="79" t="n"/>
      <c r="AH86" s="79" t="n"/>
      <c r="AI86" s="79" t="n"/>
      <c r="AJ86" s="79" t="n"/>
      <c r="AK86" s="79" t="n"/>
      <c r="AL86" s="79" t="n"/>
      <c r="AM86" s="79" t="n"/>
      <c r="AN86" s="79" t="n"/>
      <c r="AO86" s="79" t="n"/>
      <c r="AP86" s="79" t="n"/>
      <c r="AQ86" s="79" t="n"/>
      <c r="AR86" s="79" t="n"/>
      <c r="AS86" s="79" t="n"/>
      <c r="AT86" s="79" t="n"/>
      <c r="AU86" s="79" t="n"/>
      <c r="AV86" s="79" t="n"/>
      <c r="AW86" s="79" t="n"/>
      <c r="AX86" s="79" t="n"/>
      <c r="AY86" s="79" t="n"/>
      <c r="AZ86" s="79" t="n"/>
      <c r="BA86" s="79" t="n"/>
      <c r="BB86" s="79" t="n"/>
      <c r="BC86" s="79" t="n"/>
      <c r="BD86" s="79" t="n"/>
      <c r="BE86" s="79" t="n"/>
      <c r="BF86" s="79" t="n"/>
      <c r="BH86">
        <f>IF($BK86="",-999,($BK86-$A$1)*24)</f>
        <v/>
      </c>
      <c r="BI86">
        <f>IF($BK86="",-999,(IF($BL86&lt;&gt;"",$BL86,IF($C$1&gt;$BK86,$C$1,$BK86+MAX('Data Input'!E49*$BM86,0.5)/24))-$A$1)*24)</f>
        <v/>
      </c>
      <c r="BJ86">
        <f>IF($BK86="",0,IF($BM86&gt;=1,IF($BN86&lt;=0,2,3),IF($BN86&lt;=0,4,5)))</f>
        <v/>
      </c>
      <c r="BK86">
        <f>IF('Data Input'!Q49="","",'Data Input'!Q49)</f>
        <v/>
      </c>
      <c r="BL86">
        <f>IF('Data Input'!R49="","",'Data Input'!R49)</f>
        <v/>
      </c>
      <c r="BM86">
        <f>'Data Input'!S49</f>
        <v/>
      </c>
      <c r="BN86">
        <f>'Data Input'!Y49</f>
        <v/>
      </c>
      <c r="BO86">
        <f>IF($BM86&gt;=1,-999,MAX(($C$1-$A$1)*24,IF($BK86&lt;&gt;"",$BI86,$BP86-'Data Input'!E49)))</f>
        <v/>
      </c>
      <c r="BP86">
        <f>('Data Input'!D49+'Data Input'!Y49/24-$A$1)*24</f>
        <v/>
      </c>
    </row>
    <row r="87" ht="11.5" customHeight="1">
      <c r="A87" s="68">
        <f>'Data Input'!A50</f>
        <v/>
      </c>
      <c r="B87" s="69">
        <f>'Data Input'!B50</f>
        <v/>
      </c>
      <c r="C87" s="70">
        <f>'Data Input'!O50</f>
        <v/>
      </c>
      <c r="D87" s="71">
        <f>'Data Input'!D50</f>
        <v/>
      </c>
      <c r="E87" s="72">
        <f>'Data Input'!D50+'Data Input'!Y50/24</f>
        <v/>
      </c>
      <c r="F87" s="73">
        <f>'Data Input'!Y50</f>
        <v/>
      </c>
      <c r="G87" s="74">
        <f>'Data Input'!T50</f>
        <v/>
      </c>
      <c r="H87" s="75">
        <f>'Data Input'!S50</f>
        <v/>
      </c>
      <c r="I87" s="57" t="n"/>
      <c r="J87" s="76" t="inlineStr">
        <is>
          <t>P</t>
        </is>
      </c>
      <c r="K87" s="77" t="n"/>
      <c r="L87" s="77" t="n"/>
      <c r="M87" s="77" t="n"/>
      <c r="N87" s="77" t="n"/>
      <c r="O87" s="77" t="n"/>
      <c r="P87" s="77" t="n"/>
      <c r="Q87" s="77" t="n"/>
      <c r="R87" s="77" t="n"/>
      <c r="S87" s="77" t="n"/>
      <c r="T87" s="77" t="n"/>
      <c r="U87" s="77" t="n"/>
      <c r="V87" s="77" t="n"/>
      <c r="W87" s="77" t="n"/>
      <c r="X87" s="77" t="n"/>
      <c r="Y87" s="77" t="n"/>
      <c r="Z87" s="77" t="n"/>
      <c r="AA87" s="77" t="n"/>
      <c r="AB87" s="77" t="n"/>
      <c r="AC87" s="77" t="n"/>
      <c r="AD87" s="77" t="n"/>
      <c r="AE87" s="77" t="n"/>
      <c r="AF87" s="77" t="n"/>
      <c r="AG87" s="77" t="n"/>
      <c r="AH87" s="77" t="n"/>
      <c r="AI87" s="77" t="n"/>
      <c r="AJ87" s="77" t="n"/>
      <c r="AK87" s="77" t="n"/>
      <c r="AL87" s="77" t="n"/>
      <c r="AM87" s="77" t="n"/>
      <c r="AN87" s="77" t="n"/>
      <c r="AO87" s="77" t="n"/>
      <c r="AP87" s="77" t="n"/>
      <c r="AQ87" s="77" t="n"/>
      <c r="AR87" s="77" t="n"/>
      <c r="AS87" s="77" t="n"/>
      <c r="AT87" s="77" t="n"/>
      <c r="AU87" s="77" t="n"/>
      <c r="AV87" s="77" t="n"/>
      <c r="AW87" s="77" t="n"/>
      <c r="AX87" s="77" t="n"/>
      <c r="AY87" s="77" t="n"/>
      <c r="AZ87" s="77" t="n"/>
      <c r="BA87" s="77" t="n"/>
      <c r="BB87" s="77" t="n"/>
      <c r="BC87" s="77" t="n"/>
      <c r="BD87" s="77" t="n"/>
      <c r="BE87" s="77" t="n"/>
      <c r="BF87" s="77" t="n"/>
      <c r="BH87">
        <f>('Data Input'!C50-$A$1)*24</f>
        <v/>
      </c>
      <c r="BI87">
        <f>('Data Input'!D50-$A$1)*24</f>
        <v/>
      </c>
      <c r="BJ87" t="n">
        <v>1</v>
      </c>
      <c r="BO87" t="n">
        <v>-999</v>
      </c>
      <c r="BP87" t="n">
        <v>-999</v>
      </c>
    </row>
    <row r="88" ht="11.5" customHeight="1">
      <c r="A88" s="78" t="n"/>
      <c r="B88" s="78" t="n"/>
      <c r="C88" s="78" t="n"/>
      <c r="D88" s="78" t="n"/>
      <c r="E88" s="78" t="n"/>
      <c r="F88" s="78" t="n"/>
      <c r="G88" s="78" t="n"/>
      <c r="H88" s="78" t="n"/>
      <c r="I88" s="78" t="n"/>
      <c r="J88" s="76" t="inlineStr">
        <is>
          <t>A</t>
        </is>
      </c>
      <c r="K88" s="79" t="n"/>
      <c r="L88" s="79" t="n"/>
      <c r="M88" s="79" t="n"/>
      <c r="N88" s="79" t="n"/>
      <c r="O88" s="79" t="n"/>
      <c r="P88" s="79" t="n"/>
      <c r="Q88" s="79" t="n"/>
      <c r="R88" s="79" t="n"/>
      <c r="S88" s="79" t="n"/>
      <c r="T88" s="79" t="n"/>
      <c r="U88" s="79" t="n"/>
      <c r="V88" s="79" t="n"/>
      <c r="W88" s="79" t="n"/>
      <c r="X88" s="79" t="n"/>
      <c r="Y88" s="79" t="n"/>
      <c r="Z88" s="79" t="n"/>
      <c r="AA88" s="79" t="n"/>
      <c r="AB88" s="79" t="n"/>
      <c r="AC88" s="79" t="n"/>
      <c r="AD88" s="79" t="n"/>
      <c r="AE88" s="79" t="n"/>
      <c r="AF88" s="79" t="n"/>
      <c r="AG88" s="79" t="n"/>
      <c r="AH88" s="79" t="n"/>
      <c r="AI88" s="79" t="n"/>
      <c r="AJ88" s="79" t="n"/>
      <c r="AK88" s="79" t="n"/>
      <c r="AL88" s="79" t="n"/>
      <c r="AM88" s="79" t="n"/>
      <c r="AN88" s="79" t="n"/>
      <c r="AO88" s="79" t="n"/>
      <c r="AP88" s="79" t="n"/>
      <c r="AQ88" s="79" t="n"/>
      <c r="AR88" s="79" t="n"/>
      <c r="AS88" s="79" t="n"/>
      <c r="AT88" s="79" t="n"/>
      <c r="AU88" s="79" t="n"/>
      <c r="AV88" s="79" t="n"/>
      <c r="AW88" s="79" t="n"/>
      <c r="AX88" s="79" t="n"/>
      <c r="AY88" s="79" t="n"/>
      <c r="AZ88" s="79" t="n"/>
      <c r="BA88" s="79" t="n"/>
      <c r="BB88" s="79" t="n"/>
      <c r="BC88" s="79" t="n"/>
      <c r="BD88" s="79" t="n"/>
      <c r="BE88" s="79" t="n"/>
      <c r="BF88" s="79" t="n"/>
      <c r="BH88">
        <f>IF($BK88="",-999,($BK88-$A$1)*24)</f>
        <v/>
      </c>
      <c r="BI88">
        <f>IF($BK88="",-999,(IF($BL88&lt;&gt;"",$BL88,IF($C$1&gt;$BK88,$C$1,$BK88+MAX('Data Input'!E50*$BM88,0.5)/24))-$A$1)*24)</f>
        <v/>
      </c>
      <c r="BJ88">
        <f>IF($BK88="",0,IF($BM88&gt;=1,IF($BN88&lt;=0,2,3),IF($BN88&lt;=0,4,5)))</f>
        <v/>
      </c>
      <c r="BK88">
        <f>IF('Data Input'!Q50="","",'Data Input'!Q50)</f>
        <v/>
      </c>
      <c r="BL88">
        <f>IF('Data Input'!R50="","",'Data Input'!R50)</f>
        <v/>
      </c>
      <c r="BM88">
        <f>'Data Input'!S50</f>
        <v/>
      </c>
      <c r="BN88">
        <f>'Data Input'!Y50</f>
        <v/>
      </c>
      <c r="BO88">
        <f>IF($BM88&gt;=1,-999,MAX(($C$1-$A$1)*24,IF($BK88&lt;&gt;"",$BI88,$BP88-'Data Input'!E50)))</f>
        <v/>
      </c>
      <c r="BP88">
        <f>('Data Input'!D50+'Data Input'!Y50/24-$A$1)*24</f>
        <v/>
      </c>
    </row>
    <row r="89" ht="11.5" customHeight="1">
      <c r="A89" s="68">
        <f>'Data Input'!A51</f>
        <v/>
      </c>
      <c r="B89" s="69">
        <f>'Data Input'!B51</f>
        <v/>
      </c>
      <c r="C89" s="70">
        <f>'Data Input'!O51</f>
        <v/>
      </c>
      <c r="D89" s="71">
        <f>'Data Input'!D51</f>
        <v/>
      </c>
      <c r="E89" s="72">
        <f>'Data Input'!D51+'Data Input'!Y51/24</f>
        <v/>
      </c>
      <c r="F89" s="73">
        <f>'Data Input'!Y51</f>
        <v/>
      </c>
      <c r="G89" s="74">
        <f>'Data Input'!T51</f>
        <v/>
      </c>
      <c r="H89" s="75">
        <f>'Data Input'!S51</f>
        <v/>
      </c>
      <c r="I89" s="57" t="n"/>
      <c r="J89" s="76" t="inlineStr">
        <is>
          <t>P</t>
        </is>
      </c>
      <c r="K89" s="77" t="n"/>
      <c r="L89" s="77" t="n"/>
      <c r="M89" s="77" t="n"/>
      <c r="N89" s="77" t="n"/>
      <c r="O89" s="77" t="n"/>
      <c r="P89" s="77" t="n"/>
      <c r="Q89" s="77" t="n"/>
      <c r="R89" s="77" t="n"/>
      <c r="S89" s="77" t="n"/>
      <c r="T89" s="77" t="n"/>
      <c r="U89" s="77" t="n"/>
      <c r="V89" s="77" t="n"/>
      <c r="W89" s="77" t="n"/>
      <c r="X89" s="77" t="n"/>
      <c r="Y89" s="77" t="n"/>
      <c r="Z89" s="77" t="n"/>
      <c r="AA89" s="77" t="n"/>
      <c r="AB89" s="77" t="n"/>
      <c r="AC89" s="77" t="n"/>
      <c r="AD89" s="77" t="n"/>
      <c r="AE89" s="77" t="n"/>
      <c r="AF89" s="77" t="n"/>
      <c r="AG89" s="77" t="n"/>
      <c r="AH89" s="77" t="n"/>
      <c r="AI89" s="77" t="n"/>
      <c r="AJ89" s="77" t="n"/>
      <c r="AK89" s="77" t="n"/>
      <c r="AL89" s="77" t="n"/>
      <c r="AM89" s="77" t="n"/>
      <c r="AN89" s="77" t="n"/>
      <c r="AO89" s="77" t="n"/>
      <c r="AP89" s="77" t="n"/>
      <c r="AQ89" s="77" t="n"/>
      <c r="AR89" s="77" t="n"/>
      <c r="AS89" s="77" t="n"/>
      <c r="AT89" s="77" t="n"/>
      <c r="AU89" s="77" t="n"/>
      <c r="AV89" s="77" t="n"/>
      <c r="AW89" s="77" t="n"/>
      <c r="AX89" s="77" t="n"/>
      <c r="AY89" s="77" t="n"/>
      <c r="AZ89" s="77" t="n"/>
      <c r="BA89" s="77" t="n"/>
      <c r="BB89" s="77" t="n"/>
      <c r="BC89" s="77" t="n"/>
      <c r="BD89" s="77" t="n"/>
      <c r="BE89" s="77" t="n"/>
      <c r="BF89" s="77" t="n"/>
      <c r="BH89">
        <f>('Data Input'!C51-$A$1)*24</f>
        <v/>
      </c>
      <c r="BI89">
        <f>('Data Input'!D51-$A$1)*24</f>
        <v/>
      </c>
      <c r="BJ89" t="n">
        <v>1</v>
      </c>
      <c r="BO89" t="n">
        <v>-999</v>
      </c>
      <c r="BP89" t="n">
        <v>-999</v>
      </c>
    </row>
    <row r="90" ht="11.5" customHeight="1">
      <c r="A90" s="78" t="n"/>
      <c r="B90" s="78" t="n"/>
      <c r="C90" s="78" t="n"/>
      <c r="D90" s="78" t="n"/>
      <c r="E90" s="78" t="n"/>
      <c r="F90" s="78" t="n"/>
      <c r="G90" s="78" t="n"/>
      <c r="H90" s="78" t="n"/>
      <c r="I90" s="78" t="n"/>
      <c r="J90" s="76" t="inlineStr">
        <is>
          <t>A</t>
        </is>
      </c>
      <c r="K90" s="79" t="n"/>
      <c r="L90" s="79" t="n"/>
      <c r="M90" s="79" t="n"/>
      <c r="N90" s="79" t="n"/>
      <c r="O90" s="79" t="n"/>
      <c r="P90" s="79" t="n"/>
      <c r="Q90" s="79" t="n"/>
      <c r="R90" s="79" t="n"/>
      <c r="S90" s="79" t="n"/>
      <c r="T90" s="79" t="n"/>
      <c r="U90" s="79" t="n"/>
      <c r="V90" s="79" t="n"/>
      <c r="W90" s="79" t="n"/>
      <c r="X90" s="79" t="n"/>
      <c r="Y90" s="79" t="n"/>
      <c r="Z90" s="79" t="n"/>
      <c r="AA90" s="79" t="n"/>
      <c r="AB90" s="79" t="n"/>
      <c r="AC90" s="79" t="n"/>
      <c r="AD90" s="79" t="n"/>
      <c r="AE90" s="79" t="n"/>
      <c r="AF90" s="79" t="n"/>
      <c r="AG90" s="79" t="n"/>
      <c r="AH90" s="79" t="n"/>
      <c r="AI90" s="79" t="n"/>
      <c r="AJ90" s="79" t="n"/>
      <c r="AK90" s="79" t="n"/>
      <c r="AL90" s="79" t="n"/>
      <c r="AM90" s="79" t="n"/>
      <c r="AN90" s="79" t="n"/>
      <c r="AO90" s="79" t="n"/>
      <c r="AP90" s="79" t="n"/>
      <c r="AQ90" s="79" t="n"/>
      <c r="AR90" s="79" t="n"/>
      <c r="AS90" s="79" t="n"/>
      <c r="AT90" s="79" t="n"/>
      <c r="AU90" s="79" t="n"/>
      <c r="AV90" s="79" t="n"/>
      <c r="AW90" s="79" t="n"/>
      <c r="AX90" s="79" t="n"/>
      <c r="AY90" s="79" t="n"/>
      <c r="AZ90" s="79" t="n"/>
      <c r="BA90" s="79" t="n"/>
      <c r="BB90" s="79" t="n"/>
      <c r="BC90" s="79" t="n"/>
      <c r="BD90" s="79" t="n"/>
      <c r="BE90" s="79" t="n"/>
      <c r="BF90" s="79" t="n"/>
      <c r="BH90">
        <f>IF($BK90="",-999,($BK90-$A$1)*24)</f>
        <v/>
      </c>
      <c r="BI90">
        <f>IF($BK90="",-999,(IF($BL90&lt;&gt;"",$BL90,IF($C$1&gt;$BK90,$C$1,$BK90+MAX('Data Input'!E51*$BM90,0.5)/24))-$A$1)*24)</f>
        <v/>
      </c>
      <c r="BJ90">
        <f>IF($BK90="",0,IF($BM90&gt;=1,IF($BN90&lt;=0,2,3),IF($BN90&lt;=0,4,5)))</f>
        <v/>
      </c>
      <c r="BK90">
        <f>IF('Data Input'!Q51="","",'Data Input'!Q51)</f>
        <v/>
      </c>
      <c r="BL90">
        <f>IF('Data Input'!R51="","",'Data Input'!R51)</f>
        <v/>
      </c>
      <c r="BM90">
        <f>'Data Input'!S51</f>
        <v/>
      </c>
      <c r="BN90">
        <f>'Data Input'!Y51</f>
        <v/>
      </c>
      <c r="BO90">
        <f>IF($BM90&gt;=1,-999,MAX(($C$1-$A$1)*24,IF($BK90&lt;&gt;"",$BI90,$BP90-'Data Input'!E51)))</f>
        <v/>
      </c>
      <c r="BP90">
        <f>('Data Input'!D51+'Data Input'!Y51/24-$A$1)*24</f>
        <v/>
      </c>
    </row>
    <row r="91" ht="11.5" customHeight="1">
      <c r="A91" s="68">
        <f>'Data Input'!A52</f>
        <v/>
      </c>
      <c r="B91" s="69">
        <f>'Data Input'!B52</f>
        <v/>
      </c>
      <c r="C91" s="70">
        <f>'Data Input'!O52</f>
        <v/>
      </c>
      <c r="D91" s="71">
        <f>'Data Input'!D52</f>
        <v/>
      </c>
      <c r="E91" s="72">
        <f>'Data Input'!D52+'Data Input'!Y52/24</f>
        <v/>
      </c>
      <c r="F91" s="73">
        <f>'Data Input'!Y52</f>
        <v/>
      </c>
      <c r="G91" s="74">
        <f>'Data Input'!T52</f>
        <v/>
      </c>
      <c r="H91" s="75">
        <f>'Data Input'!S52</f>
        <v/>
      </c>
      <c r="I91" s="57" t="n"/>
      <c r="J91" s="76" t="inlineStr">
        <is>
          <t>P</t>
        </is>
      </c>
      <c r="K91" s="77" t="n"/>
      <c r="L91" s="77" t="n"/>
      <c r="M91" s="77" t="n"/>
      <c r="N91" s="77" t="n"/>
      <c r="O91" s="77" t="n"/>
      <c r="P91" s="77" t="n"/>
      <c r="Q91" s="77" t="n"/>
      <c r="R91" s="77" t="n"/>
      <c r="S91" s="77" t="n"/>
      <c r="T91" s="77" t="n"/>
      <c r="U91" s="77" t="n"/>
      <c r="V91" s="77" t="n"/>
      <c r="W91" s="77" t="n"/>
      <c r="X91" s="77" t="n"/>
      <c r="Y91" s="77" t="n"/>
      <c r="Z91" s="77" t="n"/>
      <c r="AA91" s="77" t="n"/>
      <c r="AB91" s="77" t="n"/>
      <c r="AC91" s="77" t="n"/>
      <c r="AD91" s="77" t="n"/>
      <c r="AE91" s="77" t="n"/>
      <c r="AF91" s="77" t="n"/>
      <c r="AG91" s="77" t="n"/>
      <c r="AH91" s="77" t="n"/>
      <c r="AI91" s="77" t="n"/>
      <c r="AJ91" s="77" t="n"/>
      <c r="AK91" s="77" t="n"/>
      <c r="AL91" s="77" t="n"/>
      <c r="AM91" s="77" t="n"/>
      <c r="AN91" s="77" t="n"/>
      <c r="AO91" s="77" t="n"/>
      <c r="AP91" s="77" t="n"/>
      <c r="AQ91" s="77" t="n"/>
      <c r="AR91" s="77" t="n"/>
      <c r="AS91" s="77" t="n"/>
      <c r="AT91" s="77" t="n"/>
      <c r="AU91" s="77" t="n"/>
      <c r="AV91" s="77" t="n"/>
      <c r="AW91" s="77" t="n"/>
      <c r="AX91" s="77" t="n"/>
      <c r="AY91" s="77" t="n"/>
      <c r="AZ91" s="77" t="n"/>
      <c r="BA91" s="77" t="n"/>
      <c r="BB91" s="77" t="n"/>
      <c r="BC91" s="77" t="n"/>
      <c r="BD91" s="77" t="n"/>
      <c r="BE91" s="77" t="n"/>
      <c r="BF91" s="77" t="n"/>
      <c r="BH91">
        <f>('Data Input'!C52-$A$1)*24</f>
        <v/>
      </c>
      <c r="BI91">
        <f>('Data Input'!D52-$A$1)*24</f>
        <v/>
      </c>
      <c r="BJ91" t="n">
        <v>1</v>
      </c>
      <c r="BO91" t="n">
        <v>-999</v>
      </c>
      <c r="BP91" t="n">
        <v>-999</v>
      </c>
    </row>
    <row r="92" ht="11.5" customHeight="1">
      <c r="A92" s="78" t="n"/>
      <c r="B92" s="78" t="n"/>
      <c r="C92" s="78" t="n"/>
      <c r="D92" s="78" t="n"/>
      <c r="E92" s="78" t="n"/>
      <c r="F92" s="78" t="n"/>
      <c r="G92" s="78" t="n"/>
      <c r="H92" s="78" t="n"/>
      <c r="I92" s="78" t="n"/>
      <c r="J92" s="76" t="inlineStr">
        <is>
          <t>A</t>
        </is>
      </c>
      <c r="K92" s="79" t="n"/>
      <c r="L92" s="79" t="n"/>
      <c r="M92" s="79" t="n"/>
      <c r="N92" s="79" t="n"/>
      <c r="O92" s="79" t="n"/>
      <c r="P92" s="79" t="n"/>
      <c r="Q92" s="79" t="n"/>
      <c r="R92" s="79" t="n"/>
      <c r="S92" s="79" t="n"/>
      <c r="T92" s="79" t="n"/>
      <c r="U92" s="79" t="n"/>
      <c r="V92" s="79" t="n"/>
      <c r="W92" s="79" t="n"/>
      <c r="X92" s="79" t="n"/>
      <c r="Y92" s="79" t="n"/>
      <c r="Z92" s="79" t="n"/>
      <c r="AA92" s="79" t="n"/>
      <c r="AB92" s="79" t="n"/>
      <c r="AC92" s="79" t="n"/>
      <c r="AD92" s="79" t="n"/>
      <c r="AE92" s="79" t="n"/>
      <c r="AF92" s="79" t="n"/>
      <c r="AG92" s="79" t="n"/>
      <c r="AH92" s="79" t="n"/>
      <c r="AI92" s="79" t="n"/>
      <c r="AJ92" s="79" t="n"/>
      <c r="AK92" s="79" t="n"/>
      <c r="AL92" s="79" t="n"/>
      <c r="AM92" s="79" t="n"/>
      <c r="AN92" s="79" t="n"/>
      <c r="AO92" s="79" t="n"/>
      <c r="AP92" s="79" t="n"/>
      <c r="AQ92" s="79" t="n"/>
      <c r="AR92" s="79" t="n"/>
      <c r="AS92" s="79" t="n"/>
      <c r="AT92" s="79" t="n"/>
      <c r="AU92" s="79" t="n"/>
      <c r="AV92" s="79" t="n"/>
      <c r="AW92" s="79" t="n"/>
      <c r="AX92" s="79" t="n"/>
      <c r="AY92" s="79" t="n"/>
      <c r="AZ92" s="79" t="n"/>
      <c r="BA92" s="79" t="n"/>
      <c r="BB92" s="79" t="n"/>
      <c r="BC92" s="79" t="n"/>
      <c r="BD92" s="79" t="n"/>
      <c r="BE92" s="79" t="n"/>
      <c r="BF92" s="79" t="n"/>
      <c r="BH92">
        <f>IF($BK92="",-999,($BK92-$A$1)*24)</f>
        <v/>
      </c>
      <c r="BI92">
        <f>IF($BK92="",-999,(IF($BL92&lt;&gt;"",$BL92,IF($C$1&gt;$BK92,$C$1,$BK92+MAX('Data Input'!E52*$BM92,0.5)/24))-$A$1)*24)</f>
        <v/>
      </c>
      <c r="BJ92">
        <f>IF($BK92="",0,IF($BM92&gt;=1,IF($BN92&lt;=0,2,3),IF($BN92&lt;=0,4,5)))</f>
        <v/>
      </c>
      <c r="BK92">
        <f>IF('Data Input'!Q52="","",'Data Input'!Q52)</f>
        <v/>
      </c>
      <c r="BL92">
        <f>IF('Data Input'!R52="","",'Data Input'!R52)</f>
        <v/>
      </c>
      <c r="BM92">
        <f>'Data Input'!S52</f>
        <v/>
      </c>
      <c r="BN92">
        <f>'Data Input'!Y52</f>
        <v/>
      </c>
      <c r="BO92">
        <f>IF($BM92&gt;=1,-999,MAX(($C$1-$A$1)*24,IF($BK92&lt;&gt;"",$BI92,$BP92-'Data Input'!E52)))</f>
        <v/>
      </c>
      <c r="BP92">
        <f>('Data Input'!D52+'Data Input'!Y52/24-$A$1)*24</f>
        <v/>
      </c>
    </row>
    <row r="93" ht="21" customHeight="1">
      <c r="A93" s="80">
        <f>"  TOTAL  -  "&amp;'Data Input'!$B$15</f>
        <v/>
      </c>
      <c r="B93" s="103" t="n"/>
      <c r="C93" s="81">
        <f>C13</f>
        <v/>
      </c>
      <c r="D93" s="82">
        <f>D13</f>
        <v/>
      </c>
      <c r="E93" s="82">
        <f>E13</f>
        <v/>
      </c>
      <c r="F93" s="83">
        <f>F13</f>
        <v/>
      </c>
      <c r="G93" s="84">
        <f>G13</f>
        <v/>
      </c>
      <c r="H93" s="85">
        <f>H13</f>
        <v/>
      </c>
      <c r="I93" s="86">
        <f>I13</f>
        <v/>
      </c>
      <c r="J93" s="38" t="n"/>
      <c r="K93" s="87">
        <f>"TOTAL  "&amp;TEXT(SUM('Data Input'!E27:E52),"0.0")&amp;" activity hours          Possession elapsed  "&amp;TEXT(MEDIAN(0,($C$1-$A$1)*24,($B$1-$A$1)*24),"0.0")&amp;"  of  "&amp;TEXT(($B$1-$A$1)*24,"0.0")&amp;" h          Report cut-off  "&amp;TEXT($C$1,"ddd dd-mmm hh:mm")</f>
        <v/>
      </c>
      <c r="L93" s="102" t="n"/>
      <c r="M93" s="102" t="n"/>
      <c r="N93" s="102" t="n"/>
      <c r="O93" s="102" t="n"/>
      <c r="P93" s="102" t="n"/>
      <c r="Q93" s="102" t="n"/>
      <c r="R93" s="102" t="n"/>
      <c r="S93" s="102" t="n"/>
      <c r="T93" s="102" t="n"/>
      <c r="U93" s="102" t="n"/>
      <c r="V93" s="102" t="n"/>
      <c r="W93" s="102" t="n"/>
      <c r="X93" s="102" t="n"/>
      <c r="Y93" s="102" t="n"/>
      <c r="Z93" s="102" t="n"/>
      <c r="AA93" s="102" t="n"/>
      <c r="AB93" s="102" t="n"/>
      <c r="AC93" s="102" t="n"/>
      <c r="AD93" s="102" t="n"/>
      <c r="AE93" s="102" t="n"/>
      <c r="AF93" s="102" t="n"/>
      <c r="AG93" s="102" t="n"/>
      <c r="AH93" s="102" t="n"/>
      <c r="AI93" s="102" t="n"/>
      <c r="AJ93" s="102" t="n"/>
      <c r="AK93" s="102" t="n"/>
      <c r="AL93" s="102" t="n"/>
      <c r="AM93" s="102" t="n"/>
      <c r="AN93" s="102" t="n"/>
      <c r="AO93" s="102" t="n"/>
      <c r="AP93" s="102" t="n"/>
      <c r="AQ93" s="102" t="n"/>
      <c r="AR93" s="102" t="n"/>
      <c r="AS93" s="102" t="n"/>
      <c r="AT93" s="102" t="n"/>
      <c r="AU93" s="102" t="n"/>
      <c r="AV93" s="102" t="n"/>
      <c r="AW93" s="102" t="n"/>
      <c r="AX93" s="102" t="n"/>
      <c r="AY93" s="102" t="n"/>
      <c r="AZ93" s="102" t="n"/>
      <c r="BA93" s="102" t="n"/>
      <c r="BB93" s="102" t="n"/>
      <c r="BC93" s="102" t="n"/>
      <c r="BD93" s="102" t="n"/>
      <c r="BE93" s="102" t="n"/>
      <c r="BF93" s="103" t="n"/>
    </row>
    <row r="94" ht="16" customHeight="1">
      <c r="A94" s="88" t="n"/>
      <c r="B94" s="89" t="inlineStr">
        <is>
          <t>Planned (baseline)</t>
        </is>
      </c>
      <c r="D94" s="90" t="inlineStr">
        <is>
          <t>Black line = report cut-off</t>
        </is>
      </c>
      <c r="G94" s="90" t="inlineStr">
        <is>
          <t>Time Variance = Forecast vs Planned Finish</t>
        </is>
      </c>
      <c r="O94" s="91" t="n"/>
      <c r="P94" s="89" t="inlineStr">
        <is>
          <t>Done on time</t>
        </is>
      </c>
      <c r="X94" s="92" t="n"/>
      <c r="Y94" s="89" t="inlineStr">
        <is>
          <t>Done late</t>
        </is>
      </c>
      <c r="AG94" s="93" t="n"/>
      <c r="AH94" s="89" t="inlineStr">
        <is>
          <t>In progress</t>
        </is>
      </c>
      <c r="AP94" s="94" t="n"/>
      <c r="AQ94" s="89" t="inlineStr">
        <is>
          <t>Behind</t>
        </is>
      </c>
      <c r="AY94" s="95" t="n"/>
      <c r="AZ94" s="89" t="inlineStr">
        <is>
          <t>Forecast</t>
        </is>
      </c>
    </row>
    <row r="96" ht="26" customHeight="1">
      <c r="A96" s="63" t="inlineStr">
        <is>
          <t xml:space="preserve">   EWR CULVERTS REPLACEMENT PHASE 2    -    CULVERT C265    -    KM 210+525    -    3 CELLS    -    TSO OTMP / Station 29</t>
        </is>
      </c>
    </row>
    <row r="97" ht="22" customHeight="1">
      <c r="A97" s="64">
        <f>"   3 cells        ACTUAL  "&amp;TEXT(H14,"0%")&amp;"        PLANNED  "&amp;TEXT(G14,"0%")&amp;"        PLAN FINISH  "&amp;TEXT(D14,"ddd dd-mmm hh:mm")</f>
        <v/>
      </c>
      <c r="K97" s="65">
        <f>C14&amp;"        FORECAST  "&amp;TEXT(E14,"ddd dd-mmm hh:mm")&amp;"        "&amp;TEXT(ABS(F14),"0.0")&amp;IF(F14&gt;0," h LATE",IF(F14&lt;0," h EARLY"," h"))</f>
        <v/>
      </c>
    </row>
    <row r="98" ht="28" customHeight="1">
      <c r="A98" s="22" t="inlineStr">
        <is>
          <t>No</t>
        </is>
      </c>
      <c r="B98" s="22" t="inlineStr">
        <is>
          <t>Activity</t>
        </is>
      </c>
      <c r="C98" s="22" t="inlineStr">
        <is>
          <t>Status</t>
        </is>
      </c>
      <c r="D98" s="22" t="inlineStr">
        <is>
          <t>Planned
Finish</t>
        </is>
      </c>
      <c r="E98" s="22" t="inlineStr">
        <is>
          <t>Forecast
Finish</t>
        </is>
      </c>
      <c r="F98" s="22" t="inlineStr">
        <is>
          <t>Time
Variance</t>
        </is>
      </c>
      <c r="G98" s="22" t="inlineStr">
        <is>
          <t>Plan
%</t>
        </is>
      </c>
      <c r="H98" s="22" t="inlineStr">
        <is>
          <t>Act.
%</t>
        </is>
      </c>
      <c r="I98" s="22" t="inlineStr">
        <is>
          <t>Buffer to
Hand-back</t>
        </is>
      </c>
      <c r="K98" s="120">
        <f>UPPER(TEXT($A$1+($D$1+0*$E$1)/24,"ddd  dd-mmm  hh:mm")&amp;"  to  "&amp;TEXT($A$1+($D$1+24*$E$1)/24,"ddd  dd-mmm  hh:mm"))</f>
        <v/>
      </c>
      <c r="AH98" s="114" t="n"/>
      <c r="AI98" s="120">
        <f>UPPER(TEXT($A$1+($D$1+24*$E$1)/24,"ddd  dd-mmm  hh:mm")&amp;"  to  "&amp;TEXT($A$1+($D$1+48*$E$1)/24,"ddd  dd-mmm  hh:mm"))</f>
        <v/>
      </c>
      <c r="BF98" s="114" t="n"/>
    </row>
    <row r="99" ht="15.75" customHeight="1">
      <c r="K99" s="121">
        <f>TEXT($A$1+($D$1+0*$E$1)/24,"hh:mm")&amp;" - "&amp;TEXT($A$1+($D$1+6*$E$1)/24,"hh:mm")</f>
        <v/>
      </c>
      <c r="P99" s="115" t="n"/>
      <c r="Q99" s="121">
        <f>TEXT($A$1+($D$1+6*$E$1)/24,"hh:mm")&amp;" - "&amp;TEXT($A$1+($D$1+12*$E$1)/24,"hh:mm")</f>
        <v/>
      </c>
      <c r="V99" s="115" t="n"/>
      <c r="W99" s="121">
        <f>TEXT($A$1+($D$1+12*$E$1)/24,"hh:mm")&amp;" - "&amp;TEXT($A$1+($D$1+18*$E$1)/24,"hh:mm")</f>
        <v/>
      </c>
      <c r="AB99" s="115" t="n"/>
      <c r="AC99" s="121">
        <f>TEXT($A$1+($D$1+18*$E$1)/24,"hh:mm")&amp;" - "&amp;TEXT($A$1+($D$1+24*$E$1)/24,"hh:mm")</f>
        <v/>
      </c>
      <c r="AH99" s="115" t="n"/>
      <c r="AI99" s="121">
        <f>TEXT($A$1+($D$1+24*$E$1)/24,"hh:mm")&amp;" - "&amp;TEXT($A$1+($D$1+30*$E$1)/24,"hh:mm")</f>
        <v/>
      </c>
      <c r="AN99" s="115" t="n"/>
      <c r="AO99" s="121">
        <f>TEXT($A$1+($D$1+30*$E$1)/24,"hh:mm")&amp;" - "&amp;TEXT($A$1+($D$1+36*$E$1)/24,"hh:mm")</f>
        <v/>
      </c>
      <c r="AT99" s="115" t="n"/>
      <c r="AU99" s="121">
        <f>TEXT($A$1+($D$1+36*$E$1)/24,"hh:mm")&amp;" - "&amp;TEXT($A$1+($D$1+42*$E$1)/24,"hh:mm")</f>
        <v/>
      </c>
      <c r="AZ99" s="115" t="n"/>
      <c r="BA99" s="121">
        <f>TEXT($A$1+($D$1+42*$E$1)/24,"hh:mm")&amp;" - "&amp;TEXT($A$1+($D$1+48*$E$1)/24,"hh:mm")</f>
        <v/>
      </c>
      <c r="BF99" s="115" t="n"/>
    </row>
    <row r="100" ht="11.5" customHeight="1">
      <c r="A100" s="68">
        <f>'Data Input'!A57</f>
        <v/>
      </c>
      <c r="B100" s="69">
        <f>'Data Input'!B57</f>
        <v/>
      </c>
      <c r="C100" s="70">
        <f>'Data Input'!O57</f>
        <v/>
      </c>
      <c r="D100" s="71">
        <f>'Data Input'!D57</f>
        <v/>
      </c>
      <c r="E100" s="72">
        <f>'Data Input'!D57+'Data Input'!Y57/24</f>
        <v/>
      </c>
      <c r="F100" s="73">
        <f>'Data Input'!Y57</f>
        <v/>
      </c>
      <c r="G100" s="74">
        <f>'Data Input'!T57</f>
        <v/>
      </c>
      <c r="H100" s="75">
        <f>'Data Input'!S57</f>
        <v/>
      </c>
      <c r="I100" s="57" t="n"/>
      <c r="J100" s="76" t="inlineStr">
        <is>
          <t>P</t>
        </is>
      </c>
      <c r="K100" s="77" t="n"/>
      <c r="L100" s="77" t="n"/>
      <c r="M100" s="77" t="n"/>
      <c r="N100" s="77" t="n"/>
      <c r="O100" s="77" t="n"/>
      <c r="P100" s="77" t="n"/>
      <c r="Q100" s="77" t="n"/>
      <c r="R100" s="77" t="n"/>
      <c r="S100" s="77" t="n"/>
      <c r="T100" s="77" t="n"/>
      <c r="U100" s="77" t="n"/>
      <c r="V100" s="77" t="n"/>
      <c r="W100" s="77" t="n"/>
      <c r="X100" s="77" t="n"/>
      <c r="Y100" s="77" t="n"/>
      <c r="Z100" s="77" t="n"/>
      <c r="AA100" s="77" t="n"/>
      <c r="AB100" s="77" t="n"/>
      <c r="AC100" s="77" t="n"/>
      <c r="AD100" s="77" t="n"/>
      <c r="AE100" s="77" t="n"/>
      <c r="AF100" s="77" t="n"/>
      <c r="AG100" s="77" t="n"/>
      <c r="AH100" s="77" t="n"/>
      <c r="AI100" s="77" t="n"/>
      <c r="AJ100" s="77" t="n"/>
      <c r="AK100" s="77" t="n"/>
      <c r="AL100" s="77" t="n"/>
      <c r="AM100" s="77" t="n"/>
      <c r="AN100" s="77" t="n"/>
      <c r="AO100" s="77" t="n"/>
      <c r="AP100" s="77" t="n"/>
      <c r="AQ100" s="77" t="n"/>
      <c r="AR100" s="77" t="n"/>
      <c r="AS100" s="77" t="n"/>
      <c r="AT100" s="77" t="n"/>
      <c r="AU100" s="77" t="n"/>
      <c r="AV100" s="77" t="n"/>
      <c r="AW100" s="77" t="n"/>
      <c r="AX100" s="77" t="n"/>
      <c r="AY100" s="77" t="n"/>
      <c r="AZ100" s="77" t="n"/>
      <c r="BA100" s="77" t="n"/>
      <c r="BB100" s="77" t="n"/>
      <c r="BC100" s="77" t="n"/>
      <c r="BD100" s="77" t="n"/>
      <c r="BE100" s="77" t="n"/>
      <c r="BF100" s="77" t="n"/>
      <c r="BH100">
        <f>('Data Input'!C57-$A$1)*24</f>
        <v/>
      </c>
      <c r="BI100">
        <f>('Data Input'!D57-$A$1)*24</f>
        <v/>
      </c>
      <c r="BJ100" t="n">
        <v>1</v>
      </c>
      <c r="BO100" t="n">
        <v>-999</v>
      </c>
      <c r="BP100" t="n">
        <v>-999</v>
      </c>
    </row>
    <row r="101" ht="11.5" customHeight="1">
      <c r="A101" s="78" t="n"/>
      <c r="B101" s="78" t="n"/>
      <c r="C101" s="78" t="n"/>
      <c r="D101" s="78" t="n"/>
      <c r="E101" s="78" t="n"/>
      <c r="F101" s="78" t="n"/>
      <c r="G101" s="78" t="n"/>
      <c r="H101" s="78" t="n"/>
      <c r="I101" s="78" t="n"/>
      <c r="J101" s="76" t="inlineStr">
        <is>
          <t>A</t>
        </is>
      </c>
      <c r="K101" s="79" t="n"/>
      <c r="L101" s="79" t="n"/>
      <c r="M101" s="79" t="n"/>
      <c r="N101" s="79" t="n"/>
      <c r="O101" s="79" t="n"/>
      <c r="P101" s="79" t="n"/>
      <c r="Q101" s="79" t="n"/>
      <c r="R101" s="79" t="n"/>
      <c r="S101" s="79" t="n"/>
      <c r="T101" s="79" t="n"/>
      <c r="U101" s="79" t="n"/>
      <c r="V101" s="79" t="n"/>
      <c r="W101" s="79" t="n"/>
      <c r="X101" s="79" t="n"/>
      <c r="Y101" s="79" t="n"/>
      <c r="Z101" s="79" t="n"/>
      <c r="AA101" s="79" t="n"/>
      <c r="AB101" s="79" t="n"/>
      <c r="AC101" s="79" t="n"/>
      <c r="AD101" s="79" t="n"/>
      <c r="AE101" s="79" t="n"/>
      <c r="AF101" s="79" t="n"/>
      <c r="AG101" s="79" t="n"/>
      <c r="AH101" s="79" t="n"/>
      <c r="AI101" s="79" t="n"/>
      <c r="AJ101" s="79" t="n"/>
      <c r="AK101" s="79" t="n"/>
      <c r="AL101" s="79" t="n"/>
      <c r="AM101" s="79" t="n"/>
      <c r="AN101" s="79" t="n"/>
      <c r="AO101" s="79" t="n"/>
      <c r="AP101" s="79" t="n"/>
      <c r="AQ101" s="79" t="n"/>
      <c r="AR101" s="79" t="n"/>
      <c r="AS101" s="79" t="n"/>
      <c r="AT101" s="79" t="n"/>
      <c r="AU101" s="79" t="n"/>
      <c r="AV101" s="79" t="n"/>
      <c r="AW101" s="79" t="n"/>
      <c r="AX101" s="79" t="n"/>
      <c r="AY101" s="79" t="n"/>
      <c r="AZ101" s="79" t="n"/>
      <c r="BA101" s="79" t="n"/>
      <c r="BB101" s="79" t="n"/>
      <c r="BC101" s="79" t="n"/>
      <c r="BD101" s="79" t="n"/>
      <c r="BE101" s="79" t="n"/>
      <c r="BF101" s="79" t="n"/>
      <c r="BH101">
        <f>IF($BK101="",-999,($BK101-$A$1)*24)</f>
        <v/>
      </c>
      <c r="BI101">
        <f>IF($BK101="",-999,(IF($BL101&lt;&gt;"",$BL101,IF($C$1&gt;$BK101,$C$1,$BK101+MAX('Data Input'!E57*$BM101,0.5)/24))-$A$1)*24)</f>
        <v/>
      </c>
      <c r="BJ101">
        <f>IF($BK101="",0,IF($BM101&gt;=1,IF($BN101&lt;=0,2,3),IF($BN101&lt;=0,4,5)))</f>
        <v/>
      </c>
      <c r="BK101">
        <f>IF('Data Input'!Q57="","",'Data Input'!Q57)</f>
        <v/>
      </c>
      <c r="BL101">
        <f>IF('Data Input'!R57="","",'Data Input'!R57)</f>
        <v/>
      </c>
      <c r="BM101">
        <f>'Data Input'!S57</f>
        <v/>
      </c>
      <c r="BN101">
        <f>'Data Input'!Y57</f>
        <v/>
      </c>
      <c r="BO101">
        <f>IF($BM101&gt;=1,-999,MAX(($C$1-$A$1)*24,IF($BK101&lt;&gt;"",$BI101,$BP101-'Data Input'!E57)))</f>
        <v/>
      </c>
      <c r="BP101">
        <f>('Data Input'!D57+'Data Input'!Y57/24-$A$1)*24</f>
        <v/>
      </c>
    </row>
    <row r="102" ht="11.5" customHeight="1">
      <c r="A102" s="68">
        <f>'Data Input'!A58</f>
        <v/>
      </c>
      <c r="B102" s="69">
        <f>'Data Input'!B58</f>
        <v/>
      </c>
      <c r="C102" s="70">
        <f>'Data Input'!O58</f>
        <v/>
      </c>
      <c r="D102" s="71">
        <f>'Data Input'!D58</f>
        <v/>
      </c>
      <c r="E102" s="72">
        <f>'Data Input'!D58+'Data Input'!Y58/24</f>
        <v/>
      </c>
      <c r="F102" s="73">
        <f>'Data Input'!Y58</f>
        <v/>
      </c>
      <c r="G102" s="74">
        <f>'Data Input'!T58</f>
        <v/>
      </c>
      <c r="H102" s="75">
        <f>'Data Input'!S58</f>
        <v/>
      </c>
      <c r="I102" s="57" t="n"/>
      <c r="J102" s="76" t="inlineStr">
        <is>
          <t>P</t>
        </is>
      </c>
      <c r="K102" s="77" t="n"/>
      <c r="L102" s="77" t="n"/>
      <c r="M102" s="77" t="n"/>
      <c r="N102" s="77" t="n"/>
      <c r="O102" s="77" t="n"/>
      <c r="P102" s="77" t="n"/>
      <c r="Q102" s="77" t="n"/>
      <c r="R102" s="77" t="n"/>
      <c r="S102" s="77" t="n"/>
      <c r="T102" s="77" t="n"/>
      <c r="U102" s="77" t="n"/>
      <c r="V102" s="77" t="n"/>
      <c r="W102" s="77" t="n"/>
      <c r="X102" s="77" t="n"/>
      <c r="Y102" s="77" t="n"/>
      <c r="Z102" s="77" t="n"/>
      <c r="AA102" s="77" t="n"/>
      <c r="AB102" s="77" t="n"/>
      <c r="AC102" s="77" t="n"/>
      <c r="AD102" s="77" t="n"/>
      <c r="AE102" s="77" t="n"/>
      <c r="AF102" s="77" t="n"/>
      <c r="AG102" s="77" t="n"/>
      <c r="AH102" s="77" t="n"/>
      <c r="AI102" s="77" t="n"/>
      <c r="AJ102" s="77" t="n"/>
      <c r="AK102" s="77" t="n"/>
      <c r="AL102" s="77" t="n"/>
      <c r="AM102" s="77" t="n"/>
      <c r="AN102" s="77" t="n"/>
      <c r="AO102" s="77" t="n"/>
      <c r="AP102" s="77" t="n"/>
      <c r="AQ102" s="77" t="n"/>
      <c r="AR102" s="77" t="n"/>
      <c r="AS102" s="77" t="n"/>
      <c r="AT102" s="77" t="n"/>
      <c r="AU102" s="77" t="n"/>
      <c r="AV102" s="77" t="n"/>
      <c r="AW102" s="77" t="n"/>
      <c r="AX102" s="77" t="n"/>
      <c r="AY102" s="77" t="n"/>
      <c r="AZ102" s="77" t="n"/>
      <c r="BA102" s="77" t="n"/>
      <c r="BB102" s="77" t="n"/>
      <c r="BC102" s="77" t="n"/>
      <c r="BD102" s="77" t="n"/>
      <c r="BE102" s="77" t="n"/>
      <c r="BF102" s="77" t="n"/>
      <c r="BH102">
        <f>('Data Input'!C58-$A$1)*24</f>
        <v/>
      </c>
      <c r="BI102">
        <f>('Data Input'!D58-$A$1)*24</f>
        <v/>
      </c>
      <c r="BJ102" t="n">
        <v>1</v>
      </c>
      <c r="BO102" t="n">
        <v>-999</v>
      </c>
      <c r="BP102" t="n">
        <v>-999</v>
      </c>
    </row>
    <row r="103" ht="11.5" customHeight="1">
      <c r="A103" s="78" t="n"/>
      <c r="B103" s="78" t="n"/>
      <c r="C103" s="78" t="n"/>
      <c r="D103" s="78" t="n"/>
      <c r="E103" s="78" t="n"/>
      <c r="F103" s="78" t="n"/>
      <c r="G103" s="78" t="n"/>
      <c r="H103" s="78" t="n"/>
      <c r="I103" s="78" t="n"/>
      <c r="J103" s="76" t="inlineStr">
        <is>
          <t>A</t>
        </is>
      </c>
      <c r="K103" s="79" t="n"/>
      <c r="L103" s="79" t="n"/>
      <c r="M103" s="79" t="n"/>
      <c r="N103" s="79" t="n"/>
      <c r="O103" s="79" t="n"/>
      <c r="P103" s="79" t="n"/>
      <c r="Q103" s="79" t="n"/>
      <c r="R103" s="79" t="n"/>
      <c r="S103" s="79" t="n"/>
      <c r="T103" s="79" t="n"/>
      <c r="U103" s="79" t="n"/>
      <c r="V103" s="79" t="n"/>
      <c r="W103" s="79" t="n"/>
      <c r="X103" s="79" t="n"/>
      <c r="Y103" s="79" t="n"/>
      <c r="Z103" s="79" t="n"/>
      <c r="AA103" s="79" t="n"/>
      <c r="AB103" s="79" t="n"/>
      <c r="AC103" s="79" t="n"/>
      <c r="AD103" s="79" t="n"/>
      <c r="AE103" s="79" t="n"/>
      <c r="AF103" s="79" t="n"/>
      <c r="AG103" s="79" t="n"/>
      <c r="AH103" s="79" t="n"/>
      <c r="AI103" s="79" t="n"/>
      <c r="AJ103" s="79" t="n"/>
      <c r="AK103" s="79" t="n"/>
      <c r="AL103" s="79" t="n"/>
      <c r="AM103" s="79" t="n"/>
      <c r="AN103" s="79" t="n"/>
      <c r="AO103" s="79" t="n"/>
      <c r="AP103" s="79" t="n"/>
      <c r="AQ103" s="79" t="n"/>
      <c r="AR103" s="79" t="n"/>
      <c r="AS103" s="79" t="n"/>
      <c r="AT103" s="79" t="n"/>
      <c r="AU103" s="79" t="n"/>
      <c r="AV103" s="79" t="n"/>
      <c r="AW103" s="79" t="n"/>
      <c r="AX103" s="79" t="n"/>
      <c r="AY103" s="79" t="n"/>
      <c r="AZ103" s="79" t="n"/>
      <c r="BA103" s="79" t="n"/>
      <c r="BB103" s="79" t="n"/>
      <c r="BC103" s="79" t="n"/>
      <c r="BD103" s="79" t="n"/>
      <c r="BE103" s="79" t="n"/>
      <c r="BF103" s="79" t="n"/>
      <c r="BH103">
        <f>IF($BK103="",-999,($BK103-$A$1)*24)</f>
        <v/>
      </c>
      <c r="BI103">
        <f>IF($BK103="",-999,(IF($BL103&lt;&gt;"",$BL103,IF($C$1&gt;$BK103,$C$1,$BK103+MAX('Data Input'!E58*$BM103,0.5)/24))-$A$1)*24)</f>
        <v/>
      </c>
      <c r="BJ103">
        <f>IF($BK103="",0,IF($BM103&gt;=1,IF($BN103&lt;=0,2,3),IF($BN103&lt;=0,4,5)))</f>
        <v/>
      </c>
      <c r="BK103">
        <f>IF('Data Input'!Q58="","",'Data Input'!Q58)</f>
        <v/>
      </c>
      <c r="BL103">
        <f>IF('Data Input'!R58="","",'Data Input'!R58)</f>
        <v/>
      </c>
      <c r="BM103">
        <f>'Data Input'!S58</f>
        <v/>
      </c>
      <c r="BN103">
        <f>'Data Input'!Y58</f>
        <v/>
      </c>
      <c r="BO103">
        <f>IF($BM103&gt;=1,-999,MAX(($C$1-$A$1)*24,IF($BK103&lt;&gt;"",$BI103,$BP103-'Data Input'!E58)))</f>
        <v/>
      </c>
      <c r="BP103">
        <f>('Data Input'!D58+'Data Input'!Y58/24-$A$1)*24</f>
        <v/>
      </c>
    </row>
    <row r="104" ht="11.5" customHeight="1">
      <c r="A104" s="68">
        <f>'Data Input'!A59</f>
        <v/>
      </c>
      <c r="B104" s="69">
        <f>'Data Input'!B59</f>
        <v/>
      </c>
      <c r="C104" s="70">
        <f>'Data Input'!O59</f>
        <v/>
      </c>
      <c r="D104" s="71">
        <f>'Data Input'!D59</f>
        <v/>
      </c>
      <c r="E104" s="72">
        <f>'Data Input'!D59+'Data Input'!Y59/24</f>
        <v/>
      </c>
      <c r="F104" s="73">
        <f>'Data Input'!Y59</f>
        <v/>
      </c>
      <c r="G104" s="74">
        <f>'Data Input'!T59</f>
        <v/>
      </c>
      <c r="H104" s="75">
        <f>'Data Input'!S59</f>
        <v/>
      </c>
      <c r="I104" s="57" t="n"/>
      <c r="J104" s="76" t="inlineStr">
        <is>
          <t>P</t>
        </is>
      </c>
      <c r="K104" s="77" t="n"/>
      <c r="L104" s="77" t="n"/>
      <c r="M104" s="77" t="n"/>
      <c r="N104" s="77" t="n"/>
      <c r="O104" s="77" t="n"/>
      <c r="P104" s="77" t="n"/>
      <c r="Q104" s="77" t="n"/>
      <c r="R104" s="77" t="n"/>
      <c r="S104" s="77" t="n"/>
      <c r="T104" s="77" t="n"/>
      <c r="U104" s="77" t="n"/>
      <c r="V104" s="77" t="n"/>
      <c r="W104" s="77" t="n"/>
      <c r="X104" s="77" t="n"/>
      <c r="Y104" s="77" t="n"/>
      <c r="Z104" s="77" t="n"/>
      <c r="AA104" s="77" t="n"/>
      <c r="AB104" s="77" t="n"/>
      <c r="AC104" s="77" t="n"/>
      <c r="AD104" s="77" t="n"/>
      <c r="AE104" s="77" t="n"/>
      <c r="AF104" s="77" t="n"/>
      <c r="AG104" s="77" t="n"/>
      <c r="AH104" s="77" t="n"/>
      <c r="AI104" s="77" t="n"/>
      <c r="AJ104" s="77" t="n"/>
      <c r="AK104" s="77" t="n"/>
      <c r="AL104" s="77" t="n"/>
      <c r="AM104" s="77" t="n"/>
      <c r="AN104" s="77" t="n"/>
      <c r="AO104" s="77" t="n"/>
      <c r="AP104" s="77" t="n"/>
      <c r="AQ104" s="77" t="n"/>
      <c r="AR104" s="77" t="n"/>
      <c r="AS104" s="77" t="n"/>
      <c r="AT104" s="77" t="n"/>
      <c r="AU104" s="77" t="n"/>
      <c r="AV104" s="77" t="n"/>
      <c r="AW104" s="77" t="n"/>
      <c r="AX104" s="77" t="n"/>
      <c r="AY104" s="77" t="n"/>
      <c r="AZ104" s="77" t="n"/>
      <c r="BA104" s="77" t="n"/>
      <c r="BB104" s="77" t="n"/>
      <c r="BC104" s="77" t="n"/>
      <c r="BD104" s="77" t="n"/>
      <c r="BE104" s="77" t="n"/>
      <c r="BF104" s="77" t="n"/>
      <c r="BH104">
        <f>('Data Input'!C59-$A$1)*24</f>
        <v/>
      </c>
      <c r="BI104">
        <f>('Data Input'!D59-$A$1)*24</f>
        <v/>
      </c>
      <c r="BJ104" t="n">
        <v>1</v>
      </c>
      <c r="BO104" t="n">
        <v>-999</v>
      </c>
      <c r="BP104" t="n">
        <v>-999</v>
      </c>
    </row>
    <row r="105" ht="11.5" customHeight="1">
      <c r="A105" s="78" t="n"/>
      <c r="B105" s="78" t="n"/>
      <c r="C105" s="78" t="n"/>
      <c r="D105" s="78" t="n"/>
      <c r="E105" s="78" t="n"/>
      <c r="F105" s="78" t="n"/>
      <c r="G105" s="78" t="n"/>
      <c r="H105" s="78" t="n"/>
      <c r="I105" s="78" t="n"/>
      <c r="J105" s="76" t="inlineStr">
        <is>
          <t>A</t>
        </is>
      </c>
      <c r="K105" s="79" t="n"/>
      <c r="L105" s="79" t="n"/>
      <c r="M105" s="79" t="n"/>
      <c r="N105" s="79" t="n"/>
      <c r="O105" s="79" t="n"/>
      <c r="P105" s="79" t="n"/>
      <c r="Q105" s="79" t="n"/>
      <c r="R105" s="79" t="n"/>
      <c r="S105" s="79" t="n"/>
      <c r="T105" s="79" t="n"/>
      <c r="U105" s="79" t="n"/>
      <c r="V105" s="79" t="n"/>
      <c r="W105" s="79" t="n"/>
      <c r="X105" s="79" t="n"/>
      <c r="Y105" s="79" t="n"/>
      <c r="Z105" s="79" t="n"/>
      <c r="AA105" s="79" t="n"/>
      <c r="AB105" s="79" t="n"/>
      <c r="AC105" s="79" t="n"/>
      <c r="AD105" s="79" t="n"/>
      <c r="AE105" s="79" t="n"/>
      <c r="AF105" s="79" t="n"/>
      <c r="AG105" s="79" t="n"/>
      <c r="AH105" s="79" t="n"/>
      <c r="AI105" s="79" t="n"/>
      <c r="AJ105" s="79" t="n"/>
      <c r="AK105" s="79" t="n"/>
      <c r="AL105" s="79" t="n"/>
      <c r="AM105" s="79" t="n"/>
      <c r="AN105" s="79" t="n"/>
      <c r="AO105" s="79" t="n"/>
      <c r="AP105" s="79" t="n"/>
      <c r="AQ105" s="79" t="n"/>
      <c r="AR105" s="79" t="n"/>
      <c r="AS105" s="79" t="n"/>
      <c r="AT105" s="79" t="n"/>
      <c r="AU105" s="79" t="n"/>
      <c r="AV105" s="79" t="n"/>
      <c r="AW105" s="79" t="n"/>
      <c r="AX105" s="79" t="n"/>
      <c r="AY105" s="79" t="n"/>
      <c r="AZ105" s="79" t="n"/>
      <c r="BA105" s="79" t="n"/>
      <c r="BB105" s="79" t="n"/>
      <c r="BC105" s="79" t="n"/>
      <c r="BD105" s="79" t="n"/>
      <c r="BE105" s="79" t="n"/>
      <c r="BF105" s="79" t="n"/>
      <c r="BH105">
        <f>IF($BK105="",-999,($BK105-$A$1)*24)</f>
        <v/>
      </c>
      <c r="BI105">
        <f>IF($BK105="",-999,(IF($BL105&lt;&gt;"",$BL105,IF($C$1&gt;$BK105,$C$1,$BK105+MAX('Data Input'!E59*$BM105,0.5)/24))-$A$1)*24)</f>
        <v/>
      </c>
      <c r="BJ105">
        <f>IF($BK105="",0,IF($BM105&gt;=1,IF($BN105&lt;=0,2,3),IF($BN105&lt;=0,4,5)))</f>
        <v/>
      </c>
      <c r="BK105">
        <f>IF('Data Input'!Q59="","",'Data Input'!Q59)</f>
        <v/>
      </c>
      <c r="BL105">
        <f>IF('Data Input'!R59="","",'Data Input'!R59)</f>
        <v/>
      </c>
      <c r="BM105">
        <f>'Data Input'!S59</f>
        <v/>
      </c>
      <c r="BN105">
        <f>'Data Input'!Y59</f>
        <v/>
      </c>
      <c r="BO105">
        <f>IF($BM105&gt;=1,-999,MAX(($C$1-$A$1)*24,IF($BK105&lt;&gt;"",$BI105,$BP105-'Data Input'!E59)))</f>
        <v/>
      </c>
      <c r="BP105">
        <f>('Data Input'!D59+'Data Input'!Y59/24-$A$1)*24</f>
        <v/>
      </c>
    </row>
    <row r="106" ht="11.5" customHeight="1">
      <c r="A106" s="68">
        <f>'Data Input'!A60</f>
        <v/>
      </c>
      <c r="B106" s="69">
        <f>'Data Input'!B60</f>
        <v/>
      </c>
      <c r="C106" s="70">
        <f>'Data Input'!O60</f>
        <v/>
      </c>
      <c r="D106" s="71">
        <f>'Data Input'!D60</f>
        <v/>
      </c>
      <c r="E106" s="72">
        <f>'Data Input'!D60+'Data Input'!Y60/24</f>
        <v/>
      </c>
      <c r="F106" s="73">
        <f>'Data Input'!Y60</f>
        <v/>
      </c>
      <c r="G106" s="74">
        <f>'Data Input'!T60</f>
        <v/>
      </c>
      <c r="H106" s="75">
        <f>'Data Input'!S60</f>
        <v/>
      </c>
      <c r="I106" s="57" t="n"/>
      <c r="J106" s="76" t="inlineStr">
        <is>
          <t>P</t>
        </is>
      </c>
      <c r="K106" s="77" t="n"/>
      <c r="L106" s="77" t="n"/>
      <c r="M106" s="77" t="n"/>
      <c r="N106" s="77" t="n"/>
      <c r="O106" s="77" t="n"/>
      <c r="P106" s="77" t="n"/>
      <c r="Q106" s="77" t="n"/>
      <c r="R106" s="77" t="n"/>
      <c r="S106" s="77" t="n"/>
      <c r="T106" s="77" t="n"/>
      <c r="U106" s="77" t="n"/>
      <c r="V106" s="77" t="n"/>
      <c r="W106" s="77" t="n"/>
      <c r="X106" s="77" t="n"/>
      <c r="Y106" s="77" t="n"/>
      <c r="Z106" s="77" t="n"/>
      <c r="AA106" s="77" t="n"/>
      <c r="AB106" s="77" t="n"/>
      <c r="AC106" s="77" t="n"/>
      <c r="AD106" s="77" t="n"/>
      <c r="AE106" s="77" t="n"/>
      <c r="AF106" s="77" t="n"/>
      <c r="AG106" s="77" t="n"/>
      <c r="AH106" s="77" t="n"/>
      <c r="AI106" s="77" t="n"/>
      <c r="AJ106" s="77" t="n"/>
      <c r="AK106" s="77" t="n"/>
      <c r="AL106" s="77" t="n"/>
      <c r="AM106" s="77" t="n"/>
      <c r="AN106" s="77" t="n"/>
      <c r="AO106" s="77" t="n"/>
      <c r="AP106" s="77" t="n"/>
      <c r="AQ106" s="77" t="n"/>
      <c r="AR106" s="77" t="n"/>
      <c r="AS106" s="77" t="n"/>
      <c r="AT106" s="77" t="n"/>
      <c r="AU106" s="77" t="n"/>
      <c r="AV106" s="77" t="n"/>
      <c r="AW106" s="77" t="n"/>
      <c r="AX106" s="77" t="n"/>
      <c r="AY106" s="77" t="n"/>
      <c r="AZ106" s="77" t="n"/>
      <c r="BA106" s="77" t="n"/>
      <c r="BB106" s="77" t="n"/>
      <c r="BC106" s="77" t="n"/>
      <c r="BD106" s="77" t="n"/>
      <c r="BE106" s="77" t="n"/>
      <c r="BF106" s="77" t="n"/>
      <c r="BH106">
        <f>('Data Input'!C60-$A$1)*24</f>
        <v/>
      </c>
      <c r="BI106">
        <f>('Data Input'!D60-$A$1)*24</f>
        <v/>
      </c>
      <c r="BJ106" t="n">
        <v>1</v>
      </c>
      <c r="BO106" t="n">
        <v>-999</v>
      </c>
      <c r="BP106" t="n">
        <v>-999</v>
      </c>
    </row>
    <row r="107" ht="11.5" customHeight="1">
      <c r="A107" s="78" t="n"/>
      <c r="B107" s="78" t="n"/>
      <c r="C107" s="78" t="n"/>
      <c r="D107" s="78" t="n"/>
      <c r="E107" s="78" t="n"/>
      <c r="F107" s="78" t="n"/>
      <c r="G107" s="78" t="n"/>
      <c r="H107" s="78" t="n"/>
      <c r="I107" s="78" t="n"/>
      <c r="J107" s="76" t="inlineStr">
        <is>
          <t>A</t>
        </is>
      </c>
      <c r="K107" s="79" t="n"/>
      <c r="L107" s="79" t="n"/>
      <c r="M107" s="79" t="n"/>
      <c r="N107" s="79" t="n"/>
      <c r="O107" s="79" t="n"/>
      <c r="P107" s="79" t="n"/>
      <c r="Q107" s="79" t="n"/>
      <c r="R107" s="79" t="n"/>
      <c r="S107" s="79" t="n"/>
      <c r="T107" s="79" t="n"/>
      <c r="U107" s="79" t="n"/>
      <c r="V107" s="79" t="n"/>
      <c r="W107" s="79" t="n"/>
      <c r="X107" s="79" t="n"/>
      <c r="Y107" s="79" t="n"/>
      <c r="Z107" s="79" t="n"/>
      <c r="AA107" s="79" t="n"/>
      <c r="AB107" s="79" t="n"/>
      <c r="AC107" s="79" t="n"/>
      <c r="AD107" s="79" t="n"/>
      <c r="AE107" s="79" t="n"/>
      <c r="AF107" s="79" t="n"/>
      <c r="AG107" s="79" t="n"/>
      <c r="AH107" s="79" t="n"/>
      <c r="AI107" s="79" t="n"/>
      <c r="AJ107" s="79" t="n"/>
      <c r="AK107" s="79" t="n"/>
      <c r="AL107" s="79" t="n"/>
      <c r="AM107" s="79" t="n"/>
      <c r="AN107" s="79" t="n"/>
      <c r="AO107" s="79" t="n"/>
      <c r="AP107" s="79" t="n"/>
      <c r="AQ107" s="79" t="n"/>
      <c r="AR107" s="79" t="n"/>
      <c r="AS107" s="79" t="n"/>
      <c r="AT107" s="79" t="n"/>
      <c r="AU107" s="79" t="n"/>
      <c r="AV107" s="79" t="n"/>
      <c r="AW107" s="79" t="n"/>
      <c r="AX107" s="79" t="n"/>
      <c r="AY107" s="79" t="n"/>
      <c r="AZ107" s="79" t="n"/>
      <c r="BA107" s="79" t="n"/>
      <c r="BB107" s="79" t="n"/>
      <c r="BC107" s="79" t="n"/>
      <c r="BD107" s="79" t="n"/>
      <c r="BE107" s="79" t="n"/>
      <c r="BF107" s="79" t="n"/>
      <c r="BH107">
        <f>IF($BK107="",-999,($BK107-$A$1)*24)</f>
        <v/>
      </c>
      <c r="BI107">
        <f>IF($BK107="",-999,(IF($BL107&lt;&gt;"",$BL107,IF($C$1&gt;$BK107,$C$1,$BK107+MAX('Data Input'!E60*$BM107,0.5)/24))-$A$1)*24)</f>
        <v/>
      </c>
      <c r="BJ107">
        <f>IF($BK107="",0,IF($BM107&gt;=1,IF($BN107&lt;=0,2,3),IF($BN107&lt;=0,4,5)))</f>
        <v/>
      </c>
      <c r="BK107">
        <f>IF('Data Input'!Q60="","",'Data Input'!Q60)</f>
        <v/>
      </c>
      <c r="BL107">
        <f>IF('Data Input'!R60="","",'Data Input'!R60)</f>
        <v/>
      </c>
      <c r="BM107">
        <f>'Data Input'!S60</f>
        <v/>
      </c>
      <c r="BN107">
        <f>'Data Input'!Y60</f>
        <v/>
      </c>
      <c r="BO107">
        <f>IF($BM107&gt;=1,-999,MAX(($C$1-$A$1)*24,IF($BK107&lt;&gt;"",$BI107,$BP107-'Data Input'!E60)))</f>
        <v/>
      </c>
      <c r="BP107">
        <f>('Data Input'!D60+'Data Input'!Y60/24-$A$1)*24</f>
        <v/>
      </c>
    </row>
    <row r="108" ht="11.5" customHeight="1">
      <c r="A108" s="68">
        <f>'Data Input'!A61</f>
        <v/>
      </c>
      <c r="B108" s="69">
        <f>'Data Input'!B61</f>
        <v/>
      </c>
      <c r="C108" s="70">
        <f>'Data Input'!O61</f>
        <v/>
      </c>
      <c r="D108" s="71">
        <f>'Data Input'!D61</f>
        <v/>
      </c>
      <c r="E108" s="72">
        <f>'Data Input'!D61+'Data Input'!Y61/24</f>
        <v/>
      </c>
      <c r="F108" s="73">
        <f>'Data Input'!Y61</f>
        <v/>
      </c>
      <c r="G108" s="74">
        <f>'Data Input'!T61</f>
        <v/>
      </c>
      <c r="H108" s="75">
        <f>'Data Input'!S61</f>
        <v/>
      </c>
      <c r="I108" s="57" t="n"/>
      <c r="J108" s="76" t="inlineStr">
        <is>
          <t>P</t>
        </is>
      </c>
      <c r="K108" s="77" t="n"/>
      <c r="L108" s="77" t="n"/>
      <c r="M108" s="77" t="n"/>
      <c r="N108" s="77" t="n"/>
      <c r="O108" s="77" t="n"/>
      <c r="P108" s="77" t="n"/>
      <c r="Q108" s="77" t="n"/>
      <c r="R108" s="77" t="n"/>
      <c r="S108" s="77" t="n"/>
      <c r="T108" s="77" t="n"/>
      <c r="U108" s="77" t="n"/>
      <c r="V108" s="77" t="n"/>
      <c r="W108" s="77" t="n"/>
      <c r="X108" s="77" t="n"/>
      <c r="Y108" s="77" t="n"/>
      <c r="Z108" s="77" t="n"/>
      <c r="AA108" s="77" t="n"/>
      <c r="AB108" s="77" t="n"/>
      <c r="AC108" s="77" t="n"/>
      <c r="AD108" s="77" t="n"/>
      <c r="AE108" s="77" t="n"/>
      <c r="AF108" s="77" t="n"/>
      <c r="AG108" s="77" t="n"/>
      <c r="AH108" s="77" t="n"/>
      <c r="AI108" s="77" t="n"/>
      <c r="AJ108" s="77" t="n"/>
      <c r="AK108" s="77" t="n"/>
      <c r="AL108" s="77" t="n"/>
      <c r="AM108" s="77" t="n"/>
      <c r="AN108" s="77" t="n"/>
      <c r="AO108" s="77" t="n"/>
      <c r="AP108" s="77" t="n"/>
      <c r="AQ108" s="77" t="n"/>
      <c r="AR108" s="77" t="n"/>
      <c r="AS108" s="77" t="n"/>
      <c r="AT108" s="77" t="n"/>
      <c r="AU108" s="77" t="n"/>
      <c r="AV108" s="77" t="n"/>
      <c r="AW108" s="77" t="n"/>
      <c r="AX108" s="77" t="n"/>
      <c r="AY108" s="77" t="n"/>
      <c r="AZ108" s="77" t="n"/>
      <c r="BA108" s="77" t="n"/>
      <c r="BB108" s="77" t="n"/>
      <c r="BC108" s="77" t="n"/>
      <c r="BD108" s="77" t="n"/>
      <c r="BE108" s="77" t="n"/>
      <c r="BF108" s="77" t="n"/>
      <c r="BH108">
        <f>('Data Input'!C61-$A$1)*24</f>
        <v/>
      </c>
      <c r="BI108">
        <f>('Data Input'!D61-$A$1)*24</f>
        <v/>
      </c>
      <c r="BJ108" t="n">
        <v>1</v>
      </c>
      <c r="BO108" t="n">
        <v>-999</v>
      </c>
      <c r="BP108" t="n">
        <v>-999</v>
      </c>
    </row>
    <row r="109" ht="11.5" customHeight="1">
      <c r="A109" s="78" t="n"/>
      <c r="B109" s="78" t="n"/>
      <c r="C109" s="78" t="n"/>
      <c r="D109" s="78" t="n"/>
      <c r="E109" s="78" t="n"/>
      <c r="F109" s="78" t="n"/>
      <c r="G109" s="78" t="n"/>
      <c r="H109" s="78" t="n"/>
      <c r="I109" s="78" t="n"/>
      <c r="J109" s="76" t="inlineStr">
        <is>
          <t>A</t>
        </is>
      </c>
      <c r="K109" s="79" t="n"/>
      <c r="L109" s="79" t="n"/>
      <c r="M109" s="79" t="n"/>
      <c r="N109" s="79" t="n"/>
      <c r="O109" s="79" t="n"/>
      <c r="P109" s="79" t="n"/>
      <c r="Q109" s="79" t="n"/>
      <c r="R109" s="79" t="n"/>
      <c r="S109" s="79" t="n"/>
      <c r="T109" s="79" t="n"/>
      <c r="U109" s="79" t="n"/>
      <c r="V109" s="79" t="n"/>
      <c r="W109" s="79" t="n"/>
      <c r="X109" s="79" t="n"/>
      <c r="Y109" s="79" t="n"/>
      <c r="Z109" s="79" t="n"/>
      <c r="AA109" s="79" t="n"/>
      <c r="AB109" s="79" t="n"/>
      <c r="AC109" s="79" t="n"/>
      <c r="AD109" s="79" t="n"/>
      <c r="AE109" s="79" t="n"/>
      <c r="AF109" s="79" t="n"/>
      <c r="AG109" s="79" t="n"/>
      <c r="AH109" s="79" t="n"/>
      <c r="AI109" s="79" t="n"/>
      <c r="AJ109" s="79" t="n"/>
      <c r="AK109" s="79" t="n"/>
      <c r="AL109" s="79" t="n"/>
      <c r="AM109" s="79" t="n"/>
      <c r="AN109" s="79" t="n"/>
      <c r="AO109" s="79" t="n"/>
      <c r="AP109" s="79" t="n"/>
      <c r="AQ109" s="79" t="n"/>
      <c r="AR109" s="79" t="n"/>
      <c r="AS109" s="79" t="n"/>
      <c r="AT109" s="79" t="n"/>
      <c r="AU109" s="79" t="n"/>
      <c r="AV109" s="79" t="n"/>
      <c r="AW109" s="79" t="n"/>
      <c r="AX109" s="79" t="n"/>
      <c r="AY109" s="79" t="n"/>
      <c r="AZ109" s="79" t="n"/>
      <c r="BA109" s="79" t="n"/>
      <c r="BB109" s="79" t="n"/>
      <c r="BC109" s="79" t="n"/>
      <c r="BD109" s="79" t="n"/>
      <c r="BE109" s="79" t="n"/>
      <c r="BF109" s="79" t="n"/>
      <c r="BH109">
        <f>IF($BK109="",-999,($BK109-$A$1)*24)</f>
        <v/>
      </c>
      <c r="BI109">
        <f>IF($BK109="",-999,(IF($BL109&lt;&gt;"",$BL109,IF($C$1&gt;$BK109,$C$1,$BK109+MAX('Data Input'!E61*$BM109,0.5)/24))-$A$1)*24)</f>
        <v/>
      </c>
      <c r="BJ109">
        <f>IF($BK109="",0,IF($BM109&gt;=1,IF($BN109&lt;=0,2,3),IF($BN109&lt;=0,4,5)))</f>
        <v/>
      </c>
      <c r="BK109">
        <f>IF('Data Input'!Q61="","",'Data Input'!Q61)</f>
        <v/>
      </c>
      <c r="BL109">
        <f>IF('Data Input'!R61="","",'Data Input'!R61)</f>
        <v/>
      </c>
      <c r="BM109">
        <f>'Data Input'!S61</f>
        <v/>
      </c>
      <c r="BN109">
        <f>'Data Input'!Y61</f>
        <v/>
      </c>
      <c r="BO109">
        <f>IF($BM109&gt;=1,-999,MAX(($C$1-$A$1)*24,IF($BK109&lt;&gt;"",$BI109,$BP109-'Data Input'!E61)))</f>
        <v/>
      </c>
      <c r="BP109">
        <f>('Data Input'!D61+'Data Input'!Y61/24-$A$1)*24</f>
        <v/>
      </c>
    </row>
    <row r="110" ht="11.5" customHeight="1">
      <c r="A110" s="68">
        <f>'Data Input'!A62</f>
        <v/>
      </c>
      <c r="B110" s="69">
        <f>'Data Input'!B62</f>
        <v/>
      </c>
      <c r="C110" s="70">
        <f>'Data Input'!O62</f>
        <v/>
      </c>
      <c r="D110" s="71">
        <f>'Data Input'!D62</f>
        <v/>
      </c>
      <c r="E110" s="72">
        <f>'Data Input'!D62+'Data Input'!Y62/24</f>
        <v/>
      </c>
      <c r="F110" s="73">
        <f>'Data Input'!Y62</f>
        <v/>
      </c>
      <c r="G110" s="74">
        <f>'Data Input'!T62</f>
        <v/>
      </c>
      <c r="H110" s="75">
        <f>'Data Input'!S62</f>
        <v/>
      </c>
      <c r="I110" s="57" t="n"/>
      <c r="J110" s="76" t="inlineStr">
        <is>
          <t>P</t>
        </is>
      </c>
      <c r="K110" s="77" t="n"/>
      <c r="L110" s="77" t="n"/>
      <c r="M110" s="77" t="n"/>
      <c r="N110" s="77" t="n"/>
      <c r="O110" s="77" t="n"/>
      <c r="P110" s="77" t="n"/>
      <c r="Q110" s="77" t="n"/>
      <c r="R110" s="77" t="n"/>
      <c r="S110" s="77" t="n"/>
      <c r="T110" s="77" t="n"/>
      <c r="U110" s="77" t="n"/>
      <c r="V110" s="77" t="n"/>
      <c r="W110" s="77" t="n"/>
      <c r="X110" s="77" t="n"/>
      <c r="Y110" s="77" t="n"/>
      <c r="Z110" s="77" t="n"/>
      <c r="AA110" s="77" t="n"/>
      <c r="AB110" s="77" t="n"/>
      <c r="AC110" s="77" t="n"/>
      <c r="AD110" s="77" t="n"/>
      <c r="AE110" s="77" t="n"/>
      <c r="AF110" s="77" t="n"/>
      <c r="AG110" s="77" t="n"/>
      <c r="AH110" s="77" t="n"/>
      <c r="AI110" s="77" t="n"/>
      <c r="AJ110" s="77" t="n"/>
      <c r="AK110" s="77" t="n"/>
      <c r="AL110" s="77" t="n"/>
      <c r="AM110" s="77" t="n"/>
      <c r="AN110" s="77" t="n"/>
      <c r="AO110" s="77" t="n"/>
      <c r="AP110" s="77" t="n"/>
      <c r="AQ110" s="77" t="n"/>
      <c r="AR110" s="77" t="n"/>
      <c r="AS110" s="77" t="n"/>
      <c r="AT110" s="77" t="n"/>
      <c r="AU110" s="77" t="n"/>
      <c r="AV110" s="77" t="n"/>
      <c r="AW110" s="77" t="n"/>
      <c r="AX110" s="77" t="n"/>
      <c r="AY110" s="77" t="n"/>
      <c r="AZ110" s="77" t="n"/>
      <c r="BA110" s="77" t="n"/>
      <c r="BB110" s="77" t="n"/>
      <c r="BC110" s="77" t="n"/>
      <c r="BD110" s="77" t="n"/>
      <c r="BE110" s="77" t="n"/>
      <c r="BF110" s="77" t="n"/>
      <c r="BH110">
        <f>('Data Input'!C62-$A$1)*24</f>
        <v/>
      </c>
      <c r="BI110">
        <f>('Data Input'!D62-$A$1)*24</f>
        <v/>
      </c>
      <c r="BJ110" t="n">
        <v>1</v>
      </c>
      <c r="BO110" t="n">
        <v>-999</v>
      </c>
      <c r="BP110" t="n">
        <v>-999</v>
      </c>
    </row>
    <row r="111" ht="11.5" customHeight="1">
      <c r="A111" s="78" t="n"/>
      <c r="B111" s="78" t="n"/>
      <c r="C111" s="78" t="n"/>
      <c r="D111" s="78" t="n"/>
      <c r="E111" s="78" t="n"/>
      <c r="F111" s="78" t="n"/>
      <c r="G111" s="78" t="n"/>
      <c r="H111" s="78" t="n"/>
      <c r="I111" s="78" t="n"/>
      <c r="J111" s="76" t="inlineStr">
        <is>
          <t>A</t>
        </is>
      </c>
      <c r="K111" s="79" t="n"/>
      <c r="L111" s="79" t="n"/>
      <c r="M111" s="79" t="n"/>
      <c r="N111" s="79" t="n"/>
      <c r="O111" s="79" t="n"/>
      <c r="P111" s="79" t="n"/>
      <c r="Q111" s="79" t="n"/>
      <c r="R111" s="79" t="n"/>
      <c r="S111" s="79" t="n"/>
      <c r="T111" s="79" t="n"/>
      <c r="U111" s="79" t="n"/>
      <c r="V111" s="79" t="n"/>
      <c r="W111" s="79" t="n"/>
      <c r="X111" s="79" t="n"/>
      <c r="Y111" s="79" t="n"/>
      <c r="Z111" s="79" t="n"/>
      <c r="AA111" s="79" t="n"/>
      <c r="AB111" s="79" t="n"/>
      <c r="AC111" s="79" t="n"/>
      <c r="AD111" s="79" t="n"/>
      <c r="AE111" s="79" t="n"/>
      <c r="AF111" s="79" t="n"/>
      <c r="AG111" s="79" t="n"/>
      <c r="AH111" s="79" t="n"/>
      <c r="AI111" s="79" t="n"/>
      <c r="AJ111" s="79" t="n"/>
      <c r="AK111" s="79" t="n"/>
      <c r="AL111" s="79" t="n"/>
      <c r="AM111" s="79" t="n"/>
      <c r="AN111" s="79" t="n"/>
      <c r="AO111" s="79" t="n"/>
      <c r="AP111" s="79" t="n"/>
      <c r="AQ111" s="79" t="n"/>
      <c r="AR111" s="79" t="n"/>
      <c r="AS111" s="79" t="n"/>
      <c r="AT111" s="79" t="n"/>
      <c r="AU111" s="79" t="n"/>
      <c r="AV111" s="79" t="n"/>
      <c r="AW111" s="79" t="n"/>
      <c r="AX111" s="79" t="n"/>
      <c r="AY111" s="79" t="n"/>
      <c r="AZ111" s="79" t="n"/>
      <c r="BA111" s="79" t="n"/>
      <c r="BB111" s="79" t="n"/>
      <c r="BC111" s="79" t="n"/>
      <c r="BD111" s="79" t="n"/>
      <c r="BE111" s="79" t="n"/>
      <c r="BF111" s="79" t="n"/>
      <c r="BH111">
        <f>IF($BK111="",-999,($BK111-$A$1)*24)</f>
        <v/>
      </c>
      <c r="BI111">
        <f>IF($BK111="",-999,(IF($BL111&lt;&gt;"",$BL111,IF($C$1&gt;$BK111,$C$1,$BK111+MAX('Data Input'!E62*$BM111,0.5)/24))-$A$1)*24)</f>
        <v/>
      </c>
      <c r="BJ111">
        <f>IF($BK111="",0,IF($BM111&gt;=1,IF($BN111&lt;=0,2,3),IF($BN111&lt;=0,4,5)))</f>
        <v/>
      </c>
      <c r="BK111">
        <f>IF('Data Input'!Q62="","",'Data Input'!Q62)</f>
        <v/>
      </c>
      <c r="BL111">
        <f>IF('Data Input'!R62="","",'Data Input'!R62)</f>
        <v/>
      </c>
      <c r="BM111">
        <f>'Data Input'!S62</f>
        <v/>
      </c>
      <c r="BN111">
        <f>'Data Input'!Y62</f>
        <v/>
      </c>
      <c r="BO111">
        <f>IF($BM111&gt;=1,-999,MAX(($C$1-$A$1)*24,IF($BK111&lt;&gt;"",$BI111,$BP111-'Data Input'!E62)))</f>
        <v/>
      </c>
      <c r="BP111">
        <f>('Data Input'!D62+'Data Input'!Y62/24-$A$1)*24</f>
        <v/>
      </c>
    </row>
    <row r="112" ht="11.5" customHeight="1">
      <c r="A112" s="68">
        <f>'Data Input'!A63</f>
        <v/>
      </c>
      <c r="B112" s="69">
        <f>'Data Input'!B63</f>
        <v/>
      </c>
      <c r="C112" s="70">
        <f>'Data Input'!O63</f>
        <v/>
      </c>
      <c r="D112" s="71">
        <f>'Data Input'!D63</f>
        <v/>
      </c>
      <c r="E112" s="72">
        <f>'Data Input'!D63+'Data Input'!Y63/24</f>
        <v/>
      </c>
      <c r="F112" s="73">
        <f>'Data Input'!Y63</f>
        <v/>
      </c>
      <c r="G112" s="74">
        <f>'Data Input'!T63</f>
        <v/>
      </c>
      <c r="H112" s="75">
        <f>'Data Input'!S63</f>
        <v/>
      </c>
      <c r="I112" s="57" t="n"/>
      <c r="J112" s="76" t="inlineStr">
        <is>
          <t>P</t>
        </is>
      </c>
      <c r="K112" s="77" t="n"/>
      <c r="L112" s="77" t="n"/>
      <c r="M112" s="77" t="n"/>
      <c r="N112" s="77" t="n"/>
      <c r="O112" s="77" t="n"/>
      <c r="P112" s="77" t="n"/>
      <c r="Q112" s="77" t="n"/>
      <c r="R112" s="77" t="n"/>
      <c r="S112" s="77" t="n"/>
      <c r="T112" s="77" t="n"/>
      <c r="U112" s="77" t="n"/>
      <c r="V112" s="77" t="n"/>
      <c r="W112" s="77" t="n"/>
      <c r="X112" s="77" t="n"/>
      <c r="Y112" s="77" t="n"/>
      <c r="Z112" s="77" t="n"/>
      <c r="AA112" s="77" t="n"/>
      <c r="AB112" s="77" t="n"/>
      <c r="AC112" s="77" t="n"/>
      <c r="AD112" s="77" t="n"/>
      <c r="AE112" s="77" t="n"/>
      <c r="AF112" s="77" t="n"/>
      <c r="AG112" s="77" t="n"/>
      <c r="AH112" s="77" t="n"/>
      <c r="AI112" s="77" t="n"/>
      <c r="AJ112" s="77" t="n"/>
      <c r="AK112" s="77" t="n"/>
      <c r="AL112" s="77" t="n"/>
      <c r="AM112" s="77" t="n"/>
      <c r="AN112" s="77" t="n"/>
      <c r="AO112" s="77" t="n"/>
      <c r="AP112" s="77" t="n"/>
      <c r="AQ112" s="77" t="n"/>
      <c r="AR112" s="77" t="n"/>
      <c r="AS112" s="77" t="n"/>
      <c r="AT112" s="77" t="n"/>
      <c r="AU112" s="77" t="n"/>
      <c r="AV112" s="77" t="n"/>
      <c r="AW112" s="77" t="n"/>
      <c r="AX112" s="77" t="n"/>
      <c r="AY112" s="77" t="n"/>
      <c r="AZ112" s="77" t="n"/>
      <c r="BA112" s="77" t="n"/>
      <c r="BB112" s="77" t="n"/>
      <c r="BC112" s="77" t="n"/>
      <c r="BD112" s="77" t="n"/>
      <c r="BE112" s="77" t="n"/>
      <c r="BF112" s="77" t="n"/>
      <c r="BH112">
        <f>('Data Input'!C63-$A$1)*24</f>
        <v/>
      </c>
      <c r="BI112">
        <f>('Data Input'!D63-$A$1)*24</f>
        <v/>
      </c>
      <c r="BJ112" t="n">
        <v>1</v>
      </c>
      <c r="BO112" t="n">
        <v>-999</v>
      </c>
      <c r="BP112" t="n">
        <v>-999</v>
      </c>
    </row>
    <row r="113" ht="11.5" customHeight="1">
      <c r="A113" s="78" t="n"/>
      <c r="B113" s="78" t="n"/>
      <c r="C113" s="78" t="n"/>
      <c r="D113" s="78" t="n"/>
      <c r="E113" s="78" t="n"/>
      <c r="F113" s="78" t="n"/>
      <c r="G113" s="78" t="n"/>
      <c r="H113" s="78" t="n"/>
      <c r="I113" s="78" t="n"/>
      <c r="J113" s="76" t="inlineStr">
        <is>
          <t>A</t>
        </is>
      </c>
      <c r="K113" s="79" t="n"/>
      <c r="L113" s="79" t="n"/>
      <c r="M113" s="79" t="n"/>
      <c r="N113" s="79" t="n"/>
      <c r="O113" s="79" t="n"/>
      <c r="P113" s="79" t="n"/>
      <c r="Q113" s="79" t="n"/>
      <c r="R113" s="79" t="n"/>
      <c r="S113" s="79" t="n"/>
      <c r="T113" s="79" t="n"/>
      <c r="U113" s="79" t="n"/>
      <c r="V113" s="79" t="n"/>
      <c r="W113" s="79" t="n"/>
      <c r="X113" s="79" t="n"/>
      <c r="Y113" s="79" t="n"/>
      <c r="Z113" s="79" t="n"/>
      <c r="AA113" s="79" t="n"/>
      <c r="AB113" s="79" t="n"/>
      <c r="AC113" s="79" t="n"/>
      <c r="AD113" s="79" t="n"/>
      <c r="AE113" s="79" t="n"/>
      <c r="AF113" s="79" t="n"/>
      <c r="AG113" s="79" t="n"/>
      <c r="AH113" s="79" t="n"/>
      <c r="AI113" s="79" t="n"/>
      <c r="AJ113" s="79" t="n"/>
      <c r="AK113" s="79" t="n"/>
      <c r="AL113" s="79" t="n"/>
      <c r="AM113" s="79" t="n"/>
      <c r="AN113" s="79" t="n"/>
      <c r="AO113" s="79" t="n"/>
      <c r="AP113" s="79" t="n"/>
      <c r="AQ113" s="79" t="n"/>
      <c r="AR113" s="79" t="n"/>
      <c r="AS113" s="79" t="n"/>
      <c r="AT113" s="79" t="n"/>
      <c r="AU113" s="79" t="n"/>
      <c r="AV113" s="79" t="n"/>
      <c r="AW113" s="79" t="n"/>
      <c r="AX113" s="79" t="n"/>
      <c r="AY113" s="79" t="n"/>
      <c r="AZ113" s="79" t="n"/>
      <c r="BA113" s="79" t="n"/>
      <c r="BB113" s="79" t="n"/>
      <c r="BC113" s="79" t="n"/>
      <c r="BD113" s="79" t="n"/>
      <c r="BE113" s="79" t="n"/>
      <c r="BF113" s="79" t="n"/>
      <c r="BH113">
        <f>IF($BK113="",-999,($BK113-$A$1)*24)</f>
        <v/>
      </c>
      <c r="BI113">
        <f>IF($BK113="",-999,(IF($BL113&lt;&gt;"",$BL113,IF($C$1&gt;$BK113,$C$1,$BK113+MAX('Data Input'!E63*$BM113,0.5)/24))-$A$1)*24)</f>
        <v/>
      </c>
      <c r="BJ113">
        <f>IF($BK113="",0,IF($BM113&gt;=1,IF($BN113&lt;=0,2,3),IF($BN113&lt;=0,4,5)))</f>
        <v/>
      </c>
      <c r="BK113">
        <f>IF('Data Input'!Q63="","",'Data Input'!Q63)</f>
        <v/>
      </c>
      <c r="BL113">
        <f>IF('Data Input'!R63="","",'Data Input'!R63)</f>
        <v/>
      </c>
      <c r="BM113">
        <f>'Data Input'!S63</f>
        <v/>
      </c>
      <c r="BN113">
        <f>'Data Input'!Y63</f>
        <v/>
      </c>
      <c r="BO113">
        <f>IF($BM113&gt;=1,-999,MAX(($C$1-$A$1)*24,IF($BK113&lt;&gt;"",$BI113,$BP113-'Data Input'!E63)))</f>
        <v/>
      </c>
      <c r="BP113">
        <f>('Data Input'!D63+'Data Input'!Y63/24-$A$1)*24</f>
        <v/>
      </c>
    </row>
    <row r="114" ht="11.5" customHeight="1">
      <c r="A114" s="68">
        <f>'Data Input'!A64</f>
        <v/>
      </c>
      <c r="B114" s="69">
        <f>'Data Input'!B64</f>
        <v/>
      </c>
      <c r="C114" s="70">
        <f>'Data Input'!O64</f>
        <v/>
      </c>
      <c r="D114" s="71">
        <f>'Data Input'!D64</f>
        <v/>
      </c>
      <c r="E114" s="72">
        <f>'Data Input'!D64+'Data Input'!Y64/24</f>
        <v/>
      </c>
      <c r="F114" s="73">
        <f>'Data Input'!Y64</f>
        <v/>
      </c>
      <c r="G114" s="74">
        <f>'Data Input'!T64</f>
        <v/>
      </c>
      <c r="H114" s="75">
        <f>'Data Input'!S64</f>
        <v/>
      </c>
      <c r="I114" s="57" t="n"/>
      <c r="J114" s="76" t="inlineStr">
        <is>
          <t>P</t>
        </is>
      </c>
      <c r="K114" s="77" t="n"/>
      <c r="L114" s="77" t="n"/>
      <c r="M114" s="77" t="n"/>
      <c r="N114" s="77" t="n"/>
      <c r="O114" s="77" t="n"/>
      <c r="P114" s="77" t="n"/>
      <c r="Q114" s="77" t="n"/>
      <c r="R114" s="77" t="n"/>
      <c r="S114" s="77" t="n"/>
      <c r="T114" s="77" t="n"/>
      <c r="U114" s="77" t="n"/>
      <c r="V114" s="77" t="n"/>
      <c r="W114" s="77" t="n"/>
      <c r="X114" s="77" t="n"/>
      <c r="Y114" s="77" t="n"/>
      <c r="Z114" s="77" t="n"/>
      <c r="AA114" s="77" t="n"/>
      <c r="AB114" s="77" t="n"/>
      <c r="AC114" s="77" t="n"/>
      <c r="AD114" s="77" t="n"/>
      <c r="AE114" s="77" t="n"/>
      <c r="AF114" s="77" t="n"/>
      <c r="AG114" s="77" t="n"/>
      <c r="AH114" s="77" t="n"/>
      <c r="AI114" s="77" t="n"/>
      <c r="AJ114" s="77" t="n"/>
      <c r="AK114" s="77" t="n"/>
      <c r="AL114" s="77" t="n"/>
      <c r="AM114" s="77" t="n"/>
      <c r="AN114" s="77" t="n"/>
      <c r="AO114" s="77" t="n"/>
      <c r="AP114" s="77" t="n"/>
      <c r="AQ114" s="77" t="n"/>
      <c r="AR114" s="77" t="n"/>
      <c r="AS114" s="77" t="n"/>
      <c r="AT114" s="77" t="n"/>
      <c r="AU114" s="77" t="n"/>
      <c r="AV114" s="77" t="n"/>
      <c r="AW114" s="77" t="n"/>
      <c r="AX114" s="77" t="n"/>
      <c r="AY114" s="77" t="n"/>
      <c r="AZ114" s="77" t="n"/>
      <c r="BA114" s="77" t="n"/>
      <c r="BB114" s="77" t="n"/>
      <c r="BC114" s="77" t="n"/>
      <c r="BD114" s="77" t="n"/>
      <c r="BE114" s="77" t="n"/>
      <c r="BF114" s="77" t="n"/>
      <c r="BH114">
        <f>('Data Input'!C64-$A$1)*24</f>
        <v/>
      </c>
      <c r="BI114">
        <f>('Data Input'!D64-$A$1)*24</f>
        <v/>
      </c>
      <c r="BJ114" t="n">
        <v>1</v>
      </c>
      <c r="BO114" t="n">
        <v>-999</v>
      </c>
      <c r="BP114" t="n">
        <v>-999</v>
      </c>
    </row>
    <row r="115" ht="11.5" customHeight="1">
      <c r="A115" s="78" t="n"/>
      <c r="B115" s="78" t="n"/>
      <c r="C115" s="78" t="n"/>
      <c r="D115" s="78" t="n"/>
      <c r="E115" s="78" t="n"/>
      <c r="F115" s="78" t="n"/>
      <c r="G115" s="78" t="n"/>
      <c r="H115" s="78" t="n"/>
      <c r="I115" s="78" t="n"/>
      <c r="J115" s="76" t="inlineStr">
        <is>
          <t>A</t>
        </is>
      </c>
      <c r="K115" s="79" t="n"/>
      <c r="L115" s="79" t="n"/>
      <c r="M115" s="79" t="n"/>
      <c r="N115" s="79" t="n"/>
      <c r="O115" s="79" t="n"/>
      <c r="P115" s="79" t="n"/>
      <c r="Q115" s="79" t="n"/>
      <c r="R115" s="79" t="n"/>
      <c r="S115" s="79" t="n"/>
      <c r="T115" s="79" t="n"/>
      <c r="U115" s="79" t="n"/>
      <c r="V115" s="79" t="n"/>
      <c r="W115" s="79" t="n"/>
      <c r="X115" s="79" t="n"/>
      <c r="Y115" s="79" t="n"/>
      <c r="Z115" s="79" t="n"/>
      <c r="AA115" s="79" t="n"/>
      <c r="AB115" s="79" t="n"/>
      <c r="AC115" s="79" t="n"/>
      <c r="AD115" s="79" t="n"/>
      <c r="AE115" s="79" t="n"/>
      <c r="AF115" s="79" t="n"/>
      <c r="AG115" s="79" t="n"/>
      <c r="AH115" s="79" t="n"/>
      <c r="AI115" s="79" t="n"/>
      <c r="AJ115" s="79" t="n"/>
      <c r="AK115" s="79" t="n"/>
      <c r="AL115" s="79" t="n"/>
      <c r="AM115" s="79" t="n"/>
      <c r="AN115" s="79" t="n"/>
      <c r="AO115" s="79" t="n"/>
      <c r="AP115" s="79" t="n"/>
      <c r="AQ115" s="79" t="n"/>
      <c r="AR115" s="79" t="n"/>
      <c r="AS115" s="79" t="n"/>
      <c r="AT115" s="79" t="n"/>
      <c r="AU115" s="79" t="n"/>
      <c r="AV115" s="79" t="n"/>
      <c r="AW115" s="79" t="n"/>
      <c r="AX115" s="79" t="n"/>
      <c r="AY115" s="79" t="n"/>
      <c r="AZ115" s="79" t="n"/>
      <c r="BA115" s="79" t="n"/>
      <c r="BB115" s="79" t="n"/>
      <c r="BC115" s="79" t="n"/>
      <c r="BD115" s="79" t="n"/>
      <c r="BE115" s="79" t="n"/>
      <c r="BF115" s="79" t="n"/>
      <c r="BH115">
        <f>IF($BK115="",-999,($BK115-$A$1)*24)</f>
        <v/>
      </c>
      <c r="BI115">
        <f>IF($BK115="",-999,(IF($BL115&lt;&gt;"",$BL115,IF($C$1&gt;$BK115,$C$1,$BK115+MAX('Data Input'!E64*$BM115,0.5)/24))-$A$1)*24)</f>
        <v/>
      </c>
      <c r="BJ115">
        <f>IF($BK115="",0,IF($BM115&gt;=1,IF($BN115&lt;=0,2,3),IF($BN115&lt;=0,4,5)))</f>
        <v/>
      </c>
      <c r="BK115">
        <f>IF('Data Input'!Q64="","",'Data Input'!Q64)</f>
        <v/>
      </c>
      <c r="BL115">
        <f>IF('Data Input'!R64="","",'Data Input'!R64)</f>
        <v/>
      </c>
      <c r="BM115">
        <f>'Data Input'!S64</f>
        <v/>
      </c>
      <c r="BN115">
        <f>'Data Input'!Y64</f>
        <v/>
      </c>
      <c r="BO115">
        <f>IF($BM115&gt;=1,-999,MAX(($C$1-$A$1)*24,IF($BK115&lt;&gt;"",$BI115,$BP115-'Data Input'!E64)))</f>
        <v/>
      </c>
      <c r="BP115">
        <f>('Data Input'!D64+'Data Input'!Y64/24-$A$1)*24</f>
        <v/>
      </c>
    </row>
    <row r="116" ht="11.5" customHeight="1">
      <c r="A116" s="68">
        <f>'Data Input'!A65</f>
        <v/>
      </c>
      <c r="B116" s="69">
        <f>'Data Input'!B65</f>
        <v/>
      </c>
      <c r="C116" s="70">
        <f>'Data Input'!O65</f>
        <v/>
      </c>
      <c r="D116" s="71">
        <f>'Data Input'!D65</f>
        <v/>
      </c>
      <c r="E116" s="72">
        <f>'Data Input'!D65+'Data Input'!Y65/24</f>
        <v/>
      </c>
      <c r="F116" s="73">
        <f>'Data Input'!Y65</f>
        <v/>
      </c>
      <c r="G116" s="74">
        <f>'Data Input'!T65</f>
        <v/>
      </c>
      <c r="H116" s="75">
        <f>'Data Input'!S65</f>
        <v/>
      </c>
      <c r="I116" s="57" t="n"/>
      <c r="J116" s="76" t="inlineStr">
        <is>
          <t>P</t>
        </is>
      </c>
      <c r="K116" s="77" t="n"/>
      <c r="L116" s="77" t="n"/>
      <c r="M116" s="77" t="n"/>
      <c r="N116" s="77" t="n"/>
      <c r="O116" s="77" t="n"/>
      <c r="P116" s="77" t="n"/>
      <c r="Q116" s="77" t="n"/>
      <c r="R116" s="77" t="n"/>
      <c r="S116" s="77" t="n"/>
      <c r="T116" s="77" t="n"/>
      <c r="U116" s="77" t="n"/>
      <c r="V116" s="77" t="n"/>
      <c r="W116" s="77" t="n"/>
      <c r="X116" s="77" t="n"/>
      <c r="Y116" s="77" t="n"/>
      <c r="Z116" s="77" t="n"/>
      <c r="AA116" s="77" t="n"/>
      <c r="AB116" s="77" t="n"/>
      <c r="AC116" s="77" t="n"/>
      <c r="AD116" s="77" t="n"/>
      <c r="AE116" s="77" t="n"/>
      <c r="AF116" s="77" t="n"/>
      <c r="AG116" s="77" t="n"/>
      <c r="AH116" s="77" t="n"/>
      <c r="AI116" s="77" t="n"/>
      <c r="AJ116" s="77" t="n"/>
      <c r="AK116" s="77" t="n"/>
      <c r="AL116" s="77" t="n"/>
      <c r="AM116" s="77" t="n"/>
      <c r="AN116" s="77" t="n"/>
      <c r="AO116" s="77" t="n"/>
      <c r="AP116" s="77" t="n"/>
      <c r="AQ116" s="77" t="n"/>
      <c r="AR116" s="77" t="n"/>
      <c r="AS116" s="77" t="n"/>
      <c r="AT116" s="77" t="n"/>
      <c r="AU116" s="77" t="n"/>
      <c r="AV116" s="77" t="n"/>
      <c r="AW116" s="77" t="n"/>
      <c r="AX116" s="77" t="n"/>
      <c r="AY116" s="77" t="n"/>
      <c r="AZ116" s="77" t="n"/>
      <c r="BA116" s="77" t="n"/>
      <c r="BB116" s="77" t="n"/>
      <c r="BC116" s="77" t="n"/>
      <c r="BD116" s="77" t="n"/>
      <c r="BE116" s="77" t="n"/>
      <c r="BF116" s="77" t="n"/>
      <c r="BH116">
        <f>('Data Input'!C65-$A$1)*24</f>
        <v/>
      </c>
      <c r="BI116">
        <f>('Data Input'!D65-$A$1)*24</f>
        <v/>
      </c>
      <c r="BJ116" t="n">
        <v>1</v>
      </c>
      <c r="BO116" t="n">
        <v>-999</v>
      </c>
      <c r="BP116" t="n">
        <v>-999</v>
      </c>
    </row>
    <row r="117" ht="11.5" customHeight="1">
      <c r="A117" s="78" t="n"/>
      <c r="B117" s="78" t="n"/>
      <c r="C117" s="78" t="n"/>
      <c r="D117" s="78" t="n"/>
      <c r="E117" s="78" t="n"/>
      <c r="F117" s="78" t="n"/>
      <c r="G117" s="78" t="n"/>
      <c r="H117" s="78" t="n"/>
      <c r="I117" s="78" t="n"/>
      <c r="J117" s="76" t="inlineStr">
        <is>
          <t>A</t>
        </is>
      </c>
      <c r="K117" s="79" t="n"/>
      <c r="L117" s="79" t="n"/>
      <c r="M117" s="79" t="n"/>
      <c r="N117" s="79" t="n"/>
      <c r="O117" s="79" t="n"/>
      <c r="P117" s="79" t="n"/>
      <c r="Q117" s="79" t="n"/>
      <c r="R117" s="79" t="n"/>
      <c r="S117" s="79" t="n"/>
      <c r="T117" s="79" t="n"/>
      <c r="U117" s="79" t="n"/>
      <c r="V117" s="79" t="n"/>
      <c r="W117" s="79" t="n"/>
      <c r="X117" s="79" t="n"/>
      <c r="Y117" s="79" t="n"/>
      <c r="Z117" s="79" t="n"/>
      <c r="AA117" s="79" t="n"/>
      <c r="AB117" s="79" t="n"/>
      <c r="AC117" s="79" t="n"/>
      <c r="AD117" s="79" t="n"/>
      <c r="AE117" s="79" t="n"/>
      <c r="AF117" s="79" t="n"/>
      <c r="AG117" s="79" t="n"/>
      <c r="AH117" s="79" t="n"/>
      <c r="AI117" s="79" t="n"/>
      <c r="AJ117" s="79" t="n"/>
      <c r="AK117" s="79" t="n"/>
      <c r="AL117" s="79" t="n"/>
      <c r="AM117" s="79" t="n"/>
      <c r="AN117" s="79" t="n"/>
      <c r="AO117" s="79" t="n"/>
      <c r="AP117" s="79" t="n"/>
      <c r="AQ117" s="79" t="n"/>
      <c r="AR117" s="79" t="n"/>
      <c r="AS117" s="79" t="n"/>
      <c r="AT117" s="79" t="n"/>
      <c r="AU117" s="79" t="n"/>
      <c r="AV117" s="79" t="n"/>
      <c r="AW117" s="79" t="n"/>
      <c r="AX117" s="79" t="n"/>
      <c r="AY117" s="79" t="n"/>
      <c r="AZ117" s="79" t="n"/>
      <c r="BA117" s="79" t="n"/>
      <c r="BB117" s="79" t="n"/>
      <c r="BC117" s="79" t="n"/>
      <c r="BD117" s="79" t="n"/>
      <c r="BE117" s="79" t="n"/>
      <c r="BF117" s="79" t="n"/>
      <c r="BH117">
        <f>IF($BK117="",-999,($BK117-$A$1)*24)</f>
        <v/>
      </c>
      <c r="BI117">
        <f>IF($BK117="",-999,(IF($BL117&lt;&gt;"",$BL117,IF($C$1&gt;$BK117,$C$1,$BK117+MAX('Data Input'!E65*$BM117,0.5)/24))-$A$1)*24)</f>
        <v/>
      </c>
      <c r="BJ117">
        <f>IF($BK117="",0,IF($BM117&gt;=1,IF($BN117&lt;=0,2,3),IF($BN117&lt;=0,4,5)))</f>
        <v/>
      </c>
      <c r="BK117">
        <f>IF('Data Input'!Q65="","",'Data Input'!Q65)</f>
        <v/>
      </c>
      <c r="BL117">
        <f>IF('Data Input'!R65="","",'Data Input'!R65)</f>
        <v/>
      </c>
      <c r="BM117">
        <f>'Data Input'!S65</f>
        <v/>
      </c>
      <c r="BN117">
        <f>'Data Input'!Y65</f>
        <v/>
      </c>
      <c r="BO117">
        <f>IF($BM117&gt;=1,-999,MAX(($C$1-$A$1)*24,IF($BK117&lt;&gt;"",$BI117,$BP117-'Data Input'!E65)))</f>
        <v/>
      </c>
      <c r="BP117">
        <f>('Data Input'!D65+'Data Input'!Y65/24-$A$1)*24</f>
        <v/>
      </c>
    </row>
    <row r="118" ht="11.5" customHeight="1">
      <c r="A118" s="68">
        <f>'Data Input'!A66</f>
        <v/>
      </c>
      <c r="B118" s="69">
        <f>'Data Input'!B66</f>
        <v/>
      </c>
      <c r="C118" s="70">
        <f>'Data Input'!O66</f>
        <v/>
      </c>
      <c r="D118" s="71">
        <f>'Data Input'!D66</f>
        <v/>
      </c>
      <c r="E118" s="72">
        <f>'Data Input'!D66+'Data Input'!Y66/24</f>
        <v/>
      </c>
      <c r="F118" s="73">
        <f>'Data Input'!Y66</f>
        <v/>
      </c>
      <c r="G118" s="74">
        <f>'Data Input'!T66</f>
        <v/>
      </c>
      <c r="H118" s="75">
        <f>'Data Input'!S66</f>
        <v/>
      </c>
      <c r="I118" s="57" t="n"/>
      <c r="J118" s="76" t="inlineStr">
        <is>
          <t>P</t>
        </is>
      </c>
      <c r="K118" s="77" t="n"/>
      <c r="L118" s="77" t="n"/>
      <c r="M118" s="77" t="n"/>
      <c r="N118" s="77" t="n"/>
      <c r="O118" s="77" t="n"/>
      <c r="P118" s="77" t="n"/>
      <c r="Q118" s="77" t="n"/>
      <c r="R118" s="77" t="n"/>
      <c r="S118" s="77" t="n"/>
      <c r="T118" s="77" t="n"/>
      <c r="U118" s="77" t="n"/>
      <c r="V118" s="77" t="n"/>
      <c r="W118" s="77" t="n"/>
      <c r="X118" s="77" t="n"/>
      <c r="Y118" s="77" t="n"/>
      <c r="Z118" s="77" t="n"/>
      <c r="AA118" s="77" t="n"/>
      <c r="AB118" s="77" t="n"/>
      <c r="AC118" s="77" t="n"/>
      <c r="AD118" s="77" t="n"/>
      <c r="AE118" s="77" t="n"/>
      <c r="AF118" s="77" t="n"/>
      <c r="AG118" s="77" t="n"/>
      <c r="AH118" s="77" t="n"/>
      <c r="AI118" s="77" t="n"/>
      <c r="AJ118" s="77" t="n"/>
      <c r="AK118" s="77" t="n"/>
      <c r="AL118" s="77" t="n"/>
      <c r="AM118" s="77" t="n"/>
      <c r="AN118" s="77" t="n"/>
      <c r="AO118" s="77" t="n"/>
      <c r="AP118" s="77" t="n"/>
      <c r="AQ118" s="77" t="n"/>
      <c r="AR118" s="77" t="n"/>
      <c r="AS118" s="77" t="n"/>
      <c r="AT118" s="77" t="n"/>
      <c r="AU118" s="77" t="n"/>
      <c r="AV118" s="77" t="n"/>
      <c r="AW118" s="77" t="n"/>
      <c r="AX118" s="77" t="n"/>
      <c r="AY118" s="77" t="n"/>
      <c r="AZ118" s="77" t="n"/>
      <c r="BA118" s="77" t="n"/>
      <c r="BB118" s="77" t="n"/>
      <c r="BC118" s="77" t="n"/>
      <c r="BD118" s="77" t="n"/>
      <c r="BE118" s="77" t="n"/>
      <c r="BF118" s="77" t="n"/>
      <c r="BH118">
        <f>('Data Input'!C66-$A$1)*24</f>
        <v/>
      </c>
      <c r="BI118">
        <f>('Data Input'!D66-$A$1)*24</f>
        <v/>
      </c>
      <c r="BJ118" t="n">
        <v>1</v>
      </c>
      <c r="BO118" t="n">
        <v>-999</v>
      </c>
      <c r="BP118" t="n">
        <v>-999</v>
      </c>
    </row>
    <row r="119" ht="11.5" customHeight="1">
      <c r="A119" s="78" t="n"/>
      <c r="B119" s="78" t="n"/>
      <c r="C119" s="78" t="n"/>
      <c r="D119" s="78" t="n"/>
      <c r="E119" s="78" t="n"/>
      <c r="F119" s="78" t="n"/>
      <c r="G119" s="78" t="n"/>
      <c r="H119" s="78" t="n"/>
      <c r="I119" s="78" t="n"/>
      <c r="J119" s="76" t="inlineStr">
        <is>
          <t>A</t>
        </is>
      </c>
      <c r="K119" s="79" t="n"/>
      <c r="L119" s="79" t="n"/>
      <c r="M119" s="79" t="n"/>
      <c r="N119" s="79" t="n"/>
      <c r="O119" s="79" t="n"/>
      <c r="P119" s="79" t="n"/>
      <c r="Q119" s="79" t="n"/>
      <c r="R119" s="79" t="n"/>
      <c r="S119" s="79" t="n"/>
      <c r="T119" s="79" t="n"/>
      <c r="U119" s="79" t="n"/>
      <c r="V119" s="79" t="n"/>
      <c r="W119" s="79" t="n"/>
      <c r="X119" s="79" t="n"/>
      <c r="Y119" s="79" t="n"/>
      <c r="Z119" s="79" t="n"/>
      <c r="AA119" s="79" t="n"/>
      <c r="AB119" s="79" t="n"/>
      <c r="AC119" s="79" t="n"/>
      <c r="AD119" s="79" t="n"/>
      <c r="AE119" s="79" t="n"/>
      <c r="AF119" s="79" t="n"/>
      <c r="AG119" s="79" t="n"/>
      <c r="AH119" s="79" t="n"/>
      <c r="AI119" s="79" t="n"/>
      <c r="AJ119" s="79" t="n"/>
      <c r="AK119" s="79" t="n"/>
      <c r="AL119" s="79" t="n"/>
      <c r="AM119" s="79" t="n"/>
      <c r="AN119" s="79" t="n"/>
      <c r="AO119" s="79" t="n"/>
      <c r="AP119" s="79" t="n"/>
      <c r="AQ119" s="79" t="n"/>
      <c r="AR119" s="79" t="n"/>
      <c r="AS119" s="79" t="n"/>
      <c r="AT119" s="79" t="n"/>
      <c r="AU119" s="79" t="n"/>
      <c r="AV119" s="79" t="n"/>
      <c r="AW119" s="79" t="n"/>
      <c r="AX119" s="79" t="n"/>
      <c r="AY119" s="79" t="n"/>
      <c r="AZ119" s="79" t="n"/>
      <c r="BA119" s="79" t="n"/>
      <c r="BB119" s="79" t="n"/>
      <c r="BC119" s="79" t="n"/>
      <c r="BD119" s="79" t="n"/>
      <c r="BE119" s="79" t="n"/>
      <c r="BF119" s="79" t="n"/>
      <c r="BH119">
        <f>IF($BK119="",-999,($BK119-$A$1)*24)</f>
        <v/>
      </c>
      <c r="BI119">
        <f>IF($BK119="",-999,(IF($BL119&lt;&gt;"",$BL119,IF($C$1&gt;$BK119,$C$1,$BK119+MAX('Data Input'!E66*$BM119,0.5)/24))-$A$1)*24)</f>
        <v/>
      </c>
      <c r="BJ119">
        <f>IF($BK119="",0,IF($BM119&gt;=1,IF($BN119&lt;=0,2,3),IF($BN119&lt;=0,4,5)))</f>
        <v/>
      </c>
      <c r="BK119">
        <f>IF('Data Input'!Q66="","",'Data Input'!Q66)</f>
        <v/>
      </c>
      <c r="BL119">
        <f>IF('Data Input'!R66="","",'Data Input'!R66)</f>
        <v/>
      </c>
      <c r="BM119">
        <f>'Data Input'!S66</f>
        <v/>
      </c>
      <c r="BN119">
        <f>'Data Input'!Y66</f>
        <v/>
      </c>
      <c r="BO119">
        <f>IF($BM119&gt;=1,-999,MAX(($C$1-$A$1)*24,IF($BK119&lt;&gt;"",$BI119,$BP119-'Data Input'!E66)))</f>
        <v/>
      </c>
      <c r="BP119">
        <f>('Data Input'!D66+'Data Input'!Y66/24-$A$1)*24</f>
        <v/>
      </c>
    </row>
    <row r="120" ht="11.5" customHeight="1">
      <c r="A120" s="68">
        <f>'Data Input'!A67</f>
        <v/>
      </c>
      <c r="B120" s="69">
        <f>'Data Input'!B67</f>
        <v/>
      </c>
      <c r="C120" s="70">
        <f>'Data Input'!O67</f>
        <v/>
      </c>
      <c r="D120" s="71">
        <f>'Data Input'!D67</f>
        <v/>
      </c>
      <c r="E120" s="72">
        <f>'Data Input'!D67+'Data Input'!Y67/24</f>
        <v/>
      </c>
      <c r="F120" s="73">
        <f>'Data Input'!Y67</f>
        <v/>
      </c>
      <c r="G120" s="74">
        <f>'Data Input'!T67</f>
        <v/>
      </c>
      <c r="H120" s="75">
        <f>'Data Input'!S67</f>
        <v/>
      </c>
      <c r="I120" s="57" t="n"/>
      <c r="J120" s="76" t="inlineStr">
        <is>
          <t>P</t>
        </is>
      </c>
      <c r="K120" s="77" t="n"/>
      <c r="L120" s="77" t="n"/>
      <c r="M120" s="77" t="n"/>
      <c r="N120" s="77" t="n"/>
      <c r="O120" s="77" t="n"/>
      <c r="P120" s="77" t="n"/>
      <c r="Q120" s="77" t="n"/>
      <c r="R120" s="77" t="n"/>
      <c r="S120" s="77" t="n"/>
      <c r="T120" s="77" t="n"/>
      <c r="U120" s="77" t="n"/>
      <c r="V120" s="77" t="n"/>
      <c r="W120" s="77" t="n"/>
      <c r="X120" s="77" t="n"/>
      <c r="Y120" s="77" t="n"/>
      <c r="Z120" s="77" t="n"/>
      <c r="AA120" s="77" t="n"/>
      <c r="AB120" s="77" t="n"/>
      <c r="AC120" s="77" t="n"/>
      <c r="AD120" s="77" t="n"/>
      <c r="AE120" s="77" t="n"/>
      <c r="AF120" s="77" t="n"/>
      <c r="AG120" s="77" t="n"/>
      <c r="AH120" s="77" t="n"/>
      <c r="AI120" s="77" t="n"/>
      <c r="AJ120" s="77" t="n"/>
      <c r="AK120" s="77" t="n"/>
      <c r="AL120" s="77" t="n"/>
      <c r="AM120" s="77" t="n"/>
      <c r="AN120" s="77" t="n"/>
      <c r="AO120" s="77" t="n"/>
      <c r="AP120" s="77" t="n"/>
      <c r="AQ120" s="77" t="n"/>
      <c r="AR120" s="77" t="n"/>
      <c r="AS120" s="77" t="n"/>
      <c r="AT120" s="77" t="n"/>
      <c r="AU120" s="77" t="n"/>
      <c r="AV120" s="77" t="n"/>
      <c r="AW120" s="77" t="n"/>
      <c r="AX120" s="77" t="n"/>
      <c r="AY120" s="77" t="n"/>
      <c r="AZ120" s="77" t="n"/>
      <c r="BA120" s="77" t="n"/>
      <c r="BB120" s="77" t="n"/>
      <c r="BC120" s="77" t="n"/>
      <c r="BD120" s="77" t="n"/>
      <c r="BE120" s="77" t="n"/>
      <c r="BF120" s="77" t="n"/>
      <c r="BH120">
        <f>('Data Input'!C67-$A$1)*24</f>
        <v/>
      </c>
      <c r="BI120">
        <f>('Data Input'!D67-$A$1)*24</f>
        <v/>
      </c>
      <c r="BJ120" t="n">
        <v>1</v>
      </c>
      <c r="BO120" t="n">
        <v>-999</v>
      </c>
      <c r="BP120" t="n">
        <v>-999</v>
      </c>
    </row>
    <row r="121" ht="11.5" customHeight="1">
      <c r="A121" s="78" t="n"/>
      <c r="B121" s="78" t="n"/>
      <c r="C121" s="78" t="n"/>
      <c r="D121" s="78" t="n"/>
      <c r="E121" s="78" t="n"/>
      <c r="F121" s="78" t="n"/>
      <c r="G121" s="78" t="n"/>
      <c r="H121" s="78" t="n"/>
      <c r="I121" s="78" t="n"/>
      <c r="J121" s="76" t="inlineStr">
        <is>
          <t>A</t>
        </is>
      </c>
      <c r="K121" s="79" t="n"/>
      <c r="L121" s="79" t="n"/>
      <c r="M121" s="79" t="n"/>
      <c r="N121" s="79" t="n"/>
      <c r="O121" s="79" t="n"/>
      <c r="P121" s="79" t="n"/>
      <c r="Q121" s="79" t="n"/>
      <c r="R121" s="79" t="n"/>
      <c r="S121" s="79" t="n"/>
      <c r="T121" s="79" t="n"/>
      <c r="U121" s="79" t="n"/>
      <c r="V121" s="79" t="n"/>
      <c r="W121" s="79" t="n"/>
      <c r="X121" s="79" t="n"/>
      <c r="Y121" s="79" t="n"/>
      <c r="Z121" s="79" t="n"/>
      <c r="AA121" s="79" t="n"/>
      <c r="AB121" s="79" t="n"/>
      <c r="AC121" s="79" t="n"/>
      <c r="AD121" s="79" t="n"/>
      <c r="AE121" s="79" t="n"/>
      <c r="AF121" s="79" t="n"/>
      <c r="AG121" s="79" t="n"/>
      <c r="AH121" s="79" t="n"/>
      <c r="AI121" s="79" t="n"/>
      <c r="AJ121" s="79" t="n"/>
      <c r="AK121" s="79" t="n"/>
      <c r="AL121" s="79" t="n"/>
      <c r="AM121" s="79" t="n"/>
      <c r="AN121" s="79" t="n"/>
      <c r="AO121" s="79" t="n"/>
      <c r="AP121" s="79" t="n"/>
      <c r="AQ121" s="79" t="n"/>
      <c r="AR121" s="79" t="n"/>
      <c r="AS121" s="79" t="n"/>
      <c r="AT121" s="79" t="n"/>
      <c r="AU121" s="79" t="n"/>
      <c r="AV121" s="79" t="n"/>
      <c r="AW121" s="79" t="n"/>
      <c r="AX121" s="79" t="n"/>
      <c r="AY121" s="79" t="n"/>
      <c r="AZ121" s="79" t="n"/>
      <c r="BA121" s="79" t="n"/>
      <c r="BB121" s="79" t="n"/>
      <c r="BC121" s="79" t="n"/>
      <c r="BD121" s="79" t="n"/>
      <c r="BE121" s="79" t="n"/>
      <c r="BF121" s="79" t="n"/>
      <c r="BH121">
        <f>IF($BK121="",-999,($BK121-$A$1)*24)</f>
        <v/>
      </c>
      <c r="BI121">
        <f>IF($BK121="",-999,(IF($BL121&lt;&gt;"",$BL121,IF($C$1&gt;$BK121,$C$1,$BK121+MAX('Data Input'!E67*$BM121,0.5)/24))-$A$1)*24)</f>
        <v/>
      </c>
      <c r="BJ121">
        <f>IF($BK121="",0,IF($BM121&gt;=1,IF($BN121&lt;=0,2,3),IF($BN121&lt;=0,4,5)))</f>
        <v/>
      </c>
      <c r="BK121">
        <f>IF('Data Input'!Q67="","",'Data Input'!Q67)</f>
        <v/>
      </c>
      <c r="BL121">
        <f>IF('Data Input'!R67="","",'Data Input'!R67)</f>
        <v/>
      </c>
      <c r="BM121">
        <f>'Data Input'!S67</f>
        <v/>
      </c>
      <c r="BN121">
        <f>'Data Input'!Y67</f>
        <v/>
      </c>
      <c r="BO121">
        <f>IF($BM121&gt;=1,-999,MAX(($C$1-$A$1)*24,IF($BK121&lt;&gt;"",$BI121,$BP121-'Data Input'!E67)))</f>
        <v/>
      </c>
      <c r="BP121">
        <f>('Data Input'!D67+'Data Input'!Y67/24-$A$1)*24</f>
        <v/>
      </c>
    </row>
    <row r="122" ht="11.5" customHeight="1">
      <c r="A122" s="68">
        <f>'Data Input'!A68</f>
        <v/>
      </c>
      <c r="B122" s="69">
        <f>'Data Input'!B68</f>
        <v/>
      </c>
      <c r="C122" s="70">
        <f>'Data Input'!O68</f>
        <v/>
      </c>
      <c r="D122" s="71">
        <f>'Data Input'!D68</f>
        <v/>
      </c>
      <c r="E122" s="72">
        <f>'Data Input'!D68+'Data Input'!Y68/24</f>
        <v/>
      </c>
      <c r="F122" s="73">
        <f>'Data Input'!Y68</f>
        <v/>
      </c>
      <c r="G122" s="74">
        <f>'Data Input'!T68</f>
        <v/>
      </c>
      <c r="H122" s="75">
        <f>'Data Input'!S68</f>
        <v/>
      </c>
      <c r="I122" s="57" t="n"/>
      <c r="J122" s="76" t="inlineStr">
        <is>
          <t>P</t>
        </is>
      </c>
      <c r="K122" s="77" t="n"/>
      <c r="L122" s="77" t="n"/>
      <c r="M122" s="77" t="n"/>
      <c r="N122" s="77" t="n"/>
      <c r="O122" s="77" t="n"/>
      <c r="P122" s="77" t="n"/>
      <c r="Q122" s="77" t="n"/>
      <c r="R122" s="77" t="n"/>
      <c r="S122" s="77" t="n"/>
      <c r="T122" s="77" t="n"/>
      <c r="U122" s="77" t="n"/>
      <c r="V122" s="77" t="n"/>
      <c r="W122" s="77" t="n"/>
      <c r="X122" s="77" t="n"/>
      <c r="Y122" s="77" t="n"/>
      <c r="Z122" s="77" t="n"/>
      <c r="AA122" s="77" t="n"/>
      <c r="AB122" s="77" t="n"/>
      <c r="AC122" s="77" t="n"/>
      <c r="AD122" s="77" t="n"/>
      <c r="AE122" s="77" t="n"/>
      <c r="AF122" s="77" t="n"/>
      <c r="AG122" s="77" t="n"/>
      <c r="AH122" s="77" t="n"/>
      <c r="AI122" s="77" t="n"/>
      <c r="AJ122" s="77" t="n"/>
      <c r="AK122" s="77" t="n"/>
      <c r="AL122" s="77" t="n"/>
      <c r="AM122" s="77" t="n"/>
      <c r="AN122" s="77" t="n"/>
      <c r="AO122" s="77" t="n"/>
      <c r="AP122" s="77" t="n"/>
      <c r="AQ122" s="77" t="n"/>
      <c r="AR122" s="77" t="n"/>
      <c r="AS122" s="77" t="n"/>
      <c r="AT122" s="77" t="n"/>
      <c r="AU122" s="77" t="n"/>
      <c r="AV122" s="77" t="n"/>
      <c r="AW122" s="77" t="n"/>
      <c r="AX122" s="77" t="n"/>
      <c r="AY122" s="77" t="n"/>
      <c r="AZ122" s="77" t="n"/>
      <c r="BA122" s="77" t="n"/>
      <c r="BB122" s="77" t="n"/>
      <c r="BC122" s="77" t="n"/>
      <c r="BD122" s="77" t="n"/>
      <c r="BE122" s="77" t="n"/>
      <c r="BF122" s="77" t="n"/>
      <c r="BH122">
        <f>('Data Input'!C68-$A$1)*24</f>
        <v/>
      </c>
      <c r="BI122">
        <f>('Data Input'!D68-$A$1)*24</f>
        <v/>
      </c>
      <c r="BJ122" t="n">
        <v>1</v>
      </c>
      <c r="BO122" t="n">
        <v>-999</v>
      </c>
      <c r="BP122" t="n">
        <v>-999</v>
      </c>
    </row>
    <row r="123" ht="11.5" customHeight="1">
      <c r="A123" s="78" t="n"/>
      <c r="B123" s="78" t="n"/>
      <c r="C123" s="78" t="n"/>
      <c r="D123" s="78" t="n"/>
      <c r="E123" s="78" t="n"/>
      <c r="F123" s="78" t="n"/>
      <c r="G123" s="78" t="n"/>
      <c r="H123" s="78" t="n"/>
      <c r="I123" s="78" t="n"/>
      <c r="J123" s="76" t="inlineStr">
        <is>
          <t>A</t>
        </is>
      </c>
      <c r="K123" s="79" t="n"/>
      <c r="L123" s="79" t="n"/>
      <c r="M123" s="79" t="n"/>
      <c r="N123" s="79" t="n"/>
      <c r="O123" s="79" t="n"/>
      <c r="P123" s="79" t="n"/>
      <c r="Q123" s="79" t="n"/>
      <c r="R123" s="79" t="n"/>
      <c r="S123" s="79" t="n"/>
      <c r="T123" s="79" t="n"/>
      <c r="U123" s="79" t="n"/>
      <c r="V123" s="79" t="n"/>
      <c r="W123" s="79" t="n"/>
      <c r="X123" s="79" t="n"/>
      <c r="Y123" s="79" t="n"/>
      <c r="Z123" s="79" t="n"/>
      <c r="AA123" s="79" t="n"/>
      <c r="AB123" s="79" t="n"/>
      <c r="AC123" s="79" t="n"/>
      <c r="AD123" s="79" t="n"/>
      <c r="AE123" s="79" t="n"/>
      <c r="AF123" s="79" t="n"/>
      <c r="AG123" s="79" t="n"/>
      <c r="AH123" s="79" t="n"/>
      <c r="AI123" s="79" t="n"/>
      <c r="AJ123" s="79" t="n"/>
      <c r="AK123" s="79" t="n"/>
      <c r="AL123" s="79" t="n"/>
      <c r="AM123" s="79" t="n"/>
      <c r="AN123" s="79" t="n"/>
      <c r="AO123" s="79" t="n"/>
      <c r="AP123" s="79" t="n"/>
      <c r="AQ123" s="79" t="n"/>
      <c r="AR123" s="79" t="n"/>
      <c r="AS123" s="79" t="n"/>
      <c r="AT123" s="79" t="n"/>
      <c r="AU123" s="79" t="n"/>
      <c r="AV123" s="79" t="n"/>
      <c r="AW123" s="79" t="n"/>
      <c r="AX123" s="79" t="n"/>
      <c r="AY123" s="79" t="n"/>
      <c r="AZ123" s="79" t="n"/>
      <c r="BA123" s="79" t="n"/>
      <c r="BB123" s="79" t="n"/>
      <c r="BC123" s="79" t="n"/>
      <c r="BD123" s="79" t="n"/>
      <c r="BE123" s="79" t="n"/>
      <c r="BF123" s="79" t="n"/>
      <c r="BH123">
        <f>IF($BK123="",-999,($BK123-$A$1)*24)</f>
        <v/>
      </c>
      <c r="BI123">
        <f>IF($BK123="",-999,(IF($BL123&lt;&gt;"",$BL123,IF($C$1&gt;$BK123,$C$1,$BK123+MAX('Data Input'!E68*$BM123,0.5)/24))-$A$1)*24)</f>
        <v/>
      </c>
      <c r="BJ123">
        <f>IF($BK123="",0,IF($BM123&gt;=1,IF($BN123&lt;=0,2,3),IF($BN123&lt;=0,4,5)))</f>
        <v/>
      </c>
      <c r="BK123">
        <f>IF('Data Input'!Q68="","",'Data Input'!Q68)</f>
        <v/>
      </c>
      <c r="BL123">
        <f>IF('Data Input'!R68="","",'Data Input'!R68)</f>
        <v/>
      </c>
      <c r="BM123">
        <f>'Data Input'!S68</f>
        <v/>
      </c>
      <c r="BN123">
        <f>'Data Input'!Y68</f>
        <v/>
      </c>
      <c r="BO123">
        <f>IF($BM123&gt;=1,-999,MAX(($C$1-$A$1)*24,IF($BK123&lt;&gt;"",$BI123,$BP123-'Data Input'!E68)))</f>
        <v/>
      </c>
      <c r="BP123">
        <f>('Data Input'!D68+'Data Input'!Y68/24-$A$1)*24</f>
        <v/>
      </c>
    </row>
    <row r="124" ht="11.5" customHeight="1">
      <c r="A124" s="68">
        <f>'Data Input'!A69</f>
        <v/>
      </c>
      <c r="B124" s="69">
        <f>'Data Input'!B69</f>
        <v/>
      </c>
      <c r="C124" s="70">
        <f>'Data Input'!O69</f>
        <v/>
      </c>
      <c r="D124" s="71">
        <f>'Data Input'!D69</f>
        <v/>
      </c>
      <c r="E124" s="72">
        <f>'Data Input'!D69+'Data Input'!Y69/24</f>
        <v/>
      </c>
      <c r="F124" s="73">
        <f>'Data Input'!Y69</f>
        <v/>
      </c>
      <c r="G124" s="74">
        <f>'Data Input'!T69</f>
        <v/>
      </c>
      <c r="H124" s="75">
        <f>'Data Input'!S69</f>
        <v/>
      </c>
      <c r="I124" s="57" t="n"/>
      <c r="J124" s="76" t="inlineStr">
        <is>
          <t>P</t>
        </is>
      </c>
      <c r="K124" s="77" t="n"/>
      <c r="L124" s="77" t="n"/>
      <c r="M124" s="77" t="n"/>
      <c r="N124" s="77" t="n"/>
      <c r="O124" s="77" t="n"/>
      <c r="P124" s="77" t="n"/>
      <c r="Q124" s="77" t="n"/>
      <c r="R124" s="77" t="n"/>
      <c r="S124" s="77" t="n"/>
      <c r="T124" s="77" t="n"/>
      <c r="U124" s="77" t="n"/>
      <c r="V124" s="77" t="n"/>
      <c r="W124" s="77" t="n"/>
      <c r="X124" s="77" t="n"/>
      <c r="Y124" s="77" t="n"/>
      <c r="Z124" s="77" t="n"/>
      <c r="AA124" s="77" t="n"/>
      <c r="AB124" s="77" t="n"/>
      <c r="AC124" s="77" t="n"/>
      <c r="AD124" s="77" t="n"/>
      <c r="AE124" s="77" t="n"/>
      <c r="AF124" s="77" t="n"/>
      <c r="AG124" s="77" t="n"/>
      <c r="AH124" s="77" t="n"/>
      <c r="AI124" s="77" t="n"/>
      <c r="AJ124" s="77" t="n"/>
      <c r="AK124" s="77" t="n"/>
      <c r="AL124" s="77" t="n"/>
      <c r="AM124" s="77" t="n"/>
      <c r="AN124" s="77" t="n"/>
      <c r="AO124" s="77" t="n"/>
      <c r="AP124" s="77" t="n"/>
      <c r="AQ124" s="77" t="n"/>
      <c r="AR124" s="77" t="n"/>
      <c r="AS124" s="77" t="n"/>
      <c r="AT124" s="77" t="n"/>
      <c r="AU124" s="77" t="n"/>
      <c r="AV124" s="77" t="n"/>
      <c r="AW124" s="77" t="n"/>
      <c r="AX124" s="77" t="n"/>
      <c r="AY124" s="77" t="n"/>
      <c r="AZ124" s="77" t="n"/>
      <c r="BA124" s="77" t="n"/>
      <c r="BB124" s="77" t="n"/>
      <c r="BC124" s="77" t="n"/>
      <c r="BD124" s="77" t="n"/>
      <c r="BE124" s="77" t="n"/>
      <c r="BF124" s="77" t="n"/>
      <c r="BH124">
        <f>('Data Input'!C69-$A$1)*24</f>
        <v/>
      </c>
      <c r="BI124">
        <f>('Data Input'!D69-$A$1)*24</f>
        <v/>
      </c>
      <c r="BJ124" t="n">
        <v>1</v>
      </c>
      <c r="BO124" t="n">
        <v>-999</v>
      </c>
      <c r="BP124" t="n">
        <v>-999</v>
      </c>
    </row>
    <row r="125" ht="11.5" customHeight="1">
      <c r="A125" s="78" t="n"/>
      <c r="B125" s="78" t="n"/>
      <c r="C125" s="78" t="n"/>
      <c r="D125" s="78" t="n"/>
      <c r="E125" s="78" t="n"/>
      <c r="F125" s="78" t="n"/>
      <c r="G125" s="78" t="n"/>
      <c r="H125" s="78" t="n"/>
      <c r="I125" s="78" t="n"/>
      <c r="J125" s="76" t="inlineStr">
        <is>
          <t>A</t>
        </is>
      </c>
      <c r="K125" s="79" t="n"/>
      <c r="L125" s="79" t="n"/>
      <c r="M125" s="79" t="n"/>
      <c r="N125" s="79" t="n"/>
      <c r="O125" s="79" t="n"/>
      <c r="P125" s="79" t="n"/>
      <c r="Q125" s="79" t="n"/>
      <c r="R125" s="79" t="n"/>
      <c r="S125" s="79" t="n"/>
      <c r="T125" s="79" t="n"/>
      <c r="U125" s="79" t="n"/>
      <c r="V125" s="79" t="n"/>
      <c r="W125" s="79" t="n"/>
      <c r="X125" s="79" t="n"/>
      <c r="Y125" s="79" t="n"/>
      <c r="Z125" s="79" t="n"/>
      <c r="AA125" s="79" t="n"/>
      <c r="AB125" s="79" t="n"/>
      <c r="AC125" s="79" t="n"/>
      <c r="AD125" s="79" t="n"/>
      <c r="AE125" s="79" t="n"/>
      <c r="AF125" s="79" t="n"/>
      <c r="AG125" s="79" t="n"/>
      <c r="AH125" s="79" t="n"/>
      <c r="AI125" s="79" t="n"/>
      <c r="AJ125" s="79" t="n"/>
      <c r="AK125" s="79" t="n"/>
      <c r="AL125" s="79" t="n"/>
      <c r="AM125" s="79" t="n"/>
      <c r="AN125" s="79" t="n"/>
      <c r="AO125" s="79" t="n"/>
      <c r="AP125" s="79" t="n"/>
      <c r="AQ125" s="79" t="n"/>
      <c r="AR125" s="79" t="n"/>
      <c r="AS125" s="79" t="n"/>
      <c r="AT125" s="79" t="n"/>
      <c r="AU125" s="79" t="n"/>
      <c r="AV125" s="79" t="n"/>
      <c r="AW125" s="79" t="n"/>
      <c r="AX125" s="79" t="n"/>
      <c r="AY125" s="79" t="n"/>
      <c r="AZ125" s="79" t="n"/>
      <c r="BA125" s="79" t="n"/>
      <c r="BB125" s="79" t="n"/>
      <c r="BC125" s="79" t="n"/>
      <c r="BD125" s="79" t="n"/>
      <c r="BE125" s="79" t="n"/>
      <c r="BF125" s="79" t="n"/>
      <c r="BH125">
        <f>IF($BK125="",-999,($BK125-$A$1)*24)</f>
        <v/>
      </c>
      <c r="BI125">
        <f>IF($BK125="",-999,(IF($BL125&lt;&gt;"",$BL125,IF($C$1&gt;$BK125,$C$1,$BK125+MAX('Data Input'!E69*$BM125,0.5)/24))-$A$1)*24)</f>
        <v/>
      </c>
      <c r="BJ125">
        <f>IF($BK125="",0,IF($BM125&gt;=1,IF($BN125&lt;=0,2,3),IF($BN125&lt;=0,4,5)))</f>
        <v/>
      </c>
      <c r="BK125">
        <f>IF('Data Input'!Q69="","",'Data Input'!Q69)</f>
        <v/>
      </c>
      <c r="BL125">
        <f>IF('Data Input'!R69="","",'Data Input'!R69)</f>
        <v/>
      </c>
      <c r="BM125">
        <f>'Data Input'!S69</f>
        <v/>
      </c>
      <c r="BN125">
        <f>'Data Input'!Y69</f>
        <v/>
      </c>
      <c r="BO125">
        <f>IF($BM125&gt;=1,-999,MAX(($C$1-$A$1)*24,IF($BK125&lt;&gt;"",$BI125,$BP125-'Data Input'!E69)))</f>
        <v/>
      </c>
      <c r="BP125">
        <f>('Data Input'!D69+'Data Input'!Y69/24-$A$1)*24</f>
        <v/>
      </c>
    </row>
    <row r="126" ht="11.5" customHeight="1">
      <c r="A126" s="68">
        <f>'Data Input'!A70</f>
        <v/>
      </c>
      <c r="B126" s="69">
        <f>'Data Input'!B70</f>
        <v/>
      </c>
      <c r="C126" s="70">
        <f>'Data Input'!O70</f>
        <v/>
      </c>
      <c r="D126" s="71">
        <f>'Data Input'!D70</f>
        <v/>
      </c>
      <c r="E126" s="72">
        <f>'Data Input'!D70+'Data Input'!Y70/24</f>
        <v/>
      </c>
      <c r="F126" s="73">
        <f>'Data Input'!Y70</f>
        <v/>
      </c>
      <c r="G126" s="74">
        <f>'Data Input'!T70</f>
        <v/>
      </c>
      <c r="H126" s="75">
        <f>'Data Input'!S70</f>
        <v/>
      </c>
      <c r="I126" s="57" t="n"/>
      <c r="J126" s="76" t="inlineStr">
        <is>
          <t>P</t>
        </is>
      </c>
      <c r="K126" s="77" t="n"/>
      <c r="L126" s="77" t="n"/>
      <c r="M126" s="77" t="n"/>
      <c r="N126" s="77" t="n"/>
      <c r="O126" s="77" t="n"/>
      <c r="P126" s="77" t="n"/>
      <c r="Q126" s="77" t="n"/>
      <c r="R126" s="77" t="n"/>
      <c r="S126" s="77" t="n"/>
      <c r="T126" s="77" t="n"/>
      <c r="U126" s="77" t="n"/>
      <c r="V126" s="77" t="n"/>
      <c r="W126" s="77" t="n"/>
      <c r="X126" s="77" t="n"/>
      <c r="Y126" s="77" t="n"/>
      <c r="Z126" s="77" t="n"/>
      <c r="AA126" s="77" t="n"/>
      <c r="AB126" s="77" t="n"/>
      <c r="AC126" s="77" t="n"/>
      <c r="AD126" s="77" t="n"/>
      <c r="AE126" s="77" t="n"/>
      <c r="AF126" s="77" t="n"/>
      <c r="AG126" s="77" t="n"/>
      <c r="AH126" s="77" t="n"/>
      <c r="AI126" s="77" t="n"/>
      <c r="AJ126" s="77" t="n"/>
      <c r="AK126" s="77" t="n"/>
      <c r="AL126" s="77" t="n"/>
      <c r="AM126" s="77" t="n"/>
      <c r="AN126" s="77" t="n"/>
      <c r="AO126" s="77" t="n"/>
      <c r="AP126" s="77" t="n"/>
      <c r="AQ126" s="77" t="n"/>
      <c r="AR126" s="77" t="n"/>
      <c r="AS126" s="77" t="n"/>
      <c r="AT126" s="77" t="n"/>
      <c r="AU126" s="77" t="n"/>
      <c r="AV126" s="77" t="n"/>
      <c r="AW126" s="77" t="n"/>
      <c r="AX126" s="77" t="n"/>
      <c r="AY126" s="77" t="n"/>
      <c r="AZ126" s="77" t="n"/>
      <c r="BA126" s="77" t="n"/>
      <c r="BB126" s="77" t="n"/>
      <c r="BC126" s="77" t="n"/>
      <c r="BD126" s="77" t="n"/>
      <c r="BE126" s="77" t="n"/>
      <c r="BF126" s="77" t="n"/>
      <c r="BH126">
        <f>('Data Input'!C70-$A$1)*24</f>
        <v/>
      </c>
      <c r="BI126">
        <f>('Data Input'!D70-$A$1)*24</f>
        <v/>
      </c>
      <c r="BJ126" t="n">
        <v>1</v>
      </c>
      <c r="BO126" t="n">
        <v>-999</v>
      </c>
      <c r="BP126" t="n">
        <v>-999</v>
      </c>
    </row>
    <row r="127" ht="11.5" customHeight="1">
      <c r="A127" s="78" t="n"/>
      <c r="B127" s="78" t="n"/>
      <c r="C127" s="78" t="n"/>
      <c r="D127" s="78" t="n"/>
      <c r="E127" s="78" t="n"/>
      <c r="F127" s="78" t="n"/>
      <c r="G127" s="78" t="n"/>
      <c r="H127" s="78" t="n"/>
      <c r="I127" s="78" t="n"/>
      <c r="J127" s="76" t="inlineStr">
        <is>
          <t>A</t>
        </is>
      </c>
      <c r="K127" s="79" t="n"/>
      <c r="L127" s="79" t="n"/>
      <c r="M127" s="79" t="n"/>
      <c r="N127" s="79" t="n"/>
      <c r="O127" s="79" t="n"/>
      <c r="P127" s="79" t="n"/>
      <c r="Q127" s="79" t="n"/>
      <c r="R127" s="79" t="n"/>
      <c r="S127" s="79" t="n"/>
      <c r="T127" s="79" t="n"/>
      <c r="U127" s="79" t="n"/>
      <c r="V127" s="79" t="n"/>
      <c r="W127" s="79" t="n"/>
      <c r="X127" s="79" t="n"/>
      <c r="Y127" s="79" t="n"/>
      <c r="Z127" s="79" t="n"/>
      <c r="AA127" s="79" t="n"/>
      <c r="AB127" s="79" t="n"/>
      <c r="AC127" s="79" t="n"/>
      <c r="AD127" s="79" t="n"/>
      <c r="AE127" s="79" t="n"/>
      <c r="AF127" s="79" t="n"/>
      <c r="AG127" s="79" t="n"/>
      <c r="AH127" s="79" t="n"/>
      <c r="AI127" s="79" t="n"/>
      <c r="AJ127" s="79" t="n"/>
      <c r="AK127" s="79" t="n"/>
      <c r="AL127" s="79" t="n"/>
      <c r="AM127" s="79" t="n"/>
      <c r="AN127" s="79" t="n"/>
      <c r="AO127" s="79" t="n"/>
      <c r="AP127" s="79" t="n"/>
      <c r="AQ127" s="79" t="n"/>
      <c r="AR127" s="79" t="n"/>
      <c r="AS127" s="79" t="n"/>
      <c r="AT127" s="79" t="n"/>
      <c r="AU127" s="79" t="n"/>
      <c r="AV127" s="79" t="n"/>
      <c r="AW127" s="79" t="n"/>
      <c r="AX127" s="79" t="n"/>
      <c r="AY127" s="79" t="n"/>
      <c r="AZ127" s="79" t="n"/>
      <c r="BA127" s="79" t="n"/>
      <c r="BB127" s="79" t="n"/>
      <c r="BC127" s="79" t="n"/>
      <c r="BD127" s="79" t="n"/>
      <c r="BE127" s="79" t="n"/>
      <c r="BF127" s="79" t="n"/>
      <c r="BH127">
        <f>IF($BK127="",-999,($BK127-$A$1)*24)</f>
        <v/>
      </c>
      <c r="BI127">
        <f>IF($BK127="",-999,(IF($BL127&lt;&gt;"",$BL127,IF($C$1&gt;$BK127,$C$1,$BK127+MAX('Data Input'!E70*$BM127,0.5)/24))-$A$1)*24)</f>
        <v/>
      </c>
      <c r="BJ127">
        <f>IF($BK127="",0,IF($BM127&gt;=1,IF($BN127&lt;=0,2,3),IF($BN127&lt;=0,4,5)))</f>
        <v/>
      </c>
      <c r="BK127">
        <f>IF('Data Input'!Q70="","",'Data Input'!Q70)</f>
        <v/>
      </c>
      <c r="BL127">
        <f>IF('Data Input'!R70="","",'Data Input'!R70)</f>
        <v/>
      </c>
      <c r="BM127">
        <f>'Data Input'!S70</f>
        <v/>
      </c>
      <c r="BN127">
        <f>'Data Input'!Y70</f>
        <v/>
      </c>
      <c r="BO127">
        <f>IF($BM127&gt;=1,-999,MAX(($C$1-$A$1)*24,IF($BK127&lt;&gt;"",$BI127,$BP127-'Data Input'!E70)))</f>
        <v/>
      </c>
      <c r="BP127">
        <f>('Data Input'!D70+'Data Input'!Y70/24-$A$1)*24</f>
        <v/>
      </c>
    </row>
    <row r="128" ht="11.5" customHeight="1">
      <c r="A128" s="68">
        <f>'Data Input'!A71</f>
        <v/>
      </c>
      <c r="B128" s="69">
        <f>'Data Input'!B71</f>
        <v/>
      </c>
      <c r="C128" s="70">
        <f>'Data Input'!O71</f>
        <v/>
      </c>
      <c r="D128" s="71">
        <f>'Data Input'!D71</f>
        <v/>
      </c>
      <c r="E128" s="72">
        <f>'Data Input'!D71+'Data Input'!Y71/24</f>
        <v/>
      </c>
      <c r="F128" s="73">
        <f>'Data Input'!Y71</f>
        <v/>
      </c>
      <c r="G128" s="74">
        <f>'Data Input'!T71</f>
        <v/>
      </c>
      <c r="H128" s="75">
        <f>'Data Input'!S71</f>
        <v/>
      </c>
      <c r="I128" s="57" t="n"/>
      <c r="J128" s="76" t="inlineStr">
        <is>
          <t>P</t>
        </is>
      </c>
      <c r="K128" s="77" t="n"/>
      <c r="L128" s="77" t="n"/>
      <c r="M128" s="77" t="n"/>
      <c r="N128" s="77" t="n"/>
      <c r="O128" s="77" t="n"/>
      <c r="P128" s="77" t="n"/>
      <c r="Q128" s="77" t="n"/>
      <c r="R128" s="77" t="n"/>
      <c r="S128" s="77" t="n"/>
      <c r="T128" s="77" t="n"/>
      <c r="U128" s="77" t="n"/>
      <c r="V128" s="77" t="n"/>
      <c r="W128" s="77" t="n"/>
      <c r="X128" s="77" t="n"/>
      <c r="Y128" s="77" t="n"/>
      <c r="Z128" s="77" t="n"/>
      <c r="AA128" s="77" t="n"/>
      <c r="AB128" s="77" t="n"/>
      <c r="AC128" s="77" t="n"/>
      <c r="AD128" s="77" t="n"/>
      <c r="AE128" s="77" t="n"/>
      <c r="AF128" s="77" t="n"/>
      <c r="AG128" s="77" t="n"/>
      <c r="AH128" s="77" t="n"/>
      <c r="AI128" s="77" t="n"/>
      <c r="AJ128" s="77" t="n"/>
      <c r="AK128" s="77" t="n"/>
      <c r="AL128" s="77" t="n"/>
      <c r="AM128" s="77" t="n"/>
      <c r="AN128" s="77" t="n"/>
      <c r="AO128" s="77" t="n"/>
      <c r="AP128" s="77" t="n"/>
      <c r="AQ128" s="77" t="n"/>
      <c r="AR128" s="77" t="n"/>
      <c r="AS128" s="77" t="n"/>
      <c r="AT128" s="77" t="n"/>
      <c r="AU128" s="77" t="n"/>
      <c r="AV128" s="77" t="n"/>
      <c r="AW128" s="77" t="n"/>
      <c r="AX128" s="77" t="n"/>
      <c r="AY128" s="77" t="n"/>
      <c r="AZ128" s="77" t="n"/>
      <c r="BA128" s="77" t="n"/>
      <c r="BB128" s="77" t="n"/>
      <c r="BC128" s="77" t="n"/>
      <c r="BD128" s="77" t="n"/>
      <c r="BE128" s="77" t="n"/>
      <c r="BF128" s="77" t="n"/>
      <c r="BH128">
        <f>('Data Input'!C71-$A$1)*24</f>
        <v/>
      </c>
      <c r="BI128">
        <f>('Data Input'!D71-$A$1)*24</f>
        <v/>
      </c>
      <c r="BJ128" t="n">
        <v>1</v>
      </c>
      <c r="BO128" t="n">
        <v>-999</v>
      </c>
      <c r="BP128" t="n">
        <v>-999</v>
      </c>
    </row>
    <row r="129" ht="11.5" customHeight="1">
      <c r="A129" s="78" t="n"/>
      <c r="B129" s="78" t="n"/>
      <c r="C129" s="78" t="n"/>
      <c r="D129" s="78" t="n"/>
      <c r="E129" s="78" t="n"/>
      <c r="F129" s="78" t="n"/>
      <c r="G129" s="78" t="n"/>
      <c r="H129" s="78" t="n"/>
      <c r="I129" s="78" t="n"/>
      <c r="J129" s="76" t="inlineStr">
        <is>
          <t>A</t>
        </is>
      </c>
      <c r="K129" s="79" t="n"/>
      <c r="L129" s="79" t="n"/>
      <c r="M129" s="79" t="n"/>
      <c r="N129" s="79" t="n"/>
      <c r="O129" s="79" t="n"/>
      <c r="P129" s="79" t="n"/>
      <c r="Q129" s="79" t="n"/>
      <c r="R129" s="79" t="n"/>
      <c r="S129" s="79" t="n"/>
      <c r="T129" s="79" t="n"/>
      <c r="U129" s="79" t="n"/>
      <c r="V129" s="79" t="n"/>
      <c r="W129" s="79" t="n"/>
      <c r="X129" s="79" t="n"/>
      <c r="Y129" s="79" t="n"/>
      <c r="Z129" s="79" t="n"/>
      <c r="AA129" s="79" t="n"/>
      <c r="AB129" s="79" t="n"/>
      <c r="AC129" s="79" t="n"/>
      <c r="AD129" s="79" t="n"/>
      <c r="AE129" s="79" t="n"/>
      <c r="AF129" s="79" t="n"/>
      <c r="AG129" s="79" t="n"/>
      <c r="AH129" s="79" t="n"/>
      <c r="AI129" s="79" t="n"/>
      <c r="AJ129" s="79" t="n"/>
      <c r="AK129" s="79" t="n"/>
      <c r="AL129" s="79" t="n"/>
      <c r="AM129" s="79" t="n"/>
      <c r="AN129" s="79" t="n"/>
      <c r="AO129" s="79" t="n"/>
      <c r="AP129" s="79" t="n"/>
      <c r="AQ129" s="79" t="n"/>
      <c r="AR129" s="79" t="n"/>
      <c r="AS129" s="79" t="n"/>
      <c r="AT129" s="79" t="n"/>
      <c r="AU129" s="79" t="n"/>
      <c r="AV129" s="79" t="n"/>
      <c r="AW129" s="79" t="n"/>
      <c r="AX129" s="79" t="n"/>
      <c r="AY129" s="79" t="n"/>
      <c r="AZ129" s="79" t="n"/>
      <c r="BA129" s="79" t="n"/>
      <c r="BB129" s="79" t="n"/>
      <c r="BC129" s="79" t="n"/>
      <c r="BD129" s="79" t="n"/>
      <c r="BE129" s="79" t="n"/>
      <c r="BF129" s="79" t="n"/>
      <c r="BH129">
        <f>IF($BK129="",-999,($BK129-$A$1)*24)</f>
        <v/>
      </c>
      <c r="BI129">
        <f>IF($BK129="",-999,(IF($BL129&lt;&gt;"",$BL129,IF($C$1&gt;$BK129,$C$1,$BK129+MAX('Data Input'!E71*$BM129,0.5)/24))-$A$1)*24)</f>
        <v/>
      </c>
      <c r="BJ129">
        <f>IF($BK129="",0,IF($BM129&gt;=1,IF($BN129&lt;=0,2,3),IF($BN129&lt;=0,4,5)))</f>
        <v/>
      </c>
      <c r="BK129">
        <f>IF('Data Input'!Q71="","",'Data Input'!Q71)</f>
        <v/>
      </c>
      <c r="BL129">
        <f>IF('Data Input'!R71="","",'Data Input'!R71)</f>
        <v/>
      </c>
      <c r="BM129">
        <f>'Data Input'!S71</f>
        <v/>
      </c>
      <c r="BN129">
        <f>'Data Input'!Y71</f>
        <v/>
      </c>
      <c r="BO129">
        <f>IF($BM129&gt;=1,-999,MAX(($C$1-$A$1)*24,IF($BK129&lt;&gt;"",$BI129,$BP129-'Data Input'!E71)))</f>
        <v/>
      </c>
      <c r="BP129">
        <f>('Data Input'!D71+'Data Input'!Y71/24-$A$1)*24</f>
        <v/>
      </c>
    </row>
    <row r="130" ht="11.5" customHeight="1">
      <c r="A130" s="68">
        <f>'Data Input'!A72</f>
        <v/>
      </c>
      <c r="B130" s="69">
        <f>'Data Input'!B72</f>
        <v/>
      </c>
      <c r="C130" s="70">
        <f>'Data Input'!O72</f>
        <v/>
      </c>
      <c r="D130" s="71">
        <f>'Data Input'!D72</f>
        <v/>
      </c>
      <c r="E130" s="72">
        <f>'Data Input'!D72+'Data Input'!Y72/24</f>
        <v/>
      </c>
      <c r="F130" s="73">
        <f>'Data Input'!Y72</f>
        <v/>
      </c>
      <c r="G130" s="74">
        <f>'Data Input'!T72</f>
        <v/>
      </c>
      <c r="H130" s="75">
        <f>'Data Input'!S72</f>
        <v/>
      </c>
      <c r="I130" s="57" t="n"/>
      <c r="J130" s="76" t="inlineStr">
        <is>
          <t>P</t>
        </is>
      </c>
      <c r="K130" s="77" t="n"/>
      <c r="L130" s="77" t="n"/>
      <c r="M130" s="77" t="n"/>
      <c r="N130" s="77" t="n"/>
      <c r="O130" s="77" t="n"/>
      <c r="P130" s="77" t="n"/>
      <c r="Q130" s="77" t="n"/>
      <c r="R130" s="77" t="n"/>
      <c r="S130" s="77" t="n"/>
      <c r="T130" s="77" t="n"/>
      <c r="U130" s="77" t="n"/>
      <c r="V130" s="77" t="n"/>
      <c r="W130" s="77" t="n"/>
      <c r="X130" s="77" t="n"/>
      <c r="Y130" s="77" t="n"/>
      <c r="Z130" s="77" t="n"/>
      <c r="AA130" s="77" t="n"/>
      <c r="AB130" s="77" t="n"/>
      <c r="AC130" s="77" t="n"/>
      <c r="AD130" s="77" t="n"/>
      <c r="AE130" s="77" t="n"/>
      <c r="AF130" s="77" t="n"/>
      <c r="AG130" s="77" t="n"/>
      <c r="AH130" s="77" t="n"/>
      <c r="AI130" s="77" t="n"/>
      <c r="AJ130" s="77" t="n"/>
      <c r="AK130" s="77" t="n"/>
      <c r="AL130" s="77" t="n"/>
      <c r="AM130" s="77" t="n"/>
      <c r="AN130" s="77" t="n"/>
      <c r="AO130" s="77" t="n"/>
      <c r="AP130" s="77" t="n"/>
      <c r="AQ130" s="77" t="n"/>
      <c r="AR130" s="77" t="n"/>
      <c r="AS130" s="77" t="n"/>
      <c r="AT130" s="77" t="n"/>
      <c r="AU130" s="77" t="n"/>
      <c r="AV130" s="77" t="n"/>
      <c r="AW130" s="77" t="n"/>
      <c r="AX130" s="77" t="n"/>
      <c r="AY130" s="77" t="n"/>
      <c r="AZ130" s="77" t="n"/>
      <c r="BA130" s="77" t="n"/>
      <c r="BB130" s="77" t="n"/>
      <c r="BC130" s="77" t="n"/>
      <c r="BD130" s="77" t="n"/>
      <c r="BE130" s="77" t="n"/>
      <c r="BF130" s="77" t="n"/>
      <c r="BH130">
        <f>('Data Input'!C72-$A$1)*24</f>
        <v/>
      </c>
      <c r="BI130">
        <f>('Data Input'!D72-$A$1)*24</f>
        <v/>
      </c>
      <c r="BJ130" t="n">
        <v>1</v>
      </c>
      <c r="BO130" t="n">
        <v>-999</v>
      </c>
      <c r="BP130" t="n">
        <v>-999</v>
      </c>
    </row>
    <row r="131" ht="11.5" customHeight="1">
      <c r="A131" s="78" t="n"/>
      <c r="B131" s="78" t="n"/>
      <c r="C131" s="78" t="n"/>
      <c r="D131" s="78" t="n"/>
      <c r="E131" s="78" t="n"/>
      <c r="F131" s="78" t="n"/>
      <c r="G131" s="78" t="n"/>
      <c r="H131" s="78" t="n"/>
      <c r="I131" s="78" t="n"/>
      <c r="J131" s="76" t="inlineStr">
        <is>
          <t>A</t>
        </is>
      </c>
      <c r="K131" s="79" t="n"/>
      <c r="L131" s="79" t="n"/>
      <c r="M131" s="79" t="n"/>
      <c r="N131" s="79" t="n"/>
      <c r="O131" s="79" t="n"/>
      <c r="P131" s="79" t="n"/>
      <c r="Q131" s="79" t="n"/>
      <c r="R131" s="79" t="n"/>
      <c r="S131" s="79" t="n"/>
      <c r="T131" s="79" t="n"/>
      <c r="U131" s="79" t="n"/>
      <c r="V131" s="79" t="n"/>
      <c r="W131" s="79" t="n"/>
      <c r="X131" s="79" t="n"/>
      <c r="Y131" s="79" t="n"/>
      <c r="Z131" s="79" t="n"/>
      <c r="AA131" s="79" t="n"/>
      <c r="AB131" s="79" t="n"/>
      <c r="AC131" s="79" t="n"/>
      <c r="AD131" s="79" t="n"/>
      <c r="AE131" s="79" t="n"/>
      <c r="AF131" s="79" t="n"/>
      <c r="AG131" s="79" t="n"/>
      <c r="AH131" s="79" t="n"/>
      <c r="AI131" s="79" t="n"/>
      <c r="AJ131" s="79" t="n"/>
      <c r="AK131" s="79" t="n"/>
      <c r="AL131" s="79" t="n"/>
      <c r="AM131" s="79" t="n"/>
      <c r="AN131" s="79" t="n"/>
      <c r="AO131" s="79" t="n"/>
      <c r="AP131" s="79" t="n"/>
      <c r="AQ131" s="79" t="n"/>
      <c r="AR131" s="79" t="n"/>
      <c r="AS131" s="79" t="n"/>
      <c r="AT131" s="79" t="n"/>
      <c r="AU131" s="79" t="n"/>
      <c r="AV131" s="79" t="n"/>
      <c r="AW131" s="79" t="n"/>
      <c r="AX131" s="79" t="n"/>
      <c r="AY131" s="79" t="n"/>
      <c r="AZ131" s="79" t="n"/>
      <c r="BA131" s="79" t="n"/>
      <c r="BB131" s="79" t="n"/>
      <c r="BC131" s="79" t="n"/>
      <c r="BD131" s="79" t="n"/>
      <c r="BE131" s="79" t="n"/>
      <c r="BF131" s="79" t="n"/>
      <c r="BH131">
        <f>IF($BK131="",-999,($BK131-$A$1)*24)</f>
        <v/>
      </c>
      <c r="BI131">
        <f>IF($BK131="",-999,(IF($BL131&lt;&gt;"",$BL131,IF($C$1&gt;$BK131,$C$1,$BK131+MAX('Data Input'!E72*$BM131,0.5)/24))-$A$1)*24)</f>
        <v/>
      </c>
      <c r="BJ131">
        <f>IF($BK131="",0,IF($BM131&gt;=1,IF($BN131&lt;=0,2,3),IF($BN131&lt;=0,4,5)))</f>
        <v/>
      </c>
      <c r="BK131">
        <f>IF('Data Input'!Q72="","",'Data Input'!Q72)</f>
        <v/>
      </c>
      <c r="BL131">
        <f>IF('Data Input'!R72="","",'Data Input'!R72)</f>
        <v/>
      </c>
      <c r="BM131">
        <f>'Data Input'!S72</f>
        <v/>
      </c>
      <c r="BN131">
        <f>'Data Input'!Y72</f>
        <v/>
      </c>
      <c r="BO131">
        <f>IF($BM131&gt;=1,-999,MAX(($C$1-$A$1)*24,IF($BK131&lt;&gt;"",$BI131,$BP131-'Data Input'!E72)))</f>
        <v/>
      </c>
      <c r="BP131">
        <f>('Data Input'!D72+'Data Input'!Y72/24-$A$1)*24</f>
        <v/>
      </c>
    </row>
    <row r="132" ht="11.5" customHeight="1">
      <c r="A132" s="68">
        <f>'Data Input'!A73</f>
        <v/>
      </c>
      <c r="B132" s="69">
        <f>'Data Input'!B73</f>
        <v/>
      </c>
      <c r="C132" s="70">
        <f>'Data Input'!O73</f>
        <v/>
      </c>
      <c r="D132" s="71">
        <f>'Data Input'!D73</f>
        <v/>
      </c>
      <c r="E132" s="72">
        <f>'Data Input'!D73+'Data Input'!Y73/24</f>
        <v/>
      </c>
      <c r="F132" s="73">
        <f>'Data Input'!Y73</f>
        <v/>
      </c>
      <c r="G132" s="74">
        <f>'Data Input'!T73</f>
        <v/>
      </c>
      <c r="H132" s="75">
        <f>'Data Input'!S73</f>
        <v/>
      </c>
      <c r="I132" s="57" t="n"/>
      <c r="J132" s="76" t="inlineStr">
        <is>
          <t>P</t>
        </is>
      </c>
      <c r="K132" s="77" t="n"/>
      <c r="L132" s="77" t="n"/>
      <c r="M132" s="77" t="n"/>
      <c r="N132" s="77" t="n"/>
      <c r="O132" s="77" t="n"/>
      <c r="P132" s="77" t="n"/>
      <c r="Q132" s="77" t="n"/>
      <c r="R132" s="77" t="n"/>
      <c r="S132" s="77" t="n"/>
      <c r="T132" s="77" t="n"/>
      <c r="U132" s="77" t="n"/>
      <c r="V132" s="77" t="n"/>
      <c r="W132" s="77" t="n"/>
      <c r="X132" s="77" t="n"/>
      <c r="Y132" s="77" t="n"/>
      <c r="Z132" s="77" t="n"/>
      <c r="AA132" s="77" t="n"/>
      <c r="AB132" s="77" t="n"/>
      <c r="AC132" s="77" t="n"/>
      <c r="AD132" s="77" t="n"/>
      <c r="AE132" s="77" t="n"/>
      <c r="AF132" s="77" t="n"/>
      <c r="AG132" s="77" t="n"/>
      <c r="AH132" s="77" t="n"/>
      <c r="AI132" s="77" t="n"/>
      <c r="AJ132" s="77" t="n"/>
      <c r="AK132" s="77" t="n"/>
      <c r="AL132" s="77" t="n"/>
      <c r="AM132" s="77" t="n"/>
      <c r="AN132" s="77" t="n"/>
      <c r="AO132" s="77" t="n"/>
      <c r="AP132" s="77" t="n"/>
      <c r="AQ132" s="77" t="n"/>
      <c r="AR132" s="77" t="n"/>
      <c r="AS132" s="77" t="n"/>
      <c r="AT132" s="77" t="n"/>
      <c r="AU132" s="77" t="n"/>
      <c r="AV132" s="77" t="n"/>
      <c r="AW132" s="77" t="n"/>
      <c r="AX132" s="77" t="n"/>
      <c r="AY132" s="77" t="n"/>
      <c r="AZ132" s="77" t="n"/>
      <c r="BA132" s="77" t="n"/>
      <c r="BB132" s="77" t="n"/>
      <c r="BC132" s="77" t="n"/>
      <c r="BD132" s="77" t="n"/>
      <c r="BE132" s="77" t="n"/>
      <c r="BF132" s="77" t="n"/>
      <c r="BH132">
        <f>('Data Input'!C73-$A$1)*24</f>
        <v/>
      </c>
      <c r="BI132">
        <f>('Data Input'!D73-$A$1)*24</f>
        <v/>
      </c>
      <c r="BJ132" t="n">
        <v>1</v>
      </c>
      <c r="BO132" t="n">
        <v>-999</v>
      </c>
      <c r="BP132" t="n">
        <v>-999</v>
      </c>
    </row>
    <row r="133" ht="11.5" customHeight="1">
      <c r="A133" s="78" t="n"/>
      <c r="B133" s="78" t="n"/>
      <c r="C133" s="78" t="n"/>
      <c r="D133" s="78" t="n"/>
      <c r="E133" s="78" t="n"/>
      <c r="F133" s="78" t="n"/>
      <c r="G133" s="78" t="n"/>
      <c r="H133" s="78" t="n"/>
      <c r="I133" s="78" t="n"/>
      <c r="J133" s="76" t="inlineStr">
        <is>
          <t>A</t>
        </is>
      </c>
      <c r="K133" s="79" t="n"/>
      <c r="L133" s="79" t="n"/>
      <c r="M133" s="79" t="n"/>
      <c r="N133" s="79" t="n"/>
      <c r="O133" s="79" t="n"/>
      <c r="P133" s="79" t="n"/>
      <c r="Q133" s="79" t="n"/>
      <c r="R133" s="79" t="n"/>
      <c r="S133" s="79" t="n"/>
      <c r="T133" s="79" t="n"/>
      <c r="U133" s="79" t="n"/>
      <c r="V133" s="79" t="n"/>
      <c r="W133" s="79" t="n"/>
      <c r="X133" s="79" t="n"/>
      <c r="Y133" s="79" t="n"/>
      <c r="Z133" s="79" t="n"/>
      <c r="AA133" s="79" t="n"/>
      <c r="AB133" s="79" t="n"/>
      <c r="AC133" s="79" t="n"/>
      <c r="AD133" s="79" t="n"/>
      <c r="AE133" s="79" t="n"/>
      <c r="AF133" s="79" t="n"/>
      <c r="AG133" s="79" t="n"/>
      <c r="AH133" s="79" t="n"/>
      <c r="AI133" s="79" t="n"/>
      <c r="AJ133" s="79" t="n"/>
      <c r="AK133" s="79" t="n"/>
      <c r="AL133" s="79" t="n"/>
      <c r="AM133" s="79" t="n"/>
      <c r="AN133" s="79" t="n"/>
      <c r="AO133" s="79" t="n"/>
      <c r="AP133" s="79" t="n"/>
      <c r="AQ133" s="79" t="n"/>
      <c r="AR133" s="79" t="n"/>
      <c r="AS133" s="79" t="n"/>
      <c r="AT133" s="79" t="n"/>
      <c r="AU133" s="79" t="n"/>
      <c r="AV133" s="79" t="n"/>
      <c r="AW133" s="79" t="n"/>
      <c r="AX133" s="79" t="n"/>
      <c r="AY133" s="79" t="n"/>
      <c r="AZ133" s="79" t="n"/>
      <c r="BA133" s="79" t="n"/>
      <c r="BB133" s="79" t="n"/>
      <c r="BC133" s="79" t="n"/>
      <c r="BD133" s="79" t="n"/>
      <c r="BE133" s="79" t="n"/>
      <c r="BF133" s="79" t="n"/>
      <c r="BH133">
        <f>IF($BK133="",-999,($BK133-$A$1)*24)</f>
        <v/>
      </c>
      <c r="BI133">
        <f>IF($BK133="",-999,(IF($BL133&lt;&gt;"",$BL133,IF($C$1&gt;$BK133,$C$1,$BK133+MAX('Data Input'!E73*$BM133,0.5)/24))-$A$1)*24)</f>
        <v/>
      </c>
      <c r="BJ133">
        <f>IF($BK133="",0,IF($BM133&gt;=1,IF($BN133&lt;=0,2,3),IF($BN133&lt;=0,4,5)))</f>
        <v/>
      </c>
      <c r="BK133">
        <f>IF('Data Input'!Q73="","",'Data Input'!Q73)</f>
        <v/>
      </c>
      <c r="BL133">
        <f>IF('Data Input'!R73="","",'Data Input'!R73)</f>
        <v/>
      </c>
      <c r="BM133">
        <f>'Data Input'!S73</f>
        <v/>
      </c>
      <c r="BN133">
        <f>'Data Input'!Y73</f>
        <v/>
      </c>
      <c r="BO133">
        <f>IF($BM133&gt;=1,-999,MAX(($C$1-$A$1)*24,IF($BK133&lt;&gt;"",$BI133,$BP133-'Data Input'!E73)))</f>
        <v/>
      </c>
      <c r="BP133">
        <f>('Data Input'!D73+'Data Input'!Y73/24-$A$1)*24</f>
        <v/>
      </c>
    </row>
    <row r="134" ht="11.5" customHeight="1">
      <c r="A134" s="68">
        <f>'Data Input'!A74</f>
        <v/>
      </c>
      <c r="B134" s="69">
        <f>'Data Input'!B74</f>
        <v/>
      </c>
      <c r="C134" s="70">
        <f>'Data Input'!O74</f>
        <v/>
      </c>
      <c r="D134" s="71">
        <f>'Data Input'!D74</f>
        <v/>
      </c>
      <c r="E134" s="72">
        <f>'Data Input'!D74+'Data Input'!Y74/24</f>
        <v/>
      </c>
      <c r="F134" s="73">
        <f>'Data Input'!Y74</f>
        <v/>
      </c>
      <c r="G134" s="74">
        <f>'Data Input'!T74</f>
        <v/>
      </c>
      <c r="H134" s="75">
        <f>'Data Input'!S74</f>
        <v/>
      </c>
      <c r="I134" s="57" t="n"/>
      <c r="J134" s="76" t="inlineStr">
        <is>
          <t>P</t>
        </is>
      </c>
      <c r="K134" s="77" t="n"/>
      <c r="L134" s="77" t="n"/>
      <c r="M134" s="77" t="n"/>
      <c r="N134" s="77" t="n"/>
      <c r="O134" s="77" t="n"/>
      <c r="P134" s="77" t="n"/>
      <c r="Q134" s="77" t="n"/>
      <c r="R134" s="77" t="n"/>
      <c r="S134" s="77" t="n"/>
      <c r="T134" s="77" t="n"/>
      <c r="U134" s="77" t="n"/>
      <c r="V134" s="77" t="n"/>
      <c r="W134" s="77" t="n"/>
      <c r="X134" s="77" t="n"/>
      <c r="Y134" s="77" t="n"/>
      <c r="Z134" s="77" t="n"/>
      <c r="AA134" s="77" t="n"/>
      <c r="AB134" s="77" t="n"/>
      <c r="AC134" s="77" t="n"/>
      <c r="AD134" s="77" t="n"/>
      <c r="AE134" s="77" t="n"/>
      <c r="AF134" s="77" t="n"/>
      <c r="AG134" s="77" t="n"/>
      <c r="AH134" s="77" t="n"/>
      <c r="AI134" s="77" t="n"/>
      <c r="AJ134" s="77" t="n"/>
      <c r="AK134" s="77" t="n"/>
      <c r="AL134" s="77" t="n"/>
      <c r="AM134" s="77" t="n"/>
      <c r="AN134" s="77" t="n"/>
      <c r="AO134" s="77" t="n"/>
      <c r="AP134" s="77" t="n"/>
      <c r="AQ134" s="77" t="n"/>
      <c r="AR134" s="77" t="n"/>
      <c r="AS134" s="77" t="n"/>
      <c r="AT134" s="77" t="n"/>
      <c r="AU134" s="77" t="n"/>
      <c r="AV134" s="77" t="n"/>
      <c r="AW134" s="77" t="n"/>
      <c r="AX134" s="77" t="n"/>
      <c r="AY134" s="77" t="n"/>
      <c r="AZ134" s="77" t="n"/>
      <c r="BA134" s="77" t="n"/>
      <c r="BB134" s="77" t="n"/>
      <c r="BC134" s="77" t="n"/>
      <c r="BD134" s="77" t="n"/>
      <c r="BE134" s="77" t="n"/>
      <c r="BF134" s="77" t="n"/>
      <c r="BH134">
        <f>('Data Input'!C74-$A$1)*24</f>
        <v/>
      </c>
      <c r="BI134">
        <f>('Data Input'!D74-$A$1)*24</f>
        <v/>
      </c>
      <c r="BJ134" t="n">
        <v>1</v>
      </c>
      <c r="BO134" t="n">
        <v>-999</v>
      </c>
      <c r="BP134" t="n">
        <v>-999</v>
      </c>
    </row>
    <row r="135" ht="11.5" customHeight="1">
      <c r="A135" s="78" t="n"/>
      <c r="B135" s="78" t="n"/>
      <c r="C135" s="78" t="n"/>
      <c r="D135" s="78" t="n"/>
      <c r="E135" s="78" t="n"/>
      <c r="F135" s="78" t="n"/>
      <c r="G135" s="78" t="n"/>
      <c r="H135" s="78" t="n"/>
      <c r="I135" s="78" t="n"/>
      <c r="J135" s="76" t="inlineStr">
        <is>
          <t>A</t>
        </is>
      </c>
      <c r="K135" s="79" t="n"/>
      <c r="L135" s="79" t="n"/>
      <c r="M135" s="79" t="n"/>
      <c r="N135" s="79" t="n"/>
      <c r="O135" s="79" t="n"/>
      <c r="P135" s="79" t="n"/>
      <c r="Q135" s="79" t="n"/>
      <c r="R135" s="79" t="n"/>
      <c r="S135" s="79" t="n"/>
      <c r="T135" s="79" t="n"/>
      <c r="U135" s="79" t="n"/>
      <c r="V135" s="79" t="n"/>
      <c r="W135" s="79" t="n"/>
      <c r="X135" s="79" t="n"/>
      <c r="Y135" s="79" t="n"/>
      <c r="Z135" s="79" t="n"/>
      <c r="AA135" s="79" t="n"/>
      <c r="AB135" s="79" t="n"/>
      <c r="AC135" s="79" t="n"/>
      <c r="AD135" s="79" t="n"/>
      <c r="AE135" s="79" t="n"/>
      <c r="AF135" s="79" t="n"/>
      <c r="AG135" s="79" t="n"/>
      <c r="AH135" s="79" t="n"/>
      <c r="AI135" s="79" t="n"/>
      <c r="AJ135" s="79" t="n"/>
      <c r="AK135" s="79" t="n"/>
      <c r="AL135" s="79" t="n"/>
      <c r="AM135" s="79" t="n"/>
      <c r="AN135" s="79" t="n"/>
      <c r="AO135" s="79" t="n"/>
      <c r="AP135" s="79" t="n"/>
      <c r="AQ135" s="79" t="n"/>
      <c r="AR135" s="79" t="n"/>
      <c r="AS135" s="79" t="n"/>
      <c r="AT135" s="79" t="n"/>
      <c r="AU135" s="79" t="n"/>
      <c r="AV135" s="79" t="n"/>
      <c r="AW135" s="79" t="n"/>
      <c r="AX135" s="79" t="n"/>
      <c r="AY135" s="79" t="n"/>
      <c r="AZ135" s="79" t="n"/>
      <c r="BA135" s="79" t="n"/>
      <c r="BB135" s="79" t="n"/>
      <c r="BC135" s="79" t="n"/>
      <c r="BD135" s="79" t="n"/>
      <c r="BE135" s="79" t="n"/>
      <c r="BF135" s="79" t="n"/>
      <c r="BH135">
        <f>IF($BK135="",-999,($BK135-$A$1)*24)</f>
        <v/>
      </c>
      <c r="BI135">
        <f>IF($BK135="",-999,(IF($BL135&lt;&gt;"",$BL135,IF($C$1&gt;$BK135,$C$1,$BK135+MAX('Data Input'!E74*$BM135,0.5)/24))-$A$1)*24)</f>
        <v/>
      </c>
      <c r="BJ135">
        <f>IF($BK135="",0,IF($BM135&gt;=1,IF($BN135&lt;=0,2,3),IF($BN135&lt;=0,4,5)))</f>
        <v/>
      </c>
      <c r="BK135">
        <f>IF('Data Input'!Q74="","",'Data Input'!Q74)</f>
        <v/>
      </c>
      <c r="BL135">
        <f>IF('Data Input'!R74="","",'Data Input'!R74)</f>
        <v/>
      </c>
      <c r="BM135">
        <f>'Data Input'!S74</f>
        <v/>
      </c>
      <c r="BN135">
        <f>'Data Input'!Y74</f>
        <v/>
      </c>
      <c r="BO135">
        <f>IF($BM135&gt;=1,-999,MAX(($C$1-$A$1)*24,IF($BK135&lt;&gt;"",$BI135,$BP135-'Data Input'!E74)))</f>
        <v/>
      </c>
      <c r="BP135">
        <f>('Data Input'!D74+'Data Input'!Y74/24-$A$1)*24</f>
        <v/>
      </c>
    </row>
    <row r="136" ht="11.5" customHeight="1">
      <c r="A136" s="68">
        <f>'Data Input'!A75</f>
        <v/>
      </c>
      <c r="B136" s="69">
        <f>'Data Input'!B75</f>
        <v/>
      </c>
      <c r="C136" s="70">
        <f>'Data Input'!O75</f>
        <v/>
      </c>
      <c r="D136" s="71">
        <f>'Data Input'!D75</f>
        <v/>
      </c>
      <c r="E136" s="72">
        <f>'Data Input'!D75+'Data Input'!Y75/24</f>
        <v/>
      </c>
      <c r="F136" s="73">
        <f>'Data Input'!Y75</f>
        <v/>
      </c>
      <c r="G136" s="74">
        <f>'Data Input'!T75</f>
        <v/>
      </c>
      <c r="H136" s="75">
        <f>'Data Input'!S75</f>
        <v/>
      </c>
      <c r="I136" s="57" t="n"/>
      <c r="J136" s="76" t="inlineStr">
        <is>
          <t>P</t>
        </is>
      </c>
      <c r="K136" s="77" t="n"/>
      <c r="L136" s="77" t="n"/>
      <c r="M136" s="77" t="n"/>
      <c r="N136" s="77" t="n"/>
      <c r="O136" s="77" t="n"/>
      <c r="P136" s="77" t="n"/>
      <c r="Q136" s="77" t="n"/>
      <c r="R136" s="77" t="n"/>
      <c r="S136" s="77" t="n"/>
      <c r="T136" s="77" t="n"/>
      <c r="U136" s="77" t="n"/>
      <c r="V136" s="77" t="n"/>
      <c r="W136" s="77" t="n"/>
      <c r="X136" s="77" t="n"/>
      <c r="Y136" s="77" t="n"/>
      <c r="Z136" s="77" t="n"/>
      <c r="AA136" s="77" t="n"/>
      <c r="AB136" s="77" t="n"/>
      <c r="AC136" s="77" t="n"/>
      <c r="AD136" s="77" t="n"/>
      <c r="AE136" s="77" t="n"/>
      <c r="AF136" s="77" t="n"/>
      <c r="AG136" s="77" t="n"/>
      <c r="AH136" s="77" t="n"/>
      <c r="AI136" s="77" t="n"/>
      <c r="AJ136" s="77" t="n"/>
      <c r="AK136" s="77" t="n"/>
      <c r="AL136" s="77" t="n"/>
      <c r="AM136" s="77" t="n"/>
      <c r="AN136" s="77" t="n"/>
      <c r="AO136" s="77" t="n"/>
      <c r="AP136" s="77" t="n"/>
      <c r="AQ136" s="77" t="n"/>
      <c r="AR136" s="77" t="n"/>
      <c r="AS136" s="77" t="n"/>
      <c r="AT136" s="77" t="n"/>
      <c r="AU136" s="77" t="n"/>
      <c r="AV136" s="77" t="n"/>
      <c r="AW136" s="77" t="n"/>
      <c r="AX136" s="77" t="n"/>
      <c r="AY136" s="77" t="n"/>
      <c r="AZ136" s="77" t="n"/>
      <c r="BA136" s="77" t="n"/>
      <c r="BB136" s="77" t="n"/>
      <c r="BC136" s="77" t="n"/>
      <c r="BD136" s="77" t="n"/>
      <c r="BE136" s="77" t="n"/>
      <c r="BF136" s="77" t="n"/>
      <c r="BH136">
        <f>('Data Input'!C75-$A$1)*24</f>
        <v/>
      </c>
      <c r="BI136">
        <f>('Data Input'!D75-$A$1)*24</f>
        <v/>
      </c>
      <c r="BJ136" t="n">
        <v>1</v>
      </c>
      <c r="BO136" t="n">
        <v>-999</v>
      </c>
      <c r="BP136" t="n">
        <v>-999</v>
      </c>
    </row>
    <row r="137" ht="11.5" customHeight="1">
      <c r="A137" s="78" t="n"/>
      <c r="B137" s="78" t="n"/>
      <c r="C137" s="78" t="n"/>
      <c r="D137" s="78" t="n"/>
      <c r="E137" s="78" t="n"/>
      <c r="F137" s="78" t="n"/>
      <c r="G137" s="78" t="n"/>
      <c r="H137" s="78" t="n"/>
      <c r="I137" s="78" t="n"/>
      <c r="J137" s="76" t="inlineStr">
        <is>
          <t>A</t>
        </is>
      </c>
      <c r="K137" s="79" t="n"/>
      <c r="L137" s="79" t="n"/>
      <c r="M137" s="79" t="n"/>
      <c r="N137" s="79" t="n"/>
      <c r="O137" s="79" t="n"/>
      <c r="P137" s="79" t="n"/>
      <c r="Q137" s="79" t="n"/>
      <c r="R137" s="79" t="n"/>
      <c r="S137" s="79" t="n"/>
      <c r="T137" s="79" t="n"/>
      <c r="U137" s="79" t="n"/>
      <c r="V137" s="79" t="n"/>
      <c r="W137" s="79" t="n"/>
      <c r="X137" s="79" t="n"/>
      <c r="Y137" s="79" t="n"/>
      <c r="Z137" s="79" t="n"/>
      <c r="AA137" s="79" t="n"/>
      <c r="AB137" s="79" t="n"/>
      <c r="AC137" s="79" t="n"/>
      <c r="AD137" s="79" t="n"/>
      <c r="AE137" s="79" t="n"/>
      <c r="AF137" s="79" t="n"/>
      <c r="AG137" s="79" t="n"/>
      <c r="AH137" s="79" t="n"/>
      <c r="AI137" s="79" t="n"/>
      <c r="AJ137" s="79" t="n"/>
      <c r="AK137" s="79" t="n"/>
      <c r="AL137" s="79" t="n"/>
      <c r="AM137" s="79" t="n"/>
      <c r="AN137" s="79" t="n"/>
      <c r="AO137" s="79" t="n"/>
      <c r="AP137" s="79" t="n"/>
      <c r="AQ137" s="79" t="n"/>
      <c r="AR137" s="79" t="n"/>
      <c r="AS137" s="79" t="n"/>
      <c r="AT137" s="79" t="n"/>
      <c r="AU137" s="79" t="n"/>
      <c r="AV137" s="79" t="n"/>
      <c r="AW137" s="79" t="n"/>
      <c r="AX137" s="79" t="n"/>
      <c r="AY137" s="79" t="n"/>
      <c r="AZ137" s="79" t="n"/>
      <c r="BA137" s="79" t="n"/>
      <c r="BB137" s="79" t="n"/>
      <c r="BC137" s="79" t="n"/>
      <c r="BD137" s="79" t="n"/>
      <c r="BE137" s="79" t="n"/>
      <c r="BF137" s="79" t="n"/>
      <c r="BH137">
        <f>IF($BK137="",-999,($BK137-$A$1)*24)</f>
        <v/>
      </c>
      <c r="BI137">
        <f>IF($BK137="",-999,(IF($BL137&lt;&gt;"",$BL137,IF($C$1&gt;$BK137,$C$1,$BK137+MAX('Data Input'!E75*$BM137,0.5)/24))-$A$1)*24)</f>
        <v/>
      </c>
      <c r="BJ137">
        <f>IF($BK137="",0,IF($BM137&gt;=1,IF($BN137&lt;=0,2,3),IF($BN137&lt;=0,4,5)))</f>
        <v/>
      </c>
      <c r="BK137">
        <f>IF('Data Input'!Q75="","",'Data Input'!Q75)</f>
        <v/>
      </c>
      <c r="BL137">
        <f>IF('Data Input'!R75="","",'Data Input'!R75)</f>
        <v/>
      </c>
      <c r="BM137">
        <f>'Data Input'!S75</f>
        <v/>
      </c>
      <c r="BN137">
        <f>'Data Input'!Y75</f>
        <v/>
      </c>
      <c r="BO137">
        <f>IF($BM137&gt;=1,-999,MAX(($C$1-$A$1)*24,IF($BK137&lt;&gt;"",$BI137,$BP137-'Data Input'!E75)))</f>
        <v/>
      </c>
      <c r="BP137">
        <f>('Data Input'!D75+'Data Input'!Y75/24-$A$1)*24</f>
        <v/>
      </c>
    </row>
    <row r="138" ht="11.5" customHeight="1">
      <c r="A138" s="68">
        <f>'Data Input'!A76</f>
        <v/>
      </c>
      <c r="B138" s="69">
        <f>'Data Input'!B76</f>
        <v/>
      </c>
      <c r="C138" s="70">
        <f>'Data Input'!O76</f>
        <v/>
      </c>
      <c r="D138" s="71">
        <f>'Data Input'!D76</f>
        <v/>
      </c>
      <c r="E138" s="72">
        <f>'Data Input'!D76+'Data Input'!Y76/24</f>
        <v/>
      </c>
      <c r="F138" s="73">
        <f>'Data Input'!Y76</f>
        <v/>
      </c>
      <c r="G138" s="74">
        <f>'Data Input'!T76</f>
        <v/>
      </c>
      <c r="H138" s="75">
        <f>'Data Input'!S76</f>
        <v/>
      </c>
      <c r="I138" s="57" t="n"/>
      <c r="J138" s="76" t="inlineStr">
        <is>
          <t>P</t>
        </is>
      </c>
      <c r="K138" s="77" t="n"/>
      <c r="L138" s="77" t="n"/>
      <c r="M138" s="77" t="n"/>
      <c r="N138" s="77" t="n"/>
      <c r="O138" s="77" t="n"/>
      <c r="P138" s="77" t="n"/>
      <c r="Q138" s="77" t="n"/>
      <c r="R138" s="77" t="n"/>
      <c r="S138" s="77" t="n"/>
      <c r="T138" s="77" t="n"/>
      <c r="U138" s="77" t="n"/>
      <c r="V138" s="77" t="n"/>
      <c r="W138" s="77" t="n"/>
      <c r="X138" s="77" t="n"/>
      <c r="Y138" s="77" t="n"/>
      <c r="Z138" s="77" t="n"/>
      <c r="AA138" s="77" t="n"/>
      <c r="AB138" s="77" t="n"/>
      <c r="AC138" s="77" t="n"/>
      <c r="AD138" s="77" t="n"/>
      <c r="AE138" s="77" t="n"/>
      <c r="AF138" s="77" t="n"/>
      <c r="AG138" s="77" t="n"/>
      <c r="AH138" s="77" t="n"/>
      <c r="AI138" s="77" t="n"/>
      <c r="AJ138" s="77" t="n"/>
      <c r="AK138" s="77" t="n"/>
      <c r="AL138" s="77" t="n"/>
      <c r="AM138" s="77" t="n"/>
      <c r="AN138" s="77" t="n"/>
      <c r="AO138" s="77" t="n"/>
      <c r="AP138" s="77" t="n"/>
      <c r="AQ138" s="77" t="n"/>
      <c r="AR138" s="77" t="n"/>
      <c r="AS138" s="77" t="n"/>
      <c r="AT138" s="77" t="n"/>
      <c r="AU138" s="77" t="n"/>
      <c r="AV138" s="77" t="n"/>
      <c r="AW138" s="77" t="n"/>
      <c r="AX138" s="77" t="n"/>
      <c r="AY138" s="77" t="n"/>
      <c r="AZ138" s="77" t="n"/>
      <c r="BA138" s="77" t="n"/>
      <c r="BB138" s="77" t="n"/>
      <c r="BC138" s="77" t="n"/>
      <c r="BD138" s="77" t="n"/>
      <c r="BE138" s="77" t="n"/>
      <c r="BF138" s="77" t="n"/>
      <c r="BH138">
        <f>('Data Input'!C76-$A$1)*24</f>
        <v/>
      </c>
      <c r="BI138">
        <f>('Data Input'!D76-$A$1)*24</f>
        <v/>
      </c>
      <c r="BJ138" t="n">
        <v>1</v>
      </c>
      <c r="BO138" t="n">
        <v>-999</v>
      </c>
      <c r="BP138" t="n">
        <v>-999</v>
      </c>
    </row>
    <row r="139" ht="11.5" customHeight="1">
      <c r="A139" s="78" t="n"/>
      <c r="B139" s="78" t="n"/>
      <c r="C139" s="78" t="n"/>
      <c r="D139" s="78" t="n"/>
      <c r="E139" s="78" t="n"/>
      <c r="F139" s="78" t="n"/>
      <c r="G139" s="78" t="n"/>
      <c r="H139" s="78" t="n"/>
      <c r="I139" s="78" t="n"/>
      <c r="J139" s="76" t="inlineStr">
        <is>
          <t>A</t>
        </is>
      </c>
      <c r="K139" s="79" t="n"/>
      <c r="L139" s="79" t="n"/>
      <c r="M139" s="79" t="n"/>
      <c r="N139" s="79" t="n"/>
      <c r="O139" s="79" t="n"/>
      <c r="P139" s="79" t="n"/>
      <c r="Q139" s="79" t="n"/>
      <c r="R139" s="79" t="n"/>
      <c r="S139" s="79" t="n"/>
      <c r="T139" s="79" t="n"/>
      <c r="U139" s="79" t="n"/>
      <c r="V139" s="79" t="n"/>
      <c r="W139" s="79" t="n"/>
      <c r="X139" s="79" t="n"/>
      <c r="Y139" s="79" t="n"/>
      <c r="Z139" s="79" t="n"/>
      <c r="AA139" s="79" t="n"/>
      <c r="AB139" s="79" t="n"/>
      <c r="AC139" s="79" t="n"/>
      <c r="AD139" s="79" t="n"/>
      <c r="AE139" s="79" t="n"/>
      <c r="AF139" s="79" t="n"/>
      <c r="AG139" s="79" t="n"/>
      <c r="AH139" s="79" t="n"/>
      <c r="AI139" s="79" t="n"/>
      <c r="AJ139" s="79" t="n"/>
      <c r="AK139" s="79" t="n"/>
      <c r="AL139" s="79" t="n"/>
      <c r="AM139" s="79" t="n"/>
      <c r="AN139" s="79" t="n"/>
      <c r="AO139" s="79" t="n"/>
      <c r="AP139" s="79" t="n"/>
      <c r="AQ139" s="79" t="n"/>
      <c r="AR139" s="79" t="n"/>
      <c r="AS139" s="79" t="n"/>
      <c r="AT139" s="79" t="n"/>
      <c r="AU139" s="79" t="n"/>
      <c r="AV139" s="79" t="n"/>
      <c r="AW139" s="79" t="n"/>
      <c r="AX139" s="79" t="n"/>
      <c r="AY139" s="79" t="n"/>
      <c r="AZ139" s="79" t="n"/>
      <c r="BA139" s="79" t="n"/>
      <c r="BB139" s="79" t="n"/>
      <c r="BC139" s="79" t="n"/>
      <c r="BD139" s="79" t="n"/>
      <c r="BE139" s="79" t="n"/>
      <c r="BF139" s="79" t="n"/>
      <c r="BH139">
        <f>IF($BK139="",-999,($BK139-$A$1)*24)</f>
        <v/>
      </c>
      <c r="BI139">
        <f>IF($BK139="",-999,(IF($BL139&lt;&gt;"",$BL139,IF($C$1&gt;$BK139,$C$1,$BK139+MAX('Data Input'!E76*$BM139,0.5)/24))-$A$1)*24)</f>
        <v/>
      </c>
      <c r="BJ139">
        <f>IF($BK139="",0,IF($BM139&gt;=1,IF($BN139&lt;=0,2,3),IF($BN139&lt;=0,4,5)))</f>
        <v/>
      </c>
      <c r="BK139">
        <f>IF('Data Input'!Q76="","",'Data Input'!Q76)</f>
        <v/>
      </c>
      <c r="BL139">
        <f>IF('Data Input'!R76="","",'Data Input'!R76)</f>
        <v/>
      </c>
      <c r="BM139">
        <f>'Data Input'!S76</f>
        <v/>
      </c>
      <c r="BN139">
        <f>'Data Input'!Y76</f>
        <v/>
      </c>
      <c r="BO139">
        <f>IF($BM139&gt;=1,-999,MAX(($C$1-$A$1)*24,IF($BK139&lt;&gt;"",$BI139,$BP139-'Data Input'!E76)))</f>
        <v/>
      </c>
      <c r="BP139">
        <f>('Data Input'!D76+'Data Input'!Y76/24-$A$1)*24</f>
        <v/>
      </c>
    </row>
    <row r="140" ht="11.5" customHeight="1">
      <c r="A140" s="68">
        <f>'Data Input'!A77</f>
        <v/>
      </c>
      <c r="B140" s="69">
        <f>'Data Input'!B77</f>
        <v/>
      </c>
      <c r="C140" s="70">
        <f>'Data Input'!O77</f>
        <v/>
      </c>
      <c r="D140" s="71">
        <f>'Data Input'!D77</f>
        <v/>
      </c>
      <c r="E140" s="72">
        <f>'Data Input'!D77+'Data Input'!Y77/24</f>
        <v/>
      </c>
      <c r="F140" s="73">
        <f>'Data Input'!Y77</f>
        <v/>
      </c>
      <c r="G140" s="74">
        <f>'Data Input'!T77</f>
        <v/>
      </c>
      <c r="H140" s="75">
        <f>'Data Input'!S77</f>
        <v/>
      </c>
      <c r="I140" s="57" t="n"/>
      <c r="J140" s="76" t="inlineStr">
        <is>
          <t>P</t>
        </is>
      </c>
      <c r="K140" s="77" t="n"/>
      <c r="L140" s="77" t="n"/>
      <c r="M140" s="77" t="n"/>
      <c r="N140" s="77" t="n"/>
      <c r="O140" s="77" t="n"/>
      <c r="P140" s="77" t="n"/>
      <c r="Q140" s="77" t="n"/>
      <c r="R140" s="77" t="n"/>
      <c r="S140" s="77" t="n"/>
      <c r="T140" s="77" t="n"/>
      <c r="U140" s="77" t="n"/>
      <c r="V140" s="77" t="n"/>
      <c r="W140" s="77" t="n"/>
      <c r="X140" s="77" t="n"/>
      <c r="Y140" s="77" t="n"/>
      <c r="Z140" s="77" t="n"/>
      <c r="AA140" s="77" t="n"/>
      <c r="AB140" s="77" t="n"/>
      <c r="AC140" s="77" t="n"/>
      <c r="AD140" s="77" t="n"/>
      <c r="AE140" s="77" t="n"/>
      <c r="AF140" s="77" t="n"/>
      <c r="AG140" s="77" t="n"/>
      <c r="AH140" s="77" t="n"/>
      <c r="AI140" s="77" t="n"/>
      <c r="AJ140" s="77" t="n"/>
      <c r="AK140" s="77" t="n"/>
      <c r="AL140" s="77" t="n"/>
      <c r="AM140" s="77" t="n"/>
      <c r="AN140" s="77" t="n"/>
      <c r="AO140" s="77" t="n"/>
      <c r="AP140" s="77" t="n"/>
      <c r="AQ140" s="77" t="n"/>
      <c r="AR140" s="77" t="n"/>
      <c r="AS140" s="77" t="n"/>
      <c r="AT140" s="77" t="n"/>
      <c r="AU140" s="77" t="n"/>
      <c r="AV140" s="77" t="n"/>
      <c r="AW140" s="77" t="n"/>
      <c r="AX140" s="77" t="n"/>
      <c r="AY140" s="77" t="n"/>
      <c r="AZ140" s="77" t="n"/>
      <c r="BA140" s="77" t="n"/>
      <c r="BB140" s="77" t="n"/>
      <c r="BC140" s="77" t="n"/>
      <c r="BD140" s="77" t="n"/>
      <c r="BE140" s="77" t="n"/>
      <c r="BF140" s="77" t="n"/>
      <c r="BH140">
        <f>('Data Input'!C77-$A$1)*24</f>
        <v/>
      </c>
      <c r="BI140">
        <f>('Data Input'!D77-$A$1)*24</f>
        <v/>
      </c>
      <c r="BJ140" t="n">
        <v>1</v>
      </c>
      <c r="BO140" t="n">
        <v>-999</v>
      </c>
      <c r="BP140" t="n">
        <v>-999</v>
      </c>
    </row>
    <row r="141" ht="11.5" customHeight="1">
      <c r="A141" s="78" t="n"/>
      <c r="B141" s="78" t="n"/>
      <c r="C141" s="78" t="n"/>
      <c r="D141" s="78" t="n"/>
      <c r="E141" s="78" t="n"/>
      <c r="F141" s="78" t="n"/>
      <c r="G141" s="78" t="n"/>
      <c r="H141" s="78" t="n"/>
      <c r="I141" s="78" t="n"/>
      <c r="J141" s="76" t="inlineStr">
        <is>
          <t>A</t>
        </is>
      </c>
      <c r="K141" s="79" t="n"/>
      <c r="L141" s="79" t="n"/>
      <c r="M141" s="79" t="n"/>
      <c r="N141" s="79" t="n"/>
      <c r="O141" s="79" t="n"/>
      <c r="P141" s="79" t="n"/>
      <c r="Q141" s="79" t="n"/>
      <c r="R141" s="79" t="n"/>
      <c r="S141" s="79" t="n"/>
      <c r="T141" s="79" t="n"/>
      <c r="U141" s="79" t="n"/>
      <c r="V141" s="79" t="n"/>
      <c r="W141" s="79" t="n"/>
      <c r="X141" s="79" t="n"/>
      <c r="Y141" s="79" t="n"/>
      <c r="Z141" s="79" t="n"/>
      <c r="AA141" s="79" t="n"/>
      <c r="AB141" s="79" t="n"/>
      <c r="AC141" s="79" t="n"/>
      <c r="AD141" s="79" t="n"/>
      <c r="AE141" s="79" t="n"/>
      <c r="AF141" s="79" t="n"/>
      <c r="AG141" s="79" t="n"/>
      <c r="AH141" s="79" t="n"/>
      <c r="AI141" s="79" t="n"/>
      <c r="AJ141" s="79" t="n"/>
      <c r="AK141" s="79" t="n"/>
      <c r="AL141" s="79" t="n"/>
      <c r="AM141" s="79" t="n"/>
      <c r="AN141" s="79" t="n"/>
      <c r="AO141" s="79" t="n"/>
      <c r="AP141" s="79" t="n"/>
      <c r="AQ141" s="79" t="n"/>
      <c r="AR141" s="79" t="n"/>
      <c r="AS141" s="79" t="n"/>
      <c r="AT141" s="79" t="n"/>
      <c r="AU141" s="79" t="n"/>
      <c r="AV141" s="79" t="n"/>
      <c r="AW141" s="79" t="n"/>
      <c r="AX141" s="79" t="n"/>
      <c r="AY141" s="79" t="n"/>
      <c r="AZ141" s="79" t="n"/>
      <c r="BA141" s="79" t="n"/>
      <c r="BB141" s="79" t="n"/>
      <c r="BC141" s="79" t="n"/>
      <c r="BD141" s="79" t="n"/>
      <c r="BE141" s="79" t="n"/>
      <c r="BF141" s="79" t="n"/>
      <c r="BH141">
        <f>IF($BK141="",-999,($BK141-$A$1)*24)</f>
        <v/>
      </c>
      <c r="BI141">
        <f>IF($BK141="",-999,(IF($BL141&lt;&gt;"",$BL141,IF($C$1&gt;$BK141,$C$1,$BK141+MAX('Data Input'!E77*$BM141,0.5)/24))-$A$1)*24)</f>
        <v/>
      </c>
      <c r="BJ141">
        <f>IF($BK141="",0,IF($BM141&gt;=1,IF($BN141&lt;=0,2,3),IF($BN141&lt;=0,4,5)))</f>
        <v/>
      </c>
      <c r="BK141">
        <f>IF('Data Input'!Q77="","",'Data Input'!Q77)</f>
        <v/>
      </c>
      <c r="BL141">
        <f>IF('Data Input'!R77="","",'Data Input'!R77)</f>
        <v/>
      </c>
      <c r="BM141">
        <f>'Data Input'!S77</f>
        <v/>
      </c>
      <c r="BN141">
        <f>'Data Input'!Y77</f>
        <v/>
      </c>
      <c r="BO141">
        <f>IF($BM141&gt;=1,-999,MAX(($C$1-$A$1)*24,IF($BK141&lt;&gt;"",$BI141,$BP141-'Data Input'!E77)))</f>
        <v/>
      </c>
      <c r="BP141">
        <f>('Data Input'!D77+'Data Input'!Y77/24-$A$1)*24</f>
        <v/>
      </c>
    </row>
    <row r="142" ht="11.5" customHeight="1">
      <c r="A142" s="68">
        <f>'Data Input'!A78</f>
        <v/>
      </c>
      <c r="B142" s="69">
        <f>'Data Input'!B78</f>
        <v/>
      </c>
      <c r="C142" s="70">
        <f>'Data Input'!O78</f>
        <v/>
      </c>
      <c r="D142" s="71">
        <f>'Data Input'!D78</f>
        <v/>
      </c>
      <c r="E142" s="72">
        <f>'Data Input'!D78+'Data Input'!Y78/24</f>
        <v/>
      </c>
      <c r="F142" s="73">
        <f>'Data Input'!Y78</f>
        <v/>
      </c>
      <c r="G142" s="74">
        <f>'Data Input'!T78</f>
        <v/>
      </c>
      <c r="H142" s="75">
        <f>'Data Input'!S78</f>
        <v/>
      </c>
      <c r="I142" s="57" t="n"/>
      <c r="J142" s="76" t="inlineStr">
        <is>
          <t>P</t>
        </is>
      </c>
      <c r="K142" s="77" t="n"/>
      <c r="L142" s="77" t="n"/>
      <c r="M142" s="77" t="n"/>
      <c r="N142" s="77" t="n"/>
      <c r="O142" s="77" t="n"/>
      <c r="P142" s="77" t="n"/>
      <c r="Q142" s="77" t="n"/>
      <c r="R142" s="77" t="n"/>
      <c r="S142" s="77" t="n"/>
      <c r="T142" s="77" t="n"/>
      <c r="U142" s="77" t="n"/>
      <c r="V142" s="77" t="n"/>
      <c r="W142" s="77" t="n"/>
      <c r="X142" s="77" t="n"/>
      <c r="Y142" s="77" t="n"/>
      <c r="Z142" s="77" t="n"/>
      <c r="AA142" s="77" t="n"/>
      <c r="AB142" s="77" t="n"/>
      <c r="AC142" s="77" t="n"/>
      <c r="AD142" s="77" t="n"/>
      <c r="AE142" s="77" t="n"/>
      <c r="AF142" s="77" t="n"/>
      <c r="AG142" s="77" t="n"/>
      <c r="AH142" s="77" t="n"/>
      <c r="AI142" s="77" t="n"/>
      <c r="AJ142" s="77" t="n"/>
      <c r="AK142" s="77" t="n"/>
      <c r="AL142" s="77" t="n"/>
      <c r="AM142" s="77" t="n"/>
      <c r="AN142" s="77" t="n"/>
      <c r="AO142" s="77" t="n"/>
      <c r="AP142" s="77" t="n"/>
      <c r="AQ142" s="77" t="n"/>
      <c r="AR142" s="77" t="n"/>
      <c r="AS142" s="77" t="n"/>
      <c r="AT142" s="77" t="n"/>
      <c r="AU142" s="77" t="n"/>
      <c r="AV142" s="77" t="n"/>
      <c r="AW142" s="77" t="n"/>
      <c r="AX142" s="77" t="n"/>
      <c r="AY142" s="77" t="n"/>
      <c r="AZ142" s="77" t="n"/>
      <c r="BA142" s="77" t="n"/>
      <c r="BB142" s="77" t="n"/>
      <c r="BC142" s="77" t="n"/>
      <c r="BD142" s="77" t="n"/>
      <c r="BE142" s="77" t="n"/>
      <c r="BF142" s="77" t="n"/>
      <c r="BH142">
        <f>('Data Input'!C78-$A$1)*24</f>
        <v/>
      </c>
      <c r="BI142">
        <f>('Data Input'!D78-$A$1)*24</f>
        <v/>
      </c>
      <c r="BJ142" t="n">
        <v>1</v>
      </c>
      <c r="BO142" t="n">
        <v>-999</v>
      </c>
      <c r="BP142" t="n">
        <v>-999</v>
      </c>
    </row>
    <row r="143" ht="11.5" customHeight="1">
      <c r="A143" s="78" t="n"/>
      <c r="B143" s="78" t="n"/>
      <c r="C143" s="78" t="n"/>
      <c r="D143" s="78" t="n"/>
      <c r="E143" s="78" t="n"/>
      <c r="F143" s="78" t="n"/>
      <c r="G143" s="78" t="n"/>
      <c r="H143" s="78" t="n"/>
      <c r="I143" s="78" t="n"/>
      <c r="J143" s="76" t="inlineStr">
        <is>
          <t>A</t>
        </is>
      </c>
      <c r="K143" s="79" t="n"/>
      <c r="L143" s="79" t="n"/>
      <c r="M143" s="79" t="n"/>
      <c r="N143" s="79" t="n"/>
      <c r="O143" s="79" t="n"/>
      <c r="P143" s="79" t="n"/>
      <c r="Q143" s="79" t="n"/>
      <c r="R143" s="79" t="n"/>
      <c r="S143" s="79" t="n"/>
      <c r="T143" s="79" t="n"/>
      <c r="U143" s="79" t="n"/>
      <c r="V143" s="79" t="n"/>
      <c r="W143" s="79" t="n"/>
      <c r="X143" s="79" t="n"/>
      <c r="Y143" s="79" t="n"/>
      <c r="Z143" s="79" t="n"/>
      <c r="AA143" s="79" t="n"/>
      <c r="AB143" s="79" t="n"/>
      <c r="AC143" s="79" t="n"/>
      <c r="AD143" s="79" t="n"/>
      <c r="AE143" s="79" t="n"/>
      <c r="AF143" s="79" t="n"/>
      <c r="AG143" s="79" t="n"/>
      <c r="AH143" s="79" t="n"/>
      <c r="AI143" s="79" t="n"/>
      <c r="AJ143" s="79" t="n"/>
      <c r="AK143" s="79" t="n"/>
      <c r="AL143" s="79" t="n"/>
      <c r="AM143" s="79" t="n"/>
      <c r="AN143" s="79" t="n"/>
      <c r="AO143" s="79" t="n"/>
      <c r="AP143" s="79" t="n"/>
      <c r="AQ143" s="79" t="n"/>
      <c r="AR143" s="79" t="n"/>
      <c r="AS143" s="79" t="n"/>
      <c r="AT143" s="79" t="n"/>
      <c r="AU143" s="79" t="n"/>
      <c r="AV143" s="79" t="n"/>
      <c r="AW143" s="79" t="n"/>
      <c r="AX143" s="79" t="n"/>
      <c r="AY143" s="79" t="n"/>
      <c r="AZ143" s="79" t="n"/>
      <c r="BA143" s="79" t="n"/>
      <c r="BB143" s="79" t="n"/>
      <c r="BC143" s="79" t="n"/>
      <c r="BD143" s="79" t="n"/>
      <c r="BE143" s="79" t="n"/>
      <c r="BF143" s="79" t="n"/>
      <c r="BH143">
        <f>IF($BK143="",-999,($BK143-$A$1)*24)</f>
        <v/>
      </c>
      <c r="BI143">
        <f>IF($BK143="",-999,(IF($BL143&lt;&gt;"",$BL143,IF($C$1&gt;$BK143,$C$1,$BK143+MAX('Data Input'!E78*$BM143,0.5)/24))-$A$1)*24)</f>
        <v/>
      </c>
      <c r="BJ143">
        <f>IF($BK143="",0,IF($BM143&gt;=1,IF($BN143&lt;=0,2,3),IF($BN143&lt;=0,4,5)))</f>
        <v/>
      </c>
      <c r="BK143">
        <f>IF('Data Input'!Q78="","",'Data Input'!Q78)</f>
        <v/>
      </c>
      <c r="BL143">
        <f>IF('Data Input'!R78="","",'Data Input'!R78)</f>
        <v/>
      </c>
      <c r="BM143">
        <f>'Data Input'!S78</f>
        <v/>
      </c>
      <c r="BN143">
        <f>'Data Input'!Y78</f>
        <v/>
      </c>
      <c r="BO143">
        <f>IF($BM143&gt;=1,-999,MAX(($C$1-$A$1)*24,IF($BK143&lt;&gt;"",$BI143,$BP143-'Data Input'!E78)))</f>
        <v/>
      </c>
      <c r="BP143">
        <f>('Data Input'!D78+'Data Input'!Y78/24-$A$1)*24</f>
        <v/>
      </c>
    </row>
    <row r="144" ht="11.5" customHeight="1">
      <c r="A144" s="68">
        <f>'Data Input'!A79</f>
        <v/>
      </c>
      <c r="B144" s="69">
        <f>'Data Input'!B79</f>
        <v/>
      </c>
      <c r="C144" s="70">
        <f>'Data Input'!O79</f>
        <v/>
      </c>
      <c r="D144" s="71">
        <f>'Data Input'!D79</f>
        <v/>
      </c>
      <c r="E144" s="72">
        <f>'Data Input'!D79+'Data Input'!Y79/24</f>
        <v/>
      </c>
      <c r="F144" s="73">
        <f>'Data Input'!Y79</f>
        <v/>
      </c>
      <c r="G144" s="74">
        <f>'Data Input'!T79</f>
        <v/>
      </c>
      <c r="H144" s="75">
        <f>'Data Input'!S79</f>
        <v/>
      </c>
      <c r="I144" s="57" t="n"/>
      <c r="J144" s="76" t="inlineStr">
        <is>
          <t>P</t>
        </is>
      </c>
      <c r="K144" s="77" t="n"/>
      <c r="L144" s="77" t="n"/>
      <c r="M144" s="77" t="n"/>
      <c r="N144" s="77" t="n"/>
      <c r="O144" s="77" t="n"/>
      <c r="P144" s="77" t="n"/>
      <c r="Q144" s="77" t="n"/>
      <c r="R144" s="77" t="n"/>
      <c r="S144" s="77" t="n"/>
      <c r="T144" s="77" t="n"/>
      <c r="U144" s="77" t="n"/>
      <c r="V144" s="77" t="n"/>
      <c r="W144" s="77" t="n"/>
      <c r="X144" s="77" t="n"/>
      <c r="Y144" s="77" t="n"/>
      <c r="Z144" s="77" t="n"/>
      <c r="AA144" s="77" t="n"/>
      <c r="AB144" s="77" t="n"/>
      <c r="AC144" s="77" t="n"/>
      <c r="AD144" s="77" t="n"/>
      <c r="AE144" s="77" t="n"/>
      <c r="AF144" s="77" t="n"/>
      <c r="AG144" s="77" t="n"/>
      <c r="AH144" s="77" t="n"/>
      <c r="AI144" s="77" t="n"/>
      <c r="AJ144" s="77" t="n"/>
      <c r="AK144" s="77" t="n"/>
      <c r="AL144" s="77" t="n"/>
      <c r="AM144" s="77" t="n"/>
      <c r="AN144" s="77" t="n"/>
      <c r="AO144" s="77" t="n"/>
      <c r="AP144" s="77" t="n"/>
      <c r="AQ144" s="77" t="n"/>
      <c r="AR144" s="77" t="n"/>
      <c r="AS144" s="77" t="n"/>
      <c r="AT144" s="77" t="n"/>
      <c r="AU144" s="77" t="n"/>
      <c r="AV144" s="77" t="n"/>
      <c r="AW144" s="77" t="n"/>
      <c r="AX144" s="77" t="n"/>
      <c r="AY144" s="77" t="n"/>
      <c r="AZ144" s="77" t="n"/>
      <c r="BA144" s="77" t="n"/>
      <c r="BB144" s="77" t="n"/>
      <c r="BC144" s="77" t="n"/>
      <c r="BD144" s="77" t="n"/>
      <c r="BE144" s="77" t="n"/>
      <c r="BF144" s="77" t="n"/>
      <c r="BH144">
        <f>('Data Input'!C79-$A$1)*24</f>
        <v/>
      </c>
      <c r="BI144">
        <f>('Data Input'!D79-$A$1)*24</f>
        <v/>
      </c>
      <c r="BJ144" t="n">
        <v>1</v>
      </c>
      <c r="BO144" t="n">
        <v>-999</v>
      </c>
      <c r="BP144" t="n">
        <v>-999</v>
      </c>
    </row>
    <row r="145" ht="11.5" customHeight="1">
      <c r="A145" s="78" t="n"/>
      <c r="B145" s="78" t="n"/>
      <c r="C145" s="78" t="n"/>
      <c r="D145" s="78" t="n"/>
      <c r="E145" s="78" t="n"/>
      <c r="F145" s="78" t="n"/>
      <c r="G145" s="78" t="n"/>
      <c r="H145" s="78" t="n"/>
      <c r="I145" s="78" t="n"/>
      <c r="J145" s="76" t="inlineStr">
        <is>
          <t>A</t>
        </is>
      </c>
      <c r="K145" s="79" t="n"/>
      <c r="L145" s="79" t="n"/>
      <c r="M145" s="79" t="n"/>
      <c r="N145" s="79" t="n"/>
      <c r="O145" s="79" t="n"/>
      <c r="P145" s="79" t="n"/>
      <c r="Q145" s="79" t="n"/>
      <c r="R145" s="79" t="n"/>
      <c r="S145" s="79" t="n"/>
      <c r="T145" s="79" t="n"/>
      <c r="U145" s="79" t="n"/>
      <c r="V145" s="79" t="n"/>
      <c r="W145" s="79" t="n"/>
      <c r="X145" s="79" t="n"/>
      <c r="Y145" s="79" t="n"/>
      <c r="Z145" s="79" t="n"/>
      <c r="AA145" s="79" t="n"/>
      <c r="AB145" s="79" t="n"/>
      <c r="AC145" s="79" t="n"/>
      <c r="AD145" s="79" t="n"/>
      <c r="AE145" s="79" t="n"/>
      <c r="AF145" s="79" t="n"/>
      <c r="AG145" s="79" t="n"/>
      <c r="AH145" s="79" t="n"/>
      <c r="AI145" s="79" t="n"/>
      <c r="AJ145" s="79" t="n"/>
      <c r="AK145" s="79" t="n"/>
      <c r="AL145" s="79" t="n"/>
      <c r="AM145" s="79" t="n"/>
      <c r="AN145" s="79" t="n"/>
      <c r="AO145" s="79" t="n"/>
      <c r="AP145" s="79" t="n"/>
      <c r="AQ145" s="79" t="n"/>
      <c r="AR145" s="79" t="n"/>
      <c r="AS145" s="79" t="n"/>
      <c r="AT145" s="79" t="n"/>
      <c r="AU145" s="79" t="n"/>
      <c r="AV145" s="79" t="n"/>
      <c r="AW145" s="79" t="n"/>
      <c r="AX145" s="79" t="n"/>
      <c r="AY145" s="79" t="n"/>
      <c r="AZ145" s="79" t="n"/>
      <c r="BA145" s="79" t="n"/>
      <c r="BB145" s="79" t="n"/>
      <c r="BC145" s="79" t="n"/>
      <c r="BD145" s="79" t="n"/>
      <c r="BE145" s="79" t="n"/>
      <c r="BF145" s="79" t="n"/>
      <c r="BH145">
        <f>IF($BK145="",-999,($BK145-$A$1)*24)</f>
        <v/>
      </c>
      <c r="BI145">
        <f>IF($BK145="",-999,(IF($BL145&lt;&gt;"",$BL145,IF($C$1&gt;$BK145,$C$1,$BK145+MAX('Data Input'!E79*$BM145,0.5)/24))-$A$1)*24)</f>
        <v/>
      </c>
      <c r="BJ145">
        <f>IF($BK145="",0,IF($BM145&gt;=1,IF($BN145&lt;=0,2,3),IF($BN145&lt;=0,4,5)))</f>
        <v/>
      </c>
      <c r="BK145">
        <f>IF('Data Input'!Q79="","",'Data Input'!Q79)</f>
        <v/>
      </c>
      <c r="BL145">
        <f>IF('Data Input'!R79="","",'Data Input'!R79)</f>
        <v/>
      </c>
      <c r="BM145">
        <f>'Data Input'!S79</f>
        <v/>
      </c>
      <c r="BN145">
        <f>'Data Input'!Y79</f>
        <v/>
      </c>
      <c r="BO145">
        <f>IF($BM145&gt;=1,-999,MAX(($C$1-$A$1)*24,IF($BK145&lt;&gt;"",$BI145,$BP145-'Data Input'!E79)))</f>
        <v/>
      </c>
      <c r="BP145">
        <f>('Data Input'!D79+'Data Input'!Y79/24-$A$1)*24</f>
        <v/>
      </c>
    </row>
    <row r="146" ht="11.5" customHeight="1">
      <c r="A146" s="68">
        <f>'Data Input'!A80</f>
        <v/>
      </c>
      <c r="B146" s="69">
        <f>'Data Input'!B80</f>
        <v/>
      </c>
      <c r="C146" s="70">
        <f>'Data Input'!O80</f>
        <v/>
      </c>
      <c r="D146" s="71">
        <f>'Data Input'!D80</f>
        <v/>
      </c>
      <c r="E146" s="72">
        <f>'Data Input'!D80+'Data Input'!Y80/24</f>
        <v/>
      </c>
      <c r="F146" s="73">
        <f>'Data Input'!Y80</f>
        <v/>
      </c>
      <c r="G146" s="74">
        <f>'Data Input'!T80</f>
        <v/>
      </c>
      <c r="H146" s="75">
        <f>'Data Input'!S80</f>
        <v/>
      </c>
      <c r="I146" s="57" t="n"/>
      <c r="J146" s="76" t="inlineStr">
        <is>
          <t>P</t>
        </is>
      </c>
      <c r="K146" s="77" t="n"/>
      <c r="L146" s="77" t="n"/>
      <c r="M146" s="77" t="n"/>
      <c r="N146" s="77" t="n"/>
      <c r="O146" s="77" t="n"/>
      <c r="P146" s="77" t="n"/>
      <c r="Q146" s="77" t="n"/>
      <c r="R146" s="77" t="n"/>
      <c r="S146" s="77" t="n"/>
      <c r="T146" s="77" t="n"/>
      <c r="U146" s="77" t="n"/>
      <c r="V146" s="77" t="n"/>
      <c r="W146" s="77" t="n"/>
      <c r="X146" s="77" t="n"/>
      <c r="Y146" s="77" t="n"/>
      <c r="Z146" s="77" t="n"/>
      <c r="AA146" s="77" t="n"/>
      <c r="AB146" s="77" t="n"/>
      <c r="AC146" s="77" t="n"/>
      <c r="AD146" s="77" t="n"/>
      <c r="AE146" s="77" t="n"/>
      <c r="AF146" s="77" t="n"/>
      <c r="AG146" s="77" t="n"/>
      <c r="AH146" s="77" t="n"/>
      <c r="AI146" s="77" t="n"/>
      <c r="AJ146" s="77" t="n"/>
      <c r="AK146" s="77" t="n"/>
      <c r="AL146" s="77" t="n"/>
      <c r="AM146" s="77" t="n"/>
      <c r="AN146" s="77" t="n"/>
      <c r="AO146" s="77" t="n"/>
      <c r="AP146" s="77" t="n"/>
      <c r="AQ146" s="77" t="n"/>
      <c r="AR146" s="77" t="n"/>
      <c r="AS146" s="77" t="n"/>
      <c r="AT146" s="77" t="n"/>
      <c r="AU146" s="77" t="n"/>
      <c r="AV146" s="77" t="n"/>
      <c r="AW146" s="77" t="n"/>
      <c r="AX146" s="77" t="n"/>
      <c r="AY146" s="77" t="n"/>
      <c r="AZ146" s="77" t="n"/>
      <c r="BA146" s="77" t="n"/>
      <c r="BB146" s="77" t="n"/>
      <c r="BC146" s="77" t="n"/>
      <c r="BD146" s="77" t="n"/>
      <c r="BE146" s="77" t="n"/>
      <c r="BF146" s="77" t="n"/>
      <c r="BH146">
        <f>('Data Input'!C80-$A$1)*24</f>
        <v/>
      </c>
      <c r="BI146">
        <f>('Data Input'!D80-$A$1)*24</f>
        <v/>
      </c>
      <c r="BJ146" t="n">
        <v>1</v>
      </c>
      <c r="BO146" t="n">
        <v>-999</v>
      </c>
      <c r="BP146" t="n">
        <v>-999</v>
      </c>
    </row>
    <row r="147" ht="11.5" customHeight="1">
      <c r="A147" s="78" t="n"/>
      <c r="B147" s="78" t="n"/>
      <c r="C147" s="78" t="n"/>
      <c r="D147" s="78" t="n"/>
      <c r="E147" s="78" t="n"/>
      <c r="F147" s="78" t="n"/>
      <c r="G147" s="78" t="n"/>
      <c r="H147" s="78" t="n"/>
      <c r="I147" s="78" t="n"/>
      <c r="J147" s="76" t="inlineStr">
        <is>
          <t>A</t>
        </is>
      </c>
      <c r="K147" s="79" t="n"/>
      <c r="L147" s="79" t="n"/>
      <c r="M147" s="79" t="n"/>
      <c r="N147" s="79" t="n"/>
      <c r="O147" s="79" t="n"/>
      <c r="P147" s="79" t="n"/>
      <c r="Q147" s="79" t="n"/>
      <c r="R147" s="79" t="n"/>
      <c r="S147" s="79" t="n"/>
      <c r="T147" s="79" t="n"/>
      <c r="U147" s="79" t="n"/>
      <c r="V147" s="79" t="n"/>
      <c r="W147" s="79" t="n"/>
      <c r="X147" s="79" t="n"/>
      <c r="Y147" s="79" t="n"/>
      <c r="Z147" s="79" t="n"/>
      <c r="AA147" s="79" t="n"/>
      <c r="AB147" s="79" t="n"/>
      <c r="AC147" s="79" t="n"/>
      <c r="AD147" s="79" t="n"/>
      <c r="AE147" s="79" t="n"/>
      <c r="AF147" s="79" t="n"/>
      <c r="AG147" s="79" t="n"/>
      <c r="AH147" s="79" t="n"/>
      <c r="AI147" s="79" t="n"/>
      <c r="AJ147" s="79" t="n"/>
      <c r="AK147" s="79" t="n"/>
      <c r="AL147" s="79" t="n"/>
      <c r="AM147" s="79" t="n"/>
      <c r="AN147" s="79" t="n"/>
      <c r="AO147" s="79" t="n"/>
      <c r="AP147" s="79" t="n"/>
      <c r="AQ147" s="79" t="n"/>
      <c r="AR147" s="79" t="n"/>
      <c r="AS147" s="79" t="n"/>
      <c r="AT147" s="79" t="n"/>
      <c r="AU147" s="79" t="n"/>
      <c r="AV147" s="79" t="n"/>
      <c r="AW147" s="79" t="n"/>
      <c r="AX147" s="79" t="n"/>
      <c r="AY147" s="79" t="n"/>
      <c r="AZ147" s="79" t="n"/>
      <c r="BA147" s="79" t="n"/>
      <c r="BB147" s="79" t="n"/>
      <c r="BC147" s="79" t="n"/>
      <c r="BD147" s="79" t="n"/>
      <c r="BE147" s="79" t="n"/>
      <c r="BF147" s="79" t="n"/>
      <c r="BH147">
        <f>IF($BK147="",-999,($BK147-$A$1)*24)</f>
        <v/>
      </c>
      <c r="BI147">
        <f>IF($BK147="",-999,(IF($BL147&lt;&gt;"",$BL147,IF($C$1&gt;$BK147,$C$1,$BK147+MAX('Data Input'!E80*$BM147,0.5)/24))-$A$1)*24)</f>
        <v/>
      </c>
      <c r="BJ147">
        <f>IF($BK147="",0,IF($BM147&gt;=1,IF($BN147&lt;=0,2,3),IF($BN147&lt;=0,4,5)))</f>
        <v/>
      </c>
      <c r="BK147">
        <f>IF('Data Input'!Q80="","",'Data Input'!Q80)</f>
        <v/>
      </c>
      <c r="BL147">
        <f>IF('Data Input'!R80="","",'Data Input'!R80)</f>
        <v/>
      </c>
      <c r="BM147">
        <f>'Data Input'!S80</f>
        <v/>
      </c>
      <c r="BN147">
        <f>'Data Input'!Y80</f>
        <v/>
      </c>
      <c r="BO147">
        <f>IF($BM147&gt;=1,-999,MAX(($C$1-$A$1)*24,IF($BK147&lt;&gt;"",$BI147,$BP147-'Data Input'!E80)))</f>
        <v/>
      </c>
      <c r="BP147">
        <f>('Data Input'!D80+'Data Input'!Y80/24-$A$1)*24</f>
        <v/>
      </c>
    </row>
    <row r="148" ht="11.5" customHeight="1">
      <c r="A148" s="68">
        <f>'Data Input'!A81</f>
        <v/>
      </c>
      <c r="B148" s="69">
        <f>'Data Input'!B81</f>
        <v/>
      </c>
      <c r="C148" s="70">
        <f>'Data Input'!O81</f>
        <v/>
      </c>
      <c r="D148" s="71">
        <f>'Data Input'!D81</f>
        <v/>
      </c>
      <c r="E148" s="72">
        <f>'Data Input'!D81+'Data Input'!Y81/24</f>
        <v/>
      </c>
      <c r="F148" s="73">
        <f>'Data Input'!Y81</f>
        <v/>
      </c>
      <c r="G148" s="74">
        <f>'Data Input'!T81</f>
        <v/>
      </c>
      <c r="H148" s="75">
        <f>'Data Input'!S81</f>
        <v/>
      </c>
      <c r="I148" s="57" t="n"/>
      <c r="J148" s="76" t="inlineStr">
        <is>
          <t>P</t>
        </is>
      </c>
      <c r="K148" s="77" t="n"/>
      <c r="L148" s="77" t="n"/>
      <c r="M148" s="77" t="n"/>
      <c r="N148" s="77" t="n"/>
      <c r="O148" s="77" t="n"/>
      <c r="P148" s="77" t="n"/>
      <c r="Q148" s="77" t="n"/>
      <c r="R148" s="77" t="n"/>
      <c r="S148" s="77" t="n"/>
      <c r="T148" s="77" t="n"/>
      <c r="U148" s="77" t="n"/>
      <c r="V148" s="77" t="n"/>
      <c r="W148" s="77" t="n"/>
      <c r="X148" s="77" t="n"/>
      <c r="Y148" s="77" t="n"/>
      <c r="Z148" s="77" t="n"/>
      <c r="AA148" s="77" t="n"/>
      <c r="AB148" s="77" t="n"/>
      <c r="AC148" s="77" t="n"/>
      <c r="AD148" s="77" t="n"/>
      <c r="AE148" s="77" t="n"/>
      <c r="AF148" s="77" t="n"/>
      <c r="AG148" s="77" t="n"/>
      <c r="AH148" s="77" t="n"/>
      <c r="AI148" s="77" t="n"/>
      <c r="AJ148" s="77" t="n"/>
      <c r="AK148" s="77" t="n"/>
      <c r="AL148" s="77" t="n"/>
      <c r="AM148" s="77" t="n"/>
      <c r="AN148" s="77" t="n"/>
      <c r="AO148" s="77" t="n"/>
      <c r="AP148" s="77" t="n"/>
      <c r="AQ148" s="77" t="n"/>
      <c r="AR148" s="77" t="n"/>
      <c r="AS148" s="77" t="n"/>
      <c r="AT148" s="77" t="n"/>
      <c r="AU148" s="77" t="n"/>
      <c r="AV148" s="77" t="n"/>
      <c r="AW148" s="77" t="n"/>
      <c r="AX148" s="77" t="n"/>
      <c r="AY148" s="77" t="n"/>
      <c r="AZ148" s="77" t="n"/>
      <c r="BA148" s="77" t="n"/>
      <c r="BB148" s="77" t="n"/>
      <c r="BC148" s="77" t="n"/>
      <c r="BD148" s="77" t="n"/>
      <c r="BE148" s="77" t="n"/>
      <c r="BF148" s="77" t="n"/>
      <c r="BH148">
        <f>('Data Input'!C81-$A$1)*24</f>
        <v/>
      </c>
      <c r="BI148">
        <f>('Data Input'!D81-$A$1)*24</f>
        <v/>
      </c>
      <c r="BJ148" t="n">
        <v>1</v>
      </c>
      <c r="BO148" t="n">
        <v>-999</v>
      </c>
      <c r="BP148" t="n">
        <v>-999</v>
      </c>
    </row>
    <row r="149" ht="11.5" customHeight="1">
      <c r="A149" s="78" t="n"/>
      <c r="B149" s="78" t="n"/>
      <c r="C149" s="78" t="n"/>
      <c r="D149" s="78" t="n"/>
      <c r="E149" s="78" t="n"/>
      <c r="F149" s="78" t="n"/>
      <c r="G149" s="78" t="n"/>
      <c r="H149" s="78" t="n"/>
      <c r="I149" s="78" t="n"/>
      <c r="J149" s="76" t="inlineStr">
        <is>
          <t>A</t>
        </is>
      </c>
      <c r="K149" s="79" t="n"/>
      <c r="L149" s="79" t="n"/>
      <c r="M149" s="79" t="n"/>
      <c r="N149" s="79" t="n"/>
      <c r="O149" s="79" t="n"/>
      <c r="P149" s="79" t="n"/>
      <c r="Q149" s="79" t="n"/>
      <c r="R149" s="79" t="n"/>
      <c r="S149" s="79" t="n"/>
      <c r="T149" s="79" t="n"/>
      <c r="U149" s="79" t="n"/>
      <c r="V149" s="79" t="n"/>
      <c r="W149" s="79" t="n"/>
      <c r="X149" s="79" t="n"/>
      <c r="Y149" s="79" t="n"/>
      <c r="Z149" s="79" t="n"/>
      <c r="AA149" s="79" t="n"/>
      <c r="AB149" s="79" t="n"/>
      <c r="AC149" s="79" t="n"/>
      <c r="AD149" s="79" t="n"/>
      <c r="AE149" s="79" t="n"/>
      <c r="AF149" s="79" t="n"/>
      <c r="AG149" s="79" t="n"/>
      <c r="AH149" s="79" t="n"/>
      <c r="AI149" s="79" t="n"/>
      <c r="AJ149" s="79" t="n"/>
      <c r="AK149" s="79" t="n"/>
      <c r="AL149" s="79" t="n"/>
      <c r="AM149" s="79" t="n"/>
      <c r="AN149" s="79" t="n"/>
      <c r="AO149" s="79" t="n"/>
      <c r="AP149" s="79" t="n"/>
      <c r="AQ149" s="79" t="n"/>
      <c r="AR149" s="79" t="n"/>
      <c r="AS149" s="79" t="n"/>
      <c r="AT149" s="79" t="n"/>
      <c r="AU149" s="79" t="n"/>
      <c r="AV149" s="79" t="n"/>
      <c r="AW149" s="79" t="n"/>
      <c r="AX149" s="79" t="n"/>
      <c r="AY149" s="79" t="n"/>
      <c r="AZ149" s="79" t="n"/>
      <c r="BA149" s="79" t="n"/>
      <c r="BB149" s="79" t="n"/>
      <c r="BC149" s="79" t="n"/>
      <c r="BD149" s="79" t="n"/>
      <c r="BE149" s="79" t="n"/>
      <c r="BF149" s="79" t="n"/>
      <c r="BH149">
        <f>IF($BK149="",-999,($BK149-$A$1)*24)</f>
        <v/>
      </c>
      <c r="BI149">
        <f>IF($BK149="",-999,(IF($BL149&lt;&gt;"",$BL149,IF($C$1&gt;$BK149,$C$1,$BK149+MAX('Data Input'!E81*$BM149,0.5)/24))-$A$1)*24)</f>
        <v/>
      </c>
      <c r="BJ149">
        <f>IF($BK149="",0,IF($BM149&gt;=1,IF($BN149&lt;=0,2,3),IF($BN149&lt;=0,4,5)))</f>
        <v/>
      </c>
      <c r="BK149">
        <f>IF('Data Input'!Q81="","",'Data Input'!Q81)</f>
        <v/>
      </c>
      <c r="BL149">
        <f>IF('Data Input'!R81="","",'Data Input'!R81)</f>
        <v/>
      </c>
      <c r="BM149">
        <f>'Data Input'!S81</f>
        <v/>
      </c>
      <c r="BN149">
        <f>'Data Input'!Y81</f>
        <v/>
      </c>
      <c r="BO149">
        <f>IF($BM149&gt;=1,-999,MAX(($C$1-$A$1)*24,IF($BK149&lt;&gt;"",$BI149,$BP149-'Data Input'!E81)))</f>
        <v/>
      </c>
      <c r="BP149">
        <f>('Data Input'!D81+'Data Input'!Y81/24-$A$1)*24</f>
        <v/>
      </c>
    </row>
    <row r="150" ht="11.5" customHeight="1">
      <c r="A150" s="68">
        <f>'Data Input'!A82</f>
        <v/>
      </c>
      <c r="B150" s="69">
        <f>'Data Input'!B82</f>
        <v/>
      </c>
      <c r="C150" s="70">
        <f>'Data Input'!O82</f>
        <v/>
      </c>
      <c r="D150" s="71">
        <f>'Data Input'!D82</f>
        <v/>
      </c>
      <c r="E150" s="72">
        <f>'Data Input'!D82+'Data Input'!Y82/24</f>
        <v/>
      </c>
      <c r="F150" s="73">
        <f>'Data Input'!Y82</f>
        <v/>
      </c>
      <c r="G150" s="74">
        <f>'Data Input'!T82</f>
        <v/>
      </c>
      <c r="H150" s="75">
        <f>'Data Input'!S82</f>
        <v/>
      </c>
      <c r="I150" s="57" t="n"/>
      <c r="J150" s="76" t="inlineStr">
        <is>
          <t>P</t>
        </is>
      </c>
      <c r="K150" s="77" t="n"/>
      <c r="L150" s="77" t="n"/>
      <c r="M150" s="77" t="n"/>
      <c r="N150" s="77" t="n"/>
      <c r="O150" s="77" t="n"/>
      <c r="P150" s="77" t="n"/>
      <c r="Q150" s="77" t="n"/>
      <c r="R150" s="77" t="n"/>
      <c r="S150" s="77" t="n"/>
      <c r="T150" s="77" t="n"/>
      <c r="U150" s="77" t="n"/>
      <c r="V150" s="77" t="n"/>
      <c r="W150" s="77" t="n"/>
      <c r="X150" s="77" t="n"/>
      <c r="Y150" s="77" t="n"/>
      <c r="Z150" s="77" t="n"/>
      <c r="AA150" s="77" t="n"/>
      <c r="AB150" s="77" t="n"/>
      <c r="AC150" s="77" t="n"/>
      <c r="AD150" s="77" t="n"/>
      <c r="AE150" s="77" t="n"/>
      <c r="AF150" s="77" t="n"/>
      <c r="AG150" s="77" t="n"/>
      <c r="AH150" s="77" t="n"/>
      <c r="AI150" s="77" t="n"/>
      <c r="AJ150" s="77" t="n"/>
      <c r="AK150" s="77" t="n"/>
      <c r="AL150" s="77" t="n"/>
      <c r="AM150" s="77" t="n"/>
      <c r="AN150" s="77" t="n"/>
      <c r="AO150" s="77" t="n"/>
      <c r="AP150" s="77" t="n"/>
      <c r="AQ150" s="77" t="n"/>
      <c r="AR150" s="77" t="n"/>
      <c r="AS150" s="77" t="n"/>
      <c r="AT150" s="77" t="n"/>
      <c r="AU150" s="77" t="n"/>
      <c r="AV150" s="77" t="n"/>
      <c r="AW150" s="77" t="n"/>
      <c r="AX150" s="77" t="n"/>
      <c r="AY150" s="77" t="n"/>
      <c r="AZ150" s="77" t="n"/>
      <c r="BA150" s="77" t="n"/>
      <c r="BB150" s="77" t="n"/>
      <c r="BC150" s="77" t="n"/>
      <c r="BD150" s="77" t="n"/>
      <c r="BE150" s="77" t="n"/>
      <c r="BF150" s="77" t="n"/>
      <c r="BH150">
        <f>('Data Input'!C82-$A$1)*24</f>
        <v/>
      </c>
      <c r="BI150">
        <f>('Data Input'!D82-$A$1)*24</f>
        <v/>
      </c>
      <c r="BJ150" t="n">
        <v>1</v>
      </c>
      <c r="BO150" t="n">
        <v>-999</v>
      </c>
      <c r="BP150" t="n">
        <v>-999</v>
      </c>
    </row>
    <row r="151" ht="11.5" customHeight="1">
      <c r="A151" s="78" t="n"/>
      <c r="B151" s="78" t="n"/>
      <c r="C151" s="78" t="n"/>
      <c r="D151" s="78" t="n"/>
      <c r="E151" s="78" t="n"/>
      <c r="F151" s="78" t="n"/>
      <c r="G151" s="78" t="n"/>
      <c r="H151" s="78" t="n"/>
      <c r="I151" s="78" t="n"/>
      <c r="J151" s="76" t="inlineStr">
        <is>
          <t>A</t>
        </is>
      </c>
      <c r="K151" s="79" t="n"/>
      <c r="L151" s="79" t="n"/>
      <c r="M151" s="79" t="n"/>
      <c r="N151" s="79" t="n"/>
      <c r="O151" s="79" t="n"/>
      <c r="P151" s="79" t="n"/>
      <c r="Q151" s="79" t="n"/>
      <c r="R151" s="79" t="n"/>
      <c r="S151" s="79" t="n"/>
      <c r="T151" s="79" t="n"/>
      <c r="U151" s="79" t="n"/>
      <c r="V151" s="79" t="n"/>
      <c r="W151" s="79" t="n"/>
      <c r="X151" s="79" t="n"/>
      <c r="Y151" s="79" t="n"/>
      <c r="Z151" s="79" t="n"/>
      <c r="AA151" s="79" t="n"/>
      <c r="AB151" s="79" t="n"/>
      <c r="AC151" s="79" t="n"/>
      <c r="AD151" s="79" t="n"/>
      <c r="AE151" s="79" t="n"/>
      <c r="AF151" s="79" t="n"/>
      <c r="AG151" s="79" t="n"/>
      <c r="AH151" s="79" t="n"/>
      <c r="AI151" s="79" t="n"/>
      <c r="AJ151" s="79" t="n"/>
      <c r="AK151" s="79" t="n"/>
      <c r="AL151" s="79" t="n"/>
      <c r="AM151" s="79" t="n"/>
      <c r="AN151" s="79" t="n"/>
      <c r="AO151" s="79" t="n"/>
      <c r="AP151" s="79" t="n"/>
      <c r="AQ151" s="79" t="n"/>
      <c r="AR151" s="79" t="n"/>
      <c r="AS151" s="79" t="n"/>
      <c r="AT151" s="79" t="n"/>
      <c r="AU151" s="79" t="n"/>
      <c r="AV151" s="79" t="n"/>
      <c r="AW151" s="79" t="n"/>
      <c r="AX151" s="79" t="n"/>
      <c r="AY151" s="79" t="n"/>
      <c r="AZ151" s="79" t="n"/>
      <c r="BA151" s="79" t="n"/>
      <c r="BB151" s="79" t="n"/>
      <c r="BC151" s="79" t="n"/>
      <c r="BD151" s="79" t="n"/>
      <c r="BE151" s="79" t="n"/>
      <c r="BF151" s="79" t="n"/>
      <c r="BH151">
        <f>IF($BK151="",-999,($BK151-$A$1)*24)</f>
        <v/>
      </c>
      <c r="BI151">
        <f>IF($BK151="",-999,(IF($BL151&lt;&gt;"",$BL151,IF($C$1&gt;$BK151,$C$1,$BK151+MAX('Data Input'!E82*$BM151,0.5)/24))-$A$1)*24)</f>
        <v/>
      </c>
      <c r="BJ151">
        <f>IF($BK151="",0,IF($BM151&gt;=1,IF($BN151&lt;=0,2,3),IF($BN151&lt;=0,4,5)))</f>
        <v/>
      </c>
      <c r="BK151">
        <f>IF('Data Input'!Q82="","",'Data Input'!Q82)</f>
        <v/>
      </c>
      <c r="BL151">
        <f>IF('Data Input'!R82="","",'Data Input'!R82)</f>
        <v/>
      </c>
      <c r="BM151">
        <f>'Data Input'!S82</f>
        <v/>
      </c>
      <c r="BN151">
        <f>'Data Input'!Y82</f>
        <v/>
      </c>
      <c r="BO151">
        <f>IF($BM151&gt;=1,-999,MAX(($C$1-$A$1)*24,IF($BK151&lt;&gt;"",$BI151,$BP151-'Data Input'!E82)))</f>
        <v/>
      </c>
      <c r="BP151">
        <f>('Data Input'!D82+'Data Input'!Y82/24-$A$1)*24</f>
        <v/>
      </c>
    </row>
    <row r="152" ht="21" customHeight="1">
      <c r="A152" s="80">
        <f>"  TOTAL  -  "&amp;'Data Input'!$B$16</f>
        <v/>
      </c>
      <c r="B152" s="103" t="n"/>
      <c r="C152" s="81">
        <f>C14</f>
        <v/>
      </c>
      <c r="D152" s="82">
        <f>D14</f>
        <v/>
      </c>
      <c r="E152" s="82">
        <f>E14</f>
        <v/>
      </c>
      <c r="F152" s="83">
        <f>F14</f>
        <v/>
      </c>
      <c r="G152" s="84">
        <f>G14</f>
        <v/>
      </c>
      <c r="H152" s="85">
        <f>H14</f>
        <v/>
      </c>
      <c r="I152" s="86">
        <f>I14</f>
        <v/>
      </c>
      <c r="J152" s="38" t="n"/>
      <c r="K152" s="87">
        <f>"TOTAL  "&amp;TEXT(SUM('Data Input'!E57:E82),"0.0")&amp;" activity hours          Possession elapsed  "&amp;TEXT(MEDIAN(0,($C$1-$A$1)*24,($B$1-$A$1)*24),"0.0")&amp;"  of  "&amp;TEXT(($B$1-$A$1)*24,"0.0")&amp;" h          Report cut-off  "&amp;TEXT($C$1,"ddd dd-mmm hh:mm")</f>
        <v/>
      </c>
      <c r="L152" s="102" t="n"/>
      <c r="M152" s="102" t="n"/>
      <c r="N152" s="102" t="n"/>
      <c r="O152" s="102" t="n"/>
      <c r="P152" s="102" t="n"/>
      <c r="Q152" s="102" t="n"/>
      <c r="R152" s="102" t="n"/>
      <c r="S152" s="102" t="n"/>
      <c r="T152" s="102" t="n"/>
      <c r="U152" s="102" t="n"/>
      <c r="V152" s="102" t="n"/>
      <c r="W152" s="102" t="n"/>
      <c r="X152" s="102" t="n"/>
      <c r="Y152" s="102" t="n"/>
      <c r="Z152" s="102" t="n"/>
      <c r="AA152" s="102" t="n"/>
      <c r="AB152" s="102" t="n"/>
      <c r="AC152" s="102" t="n"/>
      <c r="AD152" s="102" t="n"/>
      <c r="AE152" s="102" t="n"/>
      <c r="AF152" s="102" t="n"/>
      <c r="AG152" s="102" t="n"/>
      <c r="AH152" s="102" t="n"/>
      <c r="AI152" s="102" t="n"/>
      <c r="AJ152" s="102" t="n"/>
      <c r="AK152" s="102" t="n"/>
      <c r="AL152" s="102" t="n"/>
      <c r="AM152" s="102" t="n"/>
      <c r="AN152" s="102" t="n"/>
      <c r="AO152" s="102" t="n"/>
      <c r="AP152" s="102" t="n"/>
      <c r="AQ152" s="102" t="n"/>
      <c r="AR152" s="102" t="n"/>
      <c r="AS152" s="102" t="n"/>
      <c r="AT152" s="102" t="n"/>
      <c r="AU152" s="102" t="n"/>
      <c r="AV152" s="102" t="n"/>
      <c r="AW152" s="102" t="n"/>
      <c r="AX152" s="102" t="n"/>
      <c r="AY152" s="102" t="n"/>
      <c r="AZ152" s="102" t="n"/>
      <c r="BA152" s="102" t="n"/>
      <c r="BB152" s="102" t="n"/>
      <c r="BC152" s="102" t="n"/>
      <c r="BD152" s="102" t="n"/>
      <c r="BE152" s="102" t="n"/>
      <c r="BF152" s="103" t="n"/>
    </row>
    <row r="153" ht="16" customHeight="1">
      <c r="A153" s="88" t="n"/>
      <c r="B153" s="89" t="inlineStr">
        <is>
          <t>Planned (baseline)</t>
        </is>
      </c>
      <c r="D153" s="90" t="inlineStr">
        <is>
          <t>Black line = report cut-off</t>
        </is>
      </c>
      <c r="G153" s="90" t="inlineStr">
        <is>
          <t>Time Variance = Forecast vs Planned Finish</t>
        </is>
      </c>
      <c r="O153" s="91" t="n"/>
      <c r="P153" s="89" t="inlineStr">
        <is>
          <t>Done on time</t>
        </is>
      </c>
      <c r="X153" s="92" t="n"/>
      <c r="Y153" s="89" t="inlineStr">
        <is>
          <t>Done late</t>
        </is>
      </c>
      <c r="AG153" s="93" t="n"/>
      <c r="AH153" s="89" t="inlineStr">
        <is>
          <t>In progress</t>
        </is>
      </c>
      <c r="AP153" s="94" t="n"/>
      <c r="AQ153" s="89" t="inlineStr">
        <is>
          <t>Behind</t>
        </is>
      </c>
      <c r="AY153" s="95" t="n"/>
      <c r="AZ153" s="89" t="inlineStr">
        <is>
          <t>Forecast</t>
        </is>
      </c>
    </row>
    <row r="155" ht="26" customHeight="1">
      <c r="A155" s="63" t="inlineStr">
        <is>
          <t xml:space="preserve">   EWR CULVERTS REPLACEMENT PHASE 2    -    CULVERT C267    -    KM 212+400    -    3 CELLS    -    TSO OTMP / Station 29</t>
        </is>
      </c>
    </row>
    <row r="156" ht="22" customHeight="1">
      <c r="A156" s="64">
        <f>"   3 cells        ACTUAL  "&amp;TEXT(H15,"0%")&amp;"        PLANNED  "&amp;TEXT(G15,"0%")&amp;"        PLAN FINISH  "&amp;TEXT(D15,"ddd dd-mmm hh:mm")</f>
        <v/>
      </c>
      <c r="K156" s="65">
        <f>C15&amp;"        FORECAST  "&amp;TEXT(E15,"ddd dd-mmm hh:mm")&amp;"        "&amp;TEXT(ABS(F15),"0.0")&amp;IF(F15&gt;0," h LATE",IF(F15&lt;0," h EARLY"," h"))</f>
        <v/>
      </c>
    </row>
    <row r="157" ht="28" customHeight="1">
      <c r="A157" s="22" t="inlineStr">
        <is>
          <t>No</t>
        </is>
      </c>
      <c r="B157" s="22" t="inlineStr">
        <is>
          <t>Activity</t>
        </is>
      </c>
      <c r="C157" s="22" t="inlineStr">
        <is>
          <t>Status</t>
        </is>
      </c>
      <c r="D157" s="22" t="inlineStr">
        <is>
          <t>Planned
Finish</t>
        </is>
      </c>
      <c r="E157" s="22" t="inlineStr">
        <is>
          <t>Forecast
Finish</t>
        </is>
      </c>
      <c r="F157" s="22" t="inlineStr">
        <is>
          <t>Time
Variance</t>
        </is>
      </c>
      <c r="G157" s="22" t="inlineStr">
        <is>
          <t>Plan
%</t>
        </is>
      </c>
      <c r="H157" s="22" t="inlineStr">
        <is>
          <t>Act.
%</t>
        </is>
      </c>
      <c r="I157" s="22" t="inlineStr">
        <is>
          <t>Buffer to
Hand-back</t>
        </is>
      </c>
      <c r="K157" s="120">
        <f>UPPER(TEXT($A$1+($D$1+0*$E$1)/24,"ddd  dd-mmm  hh:mm")&amp;"  to  "&amp;TEXT($A$1+($D$1+24*$E$1)/24,"ddd  dd-mmm  hh:mm"))</f>
        <v/>
      </c>
      <c r="AH157" s="114" t="n"/>
      <c r="AI157" s="120">
        <f>UPPER(TEXT($A$1+($D$1+24*$E$1)/24,"ddd  dd-mmm  hh:mm")&amp;"  to  "&amp;TEXT($A$1+($D$1+48*$E$1)/24,"ddd  dd-mmm  hh:mm"))</f>
        <v/>
      </c>
      <c r="BF157" s="114" t="n"/>
    </row>
    <row r="158" ht="15.75" customHeight="1">
      <c r="K158" s="121">
        <f>TEXT($A$1+($D$1+0*$E$1)/24,"hh:mm")&amp;" - "&amp;TEXT($A$1+($D$1+6*$E$1)/24,"hh:mm")</f>
        <v/>
      </c>
      <c r="P158" s="115" t="n"/>
      <c r="Q158" s="121">
        <f>TEXT($A$1+($D$1+6*$E$1)/24,"hh:mm")&amp;" - "&amp;TEXT($A$1+($D$1+12*$E$1)/24,"hh:mm")</f>
        <v/>
      </c>
      <c r="V158" s="115" t="n"/>
      <c r="W158" s="121">
        <f>TEXT($A$1+($D$1+12*$E$1)/24,"hh:mm")&amp;" - "&amp;TEXT($A$1+($D$1+18*$E$1)/24,"hh:mm")</f>
        <v/>
      </c>
      <c r="AB158" s="115" t="n"/>
      <c r="AC158" s="121">
        <f>TEXT($A$1+($D$1+18*$E$1)/24,"hh:mm")&amp;" - "&amp;TEXT($A$1+($D$1+24*$E$1)/24,"hh:mm")</f>
        <v/>
      </c>
      <c r="AH158" s="115" t="n"/>
      <c r="AI158" s="121">
        <f>TEXT($A$1+($D$1+24*$E$1)/24,"hh:mm")&amp;" - "&amp;TEXT($A$1+($D$1+30*$E$1)/24,"hh:mm")</f>
        <v/>
      </c>
      <c r="AN158" s="115" t="n"/>
      <c r="AO158" s="121">
        <f>TEXT($A$1+($D$1+30*$E$1)/24,"hh:mm")&amp;" - "&amp;TEXT($A$1+($D$1+36*$E$1)/24,"hh:mm")</f>
        <v/>
      </c>
      <c r="AT158" s="115" t="n"/>
      <c r="AU158" s="121">
        <f>TEXT($A$1+($D$1+36*$E$1)/24,"hh:mm")&amp;" - "&amp;TEXT($A$1+($D$1+42*$E$1)/24,"hh:mm")</f>
        <v/>
      </c>
      <c r="AZ158" s="115" t="n"/>
      <c r="BA158" s="121">
        <f>TEXT($A$1+($D$1+42*$E$1)/24,"hh:mm")&amp;" - "&amp;TEXT($A$1+($D$1+48*$E$1)/24,"hh:mm")</f>
        <v/>
      </c>
      <c r="BF158" s="115" t="n"/>
    </row>
    <row r="159" ht="11.5" customHeight="1">
      <c r="A159" s="68">
        <f>'Data Input'!A87</f>
        <v/>
      </c>
      <c r="B159" s="69">
        <f>'Data Input'!B87</f>
        <v/>
      </c>
      <c r="C159" s="70">
        <f>'Data Input'!O87</f>
        <v/>
      </c>
      <c r="D159" s="71">
        <f>'Data Input'!D87</f>
        <v/>
      </c>
      <c r="E159" s="72">
        <f>'Data Input'!D87+'Data Input'!Y87/24</f>
        <v/>
      </c>
      <c r="F159" s="73">
        <f>'Data Input'!Y87</f>
        <v/>
      </c>
      <c r="G159" s="74">
        <f>'Data Input'!T87</f>
        <v/>
      </c>
      <c r="H159" s="75">
        <f>'Data Input'!S87</f>
        <v/>
      </c>
      <c r="I159" s="57" t="n"/>
      <c r="J159" s="76" t="inlineStr">
        <is>
          <t>P</t>
        </is>
      </c>
      <c r="K159" s="77" t="n"/>
      <c r="L159" s="77" t="n"/>
      <c r="M159" s="77" t="n"/>
      <c r="N159" s="77" t="n"/>
      <c r="O159" s="77" t="n"/>
      <c r="P159" s="77" t="n"/>
      <c r="Q159" s="77" t="n"/>
      <c r="R159" s="77" t="n"/>
      <c r="S159" s="77" t="n"/>
      <c r="T159" s="77" t="n"/>
      <c r="U159" s="77" t="n"/>
      <c r="V159" s="77" t="n"/>
      <c r="W159" s="77" t="n"/>
      <c r="X159" s="77" t="n"/>
      <c r="Y159" s="77" t="n"/>
      <c r="Z159" s="77" t="n"/>
      <c r="AA159" s="77" t="n"/>
      <c r="AB159" s="77" t="n"/>
      <c r="AC159" s="77" t="n"/>
      <c r="AD159" s="77" t="n"/>
      <c r="AE159" s="77" t="n"/>
      <c r="AF159" s="77" t="n"/>
      <c r="AG159" s="77" t="n"/>
      <c r="AH159" s="77" t="n"/>
      <c r="AI159" s="77" t="n"/>
      <c r="AJ159" s="77" t="n"/>
      <c r="AK159" s="77" t="n"/>
      <c r="AL159" s="77" t="n"/>
      <c r="AM159" s="77" t="n"/>
      <c r="AN159" s="77" t="n"/>
      <c r="AO159" s="77" t="n"/>
      <c r="AP159" s="77" t="n"/>
      <c r="AQ159" s="77" t="n"/>
      <c r="AR159" s="77" t="n"/>
      <c r="AS159" s="77" t="n"/>
      <c r="AT159" s="77" t="n"/>
      <c r="AU159" s="77" t="n"/>
      <c r="AV159" s="77" t="n"/>
      <c r="AW159" s="77" t="n"/>
      <c r="AX159" s="77" t="n"/>
      <c r="AY159" s="77" t="n"/>
      <c r="AZ159" s="77" t="n"/>
      <c r="BA159" s="77" t="n"/>
      <c r="BB159" s="77" t="n"/>
      <c r="BC159" s="77" t="n"/>
      <c r="BD159" s="77" t="n"/>
      <c r="BE159" s="77" t="n"/>
      <c r="BF159" s="77" t="n"/>
      <c r="BH159">
        <f>('Data Input'!C87-$A$1)*24</f>
        <v/>
      </c>
      <c r="BI159">
        <f>('Data Input'!D87-$A$1)*24</f>
        <v/>
      </c>
      <c r="BJ159" t="n">
        <v>1</v>
      </c>
      <c r="BO159" t="n">
        <v>-999</v>
      </c>
      <c r="BP159" t="n">
        <v>-999</v>
      </c>
    </row>
    <row r="160" ht="11.5" customHeight="1">
      <c r="A160" s="78" t="n"/>
      <c r="B160" s="78" t="n"/>
      <c r="C160" s="78" t="n"/>
      <c r="D160" s="78" t="n"/>
      <c r="E160" s="78" t="n"/>
      <c r="F160" s="78" t="n"/>
      <c r="G160" s="78" t="n"/>
      <c r="H160" s="78" t="n"/>
      <c r="I160" s="78" t="n"/>
      <c r="J160" s="76" t="inlineStr">
        <is>
          <t>A</t>
        </is>
      </c>
      <c r="K160" s="79" t="n"/>
      <c r="L160" s="79" t="n"/>
      <c r="M160" s="79" t="n"/>
      <c r="N160" s="79" t="n"/>
      <c r="O160" s="79" t="n"/>
      <c r="P160" s="79" t="n"/>
      <c r="Q160" s="79" t="n"/>
      <c r="R160" s="79" t="n"/>
      <c r="S160" s="79" t="n"/>
      <c r="T160" s="79" t="n"/>
      <c r="U160" s="79" t="n"/>
      <c r="V160" s="79" t="n"/>
      <c r="W160" s="79" t="n"/>
      <c r="X160" s="79" t="n"/>
      <c r="Y160" s="79" t="n"/>
      <c r="Z160" s="79" t="n"/>
      <c r="AA160" s="79" t="n"/>
      <c r="AB160" s="79" t="n"/>
      <c r="AC160" s="79" t="n"/>
      <c r="AD160" s="79" t="n"/>
      <c r="AE160" s="79" t="n"/>
      <c r="AF160" s="79" t="n"/>
      <c r="AG160" s="79" t="n"/>
      <c r="AH160" s="79" t="n"/>
      <c r="AI160" s="79" t="n"/>
      <c r="AJ160" s="79" t="n"/>
      <c r="AK160" s="79" t="n"/>
      <c r="AL160" s="79" t="n"/>
      <c r="AM160" s="79" t="n"/>
      <c r="AN160" s="79" t="n"/>
      <c r="AO160" s="79" t="n"/>
      <c r="AP160" s="79" t="n"/>
      <c r="AQ160" s="79" t="n"/>
      <c r="AR160" s="79" t="n"/>
      <c r="AS160" s="79" t="n"/>
      <c r="AT160" s="79" t="n"/>
      <c r="AU160" s="79" t="n"/>
      <c r="AV160" s="79" t="n"/>
      <c r="AW160" s="79" t="n"/>
      <c r="AX160" s="79" t="n"/>
      <c r="AY160" s="79" t="n"/>
      <c r="AZ160" s="79" t="n"/>
      <c r="BA160" s="79" t="n"/>
      <c r="BB160" s="79" t="n"/>
      <c r="BC160" s="79" t="n"/>
      <c r="BD160" s="79" t="n"/>
      <c r="BE160" s="79" t="n"/>
      <c r="BF160" s="79" t="n"/>
      <c r="BH160">
        <f>IF($BK160="",-999,($BK160-$A$1)*24)</f>
        <v/>
      </c>
      <c r="BI160">
        <f>IF($BK160="",-999,(IF($BL160&lt;&gt;"",$BL160,IF($C$1&gt;$BK160,$C$1,$BK160+MAX('Data Input'!E87*$BM160,0.5)/24))-$A$1)*24)</f>
        <v/>
      </c>
      <c r="BJ160">
        <f>IF($BK160="",0,IF($BM160&gt;=1,IF($BN160&lt;=0,2,3),IF($BN160&lt;=0,4,5)))</f>
        <v/>
      </c>
      <c r="BK160">
        <f>IF('Data Input'!Q87="","",'Data Input'!Q87)</f>
        <v/>
      </c>
      <c r="BL160">
        <f>IF('Data Input'!R87="","",'Data Input'!R87)</f>
        <v/>
      </c>
      <c r="BM160">
        <f>'Data Input'!S87</f>
        <v/>
      </c>
      <c r="BN160">
        <f>'Data Input'!Y87</f>
        <v/>
      </c>
      <c r="BO160">
        <f>IF($BM160&gt;=1,-999,MAX(($C$1-$A$1)*24,IF($BK160&lt;&gt;"",$BI160,$BP160-'Data Input'!E87)))</f>
        <v/>
      </c>
      <c r="BP160">
        <f>('Data Input'!D87+'Data Input'!Y87/24-$A$1)*24</f>
        <v/>
      </c>
    </row>
    <row r="161" ht="11.5" customHeight="1">
      <c r="A161" s="68">
        <f>'Data Input'!A88</f>
        <v/>
      </c>
      <c r="B161" s="69">
        <f>'Data Input'!B88</f>
        <v/>
      </c>
      <c r="C161" s="70">
        <f>'Data Input'!O88</f>
        <v/>
      </c>
      <c r="D161" s="71">
        <f>'Data Input'!D88</f>
        <v/>
      </c>
      <c r="E161" s="72">
        <f>'Data Input'!D88+'Data Input'!Y88/24</f>
        <v/>
      </c>
      <c r="F161" s="73">
        <f>'Data Input'!Y88</f>
        <v/>
      </c>
      <c r="G161" s="74">
        <f>'Data Input'!T88</f>
        <v/>
      </c>
      <c r="H161" s="75">
        <f>'Data Input'!S88</f>
        <v/>
      </c>
      <c r="I161" s="57" t="n"/>
      <c r="J161" s="76" t="inlineStr">
        <is>
          <t>P</t>
        </is>
      </c>
      <c r="K161" s="77" t="n"/>
      <c r="L161" s="77" t="n"/>
      <c r="M161" s="77" t="n"/>
      <c r="N161" s="77" t="n"/>
      <c r="O161" s="77" t="n"/>
      <c r="P161" s="77" t="n"/>
      <c r="Q161" s="77" t="n"/>
      <c r="R161" s="77" t="n"/>
      <c r="S161" s="77" t="n"/>
      <c r="T161" s="77" t="n"/>
      <c r="U161" s="77" t="n"/>
      <c r="V161" s="77" t="n"/>
      <c r="W161" s="77" t="n"/>
      <c r="X161" s="77" t="n"/>
      <c r="Y161" s="77" t="n"/>
      <c r="Z161" s="77" t="n"/>
      <c r="AA161" s="77" t="n"/>
      <c r="AB161" s="77" t="n"/>
      <c r="AC161" s="77" t="n"/>
      <c r="AD161" s="77" t="n"/>
      <c r="AE161" s="77" t="n"/>
      <c r="AF161" s="77" t="n"/>
      <c r="AG161" s="77" t="n"/>
      <c r="AH161" s="77" t="n"/>
      <c r="AI161" s="77" t="n"/>
      <c r="AJ161" s="77" t="n"/>
      <c r="AK161" s="77" t="n"/>
      <c r="AL161" s="77" t="n"/>
      <c r="AM161" s="77" t="n"/>
      <c r="AN161" s="77" t="n"/>
      <c r="AO161" s="77" t="n"/>
      <c r="AP161" s="77" t="n"/>
      <c r="AQ161" s="77" t="n"/>
      <c r="AR161" s="77" t="n"/>
      <c r="AS161" s="77" t="n"/>
      <c r="AT161" s="77" t="n"/>
      <c r="AU161" s="77" t="n"/>
      <c r="AV161" s="77" t="n"/>
      <c r="AW161" s="77" t="n"/>
      <c r="AX161" s="77" t="n"/>
      <c r="AY161" s="77" t="n"/>
      <c r="AZ161" s="77" t="n"/>
      <c r="BA161" s="77" t="n"/>
      <c r="BB161" s="77" t="n"/>
      <c r="BC161" s="77" t="n"/>
      <c r="BD161" s="77" t="n"/>
      <c r="BE161" s="77" t="n"/>
      <c r="BF161" s="77" t="n"/>
      <c r="BH161">
        <f>('Data Input'!C88-$A$1)*24</f>
        <v/>
      </c>
      <c r="BI161">
        <f>('Data Input'!D88-$A$1)*24</f>
        <v/>
      </c>
      <c r="BJ161" t="n">
        <v>1</v>
      </c>
      <c r="BO161" t="n">
        <v>-999</v>
      </c>
      <c r="BP161" t="n">
        <v>-999</v>
      </c>
    </row>
    <row r="162" ht="11.5" customHeight="1">
      <c r="A162" s="78" t="n"/>
      <c r="B162" s="78" t="n"/>
      <c r="C162" s="78" t="n"/>
      <c r="D162" s="78" t="n"/>
      <c r="E162" s="78" t="n"/>
      <c r="F162" s="78" t="n"/>
      <c r="G162" s="78" t="n"/>
      <c r="H162" s="78" t="n"/>
      <c r="I162" s="78" t="n"/>
      <c r="J162" s="76" t="inlineStr">
        <is>
          <t>A</t>
        </is>
      </c>
      <c r="K162" s="79" t="n"/>
      <c r="L162" s="79" t="n"/>
      <c r="M162" s="79" t="n"/>
      <c r="N162" s="79" t="n"/>
      <c r="O162" s="79" t="n"/>
      <c r="P162" s="79" t="n"/>
      <c r="Q162" s="79" t="n"/>
      <c r="R162" s="79" t="n"/>
      <c r="S162" s="79" t="n"/>
      <c r="T162" s="79" t="n"/>
      <c r="U162" s="79" t="n"/>
      <c r="V162" s="79" t="n"/>
      <c r="W162" s="79" t="n"/>
      <c r="X162" s="79" t="n"/>
      <c r="Y162" s="79" t="n"/>
      <c r="Z162" s="79" t="n"/>
      <c r="AA162" s="79" t="n"/>
      <c r="AB162" s="79" t="n"/>
      <c r="AC162" s="79" t="n"/>
      <c r="AD162" s="79" t="n"/>
      <c r="AE162" s="79" t="n"/>
      <c r="AF162" s="79" t="n"/>
      <c r="AG162" s="79" t="n"/>
      <c r="AH162" s="79" t="n"/>
      <c r="AI162" s="79" t="n"/>
      <c r="AJ162" s="79" t="n"/>
      <c r="AK162" s="79" t="n"/>
      <c r="AL162" s="79" t="n"/>
      <c r="AM162" s="79" t="n"/>
      <c r="AN162" s="79" t="n"/>
      <c r="AO162" s="79" t="n"/>
      <c r="AP162" s="79" t="n"/>
      <c r="AQ162" s="79" t="n"/>
      <c r="AR162" s="79" t="n"/>
      <c r="AS162" s="79" t="n"/>
      <c r="AT162" s="79" t="n"/>
      <c r="AU162" s="79" t="n"/>
      <c r="AV162" s="79" t="n"/>
      <c r="AW162" s="79" t="n"/>
      <c r="AX162" s="79" t="n"/>
      <c r="AY162" s="79" t="n"/>
      <c r="AZ162" s="79" t="n"/>
      <c r="BA162" s="79" t="n"/>
      <c r="BB162" s="79" t="n"/>
      <c r="BC162" s="79" t="n"/>
      <c r="BD162" s="79" t="n"/>
      <c r="BE162" s="79" t="n"/>
      <c r="BF162" s="79" t="n"/>
      <c r="BH162">
        <f>IF($BK162="",-999,($BK162-$A$1)*24)</f>
        <v/>
      </c>
      <c r="BI162">
        <f>IF($BK162="",-999,(IF($BL162&lt;&gt;"",$BL162,IF($C$1&gt;$BK162,$C$1,$BK162+MAX('Data Input'!E88*$BM162,0.5)/24))-$A$1)*24)</f>
        <v/>
      </c>
      <c r="BJ162">
        <f>IF($BK162="",0,IF($BM162&gt;=1,IF($BN162&lt;=0,2,3),IF($BN162&lt;=0,4,5)))</f>
        <v/>
      </c>
      <c r="BK162">
        <f>IF('Data Input'!Q88="","",'Data Input'!Q88)</f>
        <v/>
      </c>
      <c r="BL162">
        <f>IF('Data Input'!R88="","",'Data Input'!R88)</f>
        <v/>
      </c>
      <c r="BM162">
        <f>'Data Input'!S88</f>
        <v/>
      </c>
      <c r="BN162">
        <f>'Data Input'!Y88</f>
        <v/>
      </c>
      <c r="BO162">
        <f>IF($BM162&gt;=1,-999,MAX(($C$1-$A$1)*24,IF($BK162&lt;&gt;"",$BI162,$BP162-'Data Input'!E88)))</f>
        <v/>
      </c>
      <c r="BP162">
        <f>('Data Input'!D88+'Data Input'!Y88/24-$A$1)*24</f>
        <v/>
      </c>
    </row>
    <row r="163" ht="11.5" customHeight="1">
      <c r="A163" s="68">
        <f>'Data Input'!A89</f>
        <v/>
      </c>
      <c r="B163" s="69">
        <f>'Data Input'!B89</f>
        <v/>
      </c>
      <c r="C163" s="70">
        <f>'Data Input'!O89</f>
        <v/>
      </c>
      <c r="D163" s="71">
        <f>'Data Input'!D89</f>
        <v/>
      </c>
      <c r="E163" s="72">
        <f>'Data Input'!D89+'Data Input'!Y89/24</f>
        <v/>
      </c>
      <c r="F163" s="73">
        <f>'Data Input'!Y89</f>
        <v/>
      </c>
      <c r="G163" s="74">
        <f>'Data Input'!T89</f>
        <v/>
      </c>
      <c r="H163" s="75">
        <f>'Data Input'!S89</f>
        <v/>
      </c>
      <c r="I163" s="57" t="n"/>
      <c r="J163" s="76" t="inlineStr">
        <is>
          <t>P</t>
        </is>
      </c>
      <c r="K163" s="77" t="n"/>
      <c r="L163" s="77" t="n"/>
      <c r="M163" s="77" t="n"/>
      <c r="N163" s="77" t="n"/>
      <c r="O163" s="77" t="n"/>
      <c r="P163" s="77" t="n"/>
      <c r="Q163" s="77" t="n"/>
      <c r="R163" s="77" t="n"/>
      <c r="S163" s="77" t="n"/>
      <c r="T163" s="77" t="n"/>
      <c r="U163" s="77" t="n"/>
      <c r="V163" s="77" t="n"/>
      <c r="W163" s="77" t="n"/>
      <c r="X163" s="77" t="n"/>
      <c r="Y163" s="77" t="n"/>
      <c r="Z163" s="77" t="n"/>
      <c r="AA163" s="77" t="n"/>
      <c r="AB163" s="77" t="n"/>
      <c r="AC163" s="77" t="n"/>
      <c r="AD163" s="77" t="n"/>
      <c r="AE163" s="77" t="n"/>
      <c r="AF163" s="77" t="n"/>
      <c r="AG163" s="77" t="n"/>
      <c r="AH163" s="77" t="n"/>
      <c r="AI163" s="77" t="n"/>
      <c r="AJ163" s="77" t="n"/>
      <c r="AK163" s="77" t="n"/>
      <c r="AL163" s="77" t="n"/>
      <c r="AM163" s="77" t="n"/>
      <c r="AN163" s="77" t="n"/>
      <c r="AO163" s="77" t="n"/>
      <c r="AP163" s="77" t="n"/>
      <c r="AQ163" s="77" t="n"/>
      <c r="AR163" s="77" t="n"/>
      <c r="AS163" s="77" t="n"/>
      <c r="AT163" s="77" t="n"/>
      <c r="AU163" s="77" t="n"/>
      <c r="AV163" s="77" t="n"/>
      <c r="AW163" s="77" t="n"/>
      <c r="AX163" s="77" t="n"/>
      <c r="AY163" s="77" t="n"/>
      <c r="AZ163" s="77" t="n"/>
      <c r="BA163" s="77" t="n"/>
      <c r="BB163" s="77" t="n"/>
      <c r="BC163" s="77" t="n"/>
      <c r="BD163" s="77" t="n"/>
      <c r="BE163" s="77" t="n"/>
      <c r="BF163" s="77" t="n"/>
      <c r="BH163">
        <f>('Data Input'!C89-$A$1)*24</f>
        <v/>
      </c>
      <c r="BI163">
        <f>('Data Input'!D89-$A$1)*24</f>
        <v/>
      </c>
      <c r="BJ163" t="n">
        <v>1</v>
      </c>
      <c r="BO163" t="n">
        <v>-999</v>
      </c>
      <c r="BP163" t="n">
        <v>-999</v>
      </c>
    </row>
    <row r="164" ht="11.5" customHeight="1">
      <c r="A164" s="78" t="n"/>
      <c r="B164" s="78" t="n"/>
      <c r="C164" s="78" t="n"/>
      <c r="D164" s="78" t="n"/>
      <c r="E164" s="78" t="n"/>
      <c r="F164" s="78" t="n"/>
      <c r="G164" s="78" t="n"/>
      <c r="H164" s="78" t="n"/>
      <c r="I164" s="78" t="n"/>
      <c r="J164" s="76" t="inlineStr">
        <is>
          <t>A</t>
        </is>
      </c>
      <c r="K164" s="79" t="n"/>
      <c r="L164" s="79" t="n"/>
      <c r="M164" s="79" t="n"/>
      <c r="N164" s="79" t="n"/>
      <c r="O164" s="79" t="n"/>
      <c r="P164" s="79" t="n"/>
      <c r="Q164" s="79" t="n"/>
      <c r="R164" s="79" t="n"/>
      <c r="S164" s="79" t="n"/>
      <c r="T164" s="79" t="n"/>
      <c r="U164" s="79" t="n"/>
      <c r="V164" s="79" t="n"/>
      <c r="W164" s="79" t="n"/>
      <c r="X164" s="79" t="n"/>
      <c r="Y164" s="79" t="n"/>
      <c r="Z164" s="79" t="n"/>
      <c r="AA164" s="79" t="n"/>
      <c r="AB164" s="79" t="n"/>
      <c r="AC164" s="79" t="n"/>
      <c r="AD164" s="79" t="n"/>
      <c r="AE164" s="79" t="n"/>
      <c r="AF164" s="79" t="n"/>
      <c r="AG164" s="79" t="n"/>
      <c r="AH164" s="79" t="n"/>
      <c r="AI164" s="79" t="n"/>
      <c r="AJ164" s="79" t="n"/>
      <c r="AK164" s="79" t="n"/>
      <c r="AL164" s="79" t="n"/>
      <c r="AM164" s="79" t="n"/>
      <c r="AN164" s="79" t="n"/>
      <c r="AO164" s="79" t="n"/>
      <c r="AP164" s="79" t="n"/>
      <c r="AQ164" s="79" t="n"/>
      <c r="AR164" s="79" t="n"/>
      <c r="AS164" s="79" t="n"/>
      <c r="AT164" s="79" t="n"/>
      <c r="AU164" s="79" t="n"/>
      <c r="AV164" s="79" t="n"/>
      <c r="AW164" s="79" t="n"/>
      <c r="AX164" s="79" t="n"/>
      <c r="AY164" s="79" t="n"/>
      <c r="AZ164" s="79" t="n"/>
      <c r="BA164" s="79" t="n"/>
      <c r="BB164" s="79" t="n"/>
      <c r="BC164" s="79" t="n"/>
      <c r="BD164" s="79" t="n"/>
      <c r="BE164" s="79" t="n"/>
      <c r="BF164" s="79" t="n"/>
      <c r="BH164">
        <f>IF($BK164="",-999,($BK164-$A$1)*24)</f>
        <v/>
      </c>
      <c r="BI164">
        <f>IF($BK164="",-999,(IF($BL164&lt;&gt;"",$BL164,IF($C$1&gt;$BK164,$C$1,$BK164+MAX('Data Input'!E89*$BM164,0.5)/24))-$A$1)*24)</f>
        <v/>
      </c>
      <c r="BJ164">
        <f>IF($BK164="",0,IF($BM164&gt;=1,IF($BN164&lt;=0,2,3),IF($BN164&lt;=0,4,5)))</f>
        <v/>
      </c>
      <c r="BK164">
        <f>IF('Data Input'!Q89="","",'Data Input'!Q89)</f>
        <v/>
      </c>
      <c r="BL164">
        <f>IF('Data Input'!R89="","",'Data Input'!R89)</f>
        <v/>
      </c>
      <c r="BM164">
        <f>'Data Input'!S89</f>
        <v/>
      </c>
      <c r="BN164">
        <f>'Data Input'!Y89</f>
        <v/>
      </c>
      <c r="BO164">
        <f>IF($BM164&gt;=1,-999,MAX(($C$1-$A$1)*24,IF($BK164&lt;&gt;"",$BI164,$BP164-'Data Input'!E89)))</f>
        <v/>
      </c>
      <c r="BP164">
        <f>('Data Input'!D89+'Data Input'!Y89/24-$A$1)*24</f>
        <v/>
      </c>
    </row>
    <row r="165" ht="11.5" customHeight="1">
      <c r="A165" s="68">
        <f>'Data Input'!A90</f>
        <v/>
      </c>
      <c r="B165" s="69">
        <f>'Data Input'!B90</f>
        <v/>
      </c>
      <c r="C165" s="70">
        <f>'Data Input'!O90</f>
        <v/>
      </c>
      <c r="D165" s="71">
        <f>'Data Input'!D90</f>
        <v/>
      </c>
      <c r="E165" s="72">
        <f>'Data Input'!D90+'Data Input'!Y90/24</f>
        <v/>
      </c>
      <c r="F165" s="73">
        <f>'Data Input'!Y90</f>
        <v/>
      </c>
      <c r="G165" s="74">
        <f>'Data Input'!T90</f>
        <v/>
      </c>
      <c r="H165" s="75">
        <f>'Data Input'!S90</f>
        <v/>
      </c>
      <c r="I165" s="57" t="n"/>
      <c r="J165" s="76" t="inlineStr">
        <is>
          <t>P</t>
        </is>
      </c>
      <c r="K165" s="77" t="n"/>
      <c r="L165" s="77" t="n"/>
      <c r="M165" s="77" t="n"/>
      <c r="N165" s="77" t="n"/>
      <c r="O165" s="77" t="n"/>
      <c r="P165" s="77" t="n"/>
      <c r="Q165" s="77" t="n"/>
      <c r="R165" s="77" t="n"/>
      <c r="S165" s="77" t="n"/>
      <c r="T165" s="77" t="n"/>
      <c r="U165" s="77" t="n"/>
      <c r="V165" s="77" t="n"/>
      <c r="W165" s="77" t="n"/>
      <c r="X165" s="77" t="n"/>
      <c r="Y165" s="77" t="n"/>
      <c r="Z165" s="77" t="n"/>
      <c r="AA165" s="77" t="n"/>
      <c r="AB165" s="77" t="n"/>
      <c r="AC165" s="77" t="n"/>
      <c r="AD165" s="77" t="n"/>
      <c r="AE165" s="77" t="n"/>
      <c r="AF165" s="77" t="n"/>
      <c r="AG165" s="77" t="n"/>
      <c r="AH165" s="77" t="n"/>
      <c r="AI165" s="77" t="n"/>
      <c r="AJ165" s="77" t="n"/>
      <c r="AK165" s="77" t="n"/>
      <c r="AL165" s="77" t="n"/>
      <c r="AM165" s="77" t="n"/>
      <c r="AN165" s="77" t="n"/>
      <c r="AO165" s="77" t="n"/>
      <c r="AP165" s="77" t="n"/>
      <c r="AQ165" s="77" t="n"/>
      <c r="AR165" s="77" t="n"/>
      <c r="AS165" s="77" t="n"/>
      <c r="AT165" s="77" t="n"/>
      <c r="AU165" s="77" t="n"/>
      <c r="AV165" s="77" t="n"/>
      <c r="AW165" s="77" t="n"/>
      <c r="AX165" s="77" t="n"/>
      <c r="AY165" s="77" t="n"/>
      <c r="AZ165" s="77" t="n"/>
      <c r="BA165" s="77" t="n"/>
      <c r="BB165" s="77" t="n"/>
      <c r="BC165" s="77" t="n"/>
      <c r="BD165" s="77" t="n"/>
      <c r="BE165" s="77" t="n"/>
      <c r="BF165" s="77" t="n"/>
      <c r="BH165">
        <f>('Data Input'!C90-$A$1)*24</f>
        <v/>
      </c>
      <c r="BI165">
        <f>('Data Input'!D90-$A$1)*24</f>
        <v/>
      </c>
      <c r="BJ165" t="n">
        <v>1</v>
      </c>
      <c r="BO165" t="n">
        <v>-999</v>
      </c>
      <c r="BP165" t="n">
        <v>-999</v>
      </c>
    </row>
    <row r="166" ht="11.5" customHeight="1">
      <c r="A166" s="78" t="n"/>
      <c r="B166" s="78" t="n"/>
      <c r="C166" s="78" t="n"/>
      <c r="D166" s="78" t="n"/>
      <c r="E166" s="78" t="n"/>
      <c r="F166" s="78" t="n"/>
      <c r="G166" s="78" t="n"/>
      <c r="H166" s="78" t="n"/>
      <c r="I166" s="78" t="n"/>
      <c r="J166" s="76" t="inlineStr">
        <is>
          <t>A</t>
        </is>
      </c>
      <c r="K166" s="79" t="n"/>
      <c r="L166" s="79" t="n"/>
      <c r="M166" s="79" t="n"/>
      <c r="N166" s="79" t="n"/>
      <c r="O166" s="79" t="n"/>
      <c r="P166" s="79" t="n"/>
      <c r="Q166" s="79" t="n"/>
      <c r="R166" s="79" t="n"/>
      <c r="S166" s="79" t="n"/>
      <c r="T166" s="79" t="n"/>
      <c r="U166" s="79" t="n"/>
      <c r="V166" s="79" t="n"/>
      <c r="W166" s="79" t="n"/>
      <c r="X166" s="79" t="n"/>
      <c r="Y166" s="79" t="n"/>
      <c r="Z166" s="79" t="n"/>
      <c r="AA166" s="79" t="n"/>
      <c r="AB166" s="79" t="n"/>
      <c r="AC166" s="79" t="n"/>
      <c r="AD166" s="79" t="n"/>
      <c r="AE166" s="79" t="n"/>
      <c r="AF166" s="79" t="n"/>
      <c r="AG166" s="79" t="n"/>
      <c r="AH166" s="79" t="n"/>
      <c r="AI166" s="79" t="n"/>
      <c r="AJ166" s="79" t="n"/>
      <c r="AK166" s="79" t="n"/>
      <c r="AL166" s="79" t="n"/>
      <c r="AM166" s="79" t="n"/>
      <c r="AN166" s="79" t="n"/>
      <c r="AO166" s="79" t="n"/>
      <c r="AP166" s="79" t="n"/>
      <c r="AQ166" s="79" t="n"/>
      <c r="AR166" s="79" t="n"/>
      <c r="AS166" s="79" t="n"/>
      <c r="AT166" s="79" t="n"/>
      <c r="AU166" s="79" t="n"/>
      <c r="AV166" s="79" t="n"/>
      <c r="AW166" s="79" t="n"/>
      <c r="AX166" s="79" t="n"/>
      <c r="AY166" s="79" t="n"/>
      <c r="AZ166" s="79" t="n"/>
      <c r="BA166" s="79" t="n"/>
      <c r="BB166" s="79" t="n"/>
      <c r="BC166" s="79" t="n"/>
      <c r="BD166" s="79" t="n"/>
      <c r="BE166" s="79" t="n"/>
      <c r="BF166" s="79" t="n"/>
      <c r="BH166">
        <f>IF($BK166="",-999,($BK166-$A$1)*24)</f>
        <v/>
      </c>
      <c r="BI166">
        <f>IF($BK166="",-999,(IF($BL166&lt;&gt;"",$BL166,IF($C$1&gt;$BK166,$C$1,$BK166+MAX('Data Input'!E90*$BM166,0.5)/24))-$A$1)*24)</f>
        <v/>
      </c>
      <c r="BJ166">
        <f>IF($BK166="",0,IF($BM166&gt;=1,IF($BN166&lt;=0,2,3),IF($BN166&lt;=0,4,5)))</f>
        <v/>
      </c>
      <c r="BK166">
        <f>IF('Data Input'!Q90="","",'Data Input'!Q90)</f>
        <v/>
      </c>
      <c r="BL166">
        <f>IF('Data Input'!R90="","",'Data Input'!R90)</f>
        <v/>
      </c>
      <c r="BM166">
        <f>'Data Input'!S90</f>
        <v/>
      </c>
      <c r="BN166">
        <f>'Data Input'!Y90</f>
        <v/>
      </c>
      <c r="BO166">
        <f>IF($BM166&gt;=1,-999,MAX(($C$1-$A$1)*24,IF($BK166&lt;&gt;"",$BI166,$BP166-'Data Input'!E90)))</f>
        <v/>
      </c>
      <c r="BP166">
        <f>('Data Input'!D90+'Data Input'!Y90/24-$A$1)*24</f>
        <v/>
      </c>
    </row>
    <row r="167" ht="11.5" customHeight="1">
      <c r="A167" s="68">
        <f>'Data Input'!A91</f>
        <v/>
      </c>
      <c r="B167" s="69">
        <f>'Data Input'!B91</f>
        <v/>
      </c>
      <c r="C167" s="70">
        <f>'Data Input'!O91</f>
        <v/>
      </c>
      <c r="D167" s="71">
        <f>'Data Input'!D91</f>
        <v/>
      </c>
      <c r="E167" s="72">
        <f>'Data Input'!D91+'Data Input'!Y91/24</f>
        <v/>
      </c>
      <c r="F167" s="73">
        <f>'Data Input'!Y91</f>
        <v/>
      </c>
      <c r="G167" s="74">
        <f>'Data Input'!T91</f>
        <v/>
      </c>
      <c r="H167" s="75">
        <f>'Data Input'!S91</f>
        <v/>
      </c>
      <c r="I167" s="57" t="n"/>
      <c r="J167" s="76" t="inlineStr">
        <is>
          <t>P</t>
        </is>
      </c>
      <c r="K167" s="77" t="n"/>
      <c r="L167" s="77" t="n"/>
      <c r="M167" s="77" t="n"/>
      <c r="N167" s="77" t="n"/>
      <c r="O167" s="77" t="n"/>
      <c r="P167" s="77" t="n"/>
      <c r="Q167" s="77" t="n"/>
      <c r="R167" s="77" t="n"/>
      <c r="S167" s="77" t="n"/>
      <c r="T167" s="77" t="n"/>
      <c r="U167" s="77" t="n"/>
      <c r="V167" s="77" t="n"/>
      <c r="W167" s="77" t="n"/>
      <c r="X167" s="77" t="n"/>
      <c r="Y167" s="77" t="n"/>
      <c r="Z167" s="77" t="n"/>
      <c r="AA167" s="77" t="n"/>
      <c r="AB167" s="77" t="n"/>
      <c r="AC167" s="77" t="n"/>
      <c r="AD167" s="77" t="n"/>
      <c r="AE167" s="77" t="n"/>
      <c r="AF167" s="77" t="n"/>
      <c r="AG167" s="77" t="n"/>
      <c r="AH167" s="77" t="n"/>
      <c r="AI167" s="77" t="n"/>
      <c r="AJ167" s="77" t="n"/>
      <c r="AK167" s="77" t="n"/>
      <c r="AL167" s="77" t="n"/>
      <c r="AM167" s="77" t="n"/>
      <c r="AN167" s="77" t="n"/>
      <c r="AO167" s="77" t="n"/>
      <c r="AP167" s="77" t="n"/>
      <c r="AQ167" s="77" t="n"/>
      <c r="AR167" s="77" t="n"/>
      <c r="AS167" s="77" t="n"/>
      <c r="AT167" s="77" t="n"/>
      <c r="AU167" s="77" t="n"/>
      <c r="AV167" s="77" t="n"/>
      <c r="AW167" s="77" t="n"/>
      <c r="AX167" s="77" t="n"/>
      <c r="AY167" s="77" t="n"/>
      <c r="AZ167" s="77" t="n"/>
      <c r="BA167" s="77" t="n"/>
      <c r="BB167" s="77" t="n"/>
      <c r="BC167" s="77" t="n"/>
      <c r="BD167" s="77" t="n"/>
      <c r="BE167" s="77" t="n"/>
      <c r="BF167" s="77" t="n"/>
      <c r="BH167">
        <f>('Data Input'!C91-$A$1)*24</f>
        <v/>
      </c>
      <c r="BI167">
        <f>('Data Input'!D91-$A$1)*24</f>
        <v/>
      </c>
      <c r="BJ167" t="n">
        <v>1</v>
      </c>
      <c r="BO167" t="n">
        <v>-999</v>
      </c>
      <c r="BP167" t="n">
        <v>-999</v>
      </c>
    </row>
    <row r="168" ht="11.5" customHeight="1">
      <c r="A168" s="78" t="n"/>
      <c r="B168" s="78" t="n"/>
      <c r="C168" s="78" t="n"/>
      <c r="D168" s="78" t="n"/>
      <c r="E168" s="78" t="n"/>
      <c r="F168" s="78" t="n"/>
      <c r="G168" s="78" t="n"/>
      <c r="H168" s="78" t="n"/>
      <c r="I168" s="78" t="n"/>
      <c r="J168" s="76" t="inlineStr">
        <is>
          <t>A</t>
        </is>
      </c>
      <c r="K168" s="79" t="n"/>
      <c r="L168" s="79" t="n"/>
      <c r="M168" s="79" t="n"/>
      <c r="N168" s="79" t="n"/>
      <c r="O168" s="79" t="n"/>
      <c r="P168" s="79" t="n"/>
      <c r="Q168" s="79" t="n"/>
      <c r="R168" s="79" t="n"/>
      <c r="S168" s="79" t="n"/>
      <c r="T168" s="79" t="n"/>
      <c r="U168" s="79" t="n"/>
      <c r="V168" s="79" t="n"/>
      <c r="W168" s="79" t="n"/>
      <c r="X168" s="79" t="n"/>
      <c r="Y168" s="79" t="n"/>
      <c r="Z168" s="79" t="n"/>
      <c r="AA168" s="79" t="n"/>
      <c r="AB168" s="79" t="n"/>
      <c r="AC168" s="79" t="n"/>
      <c r="AD168" s="79" t="n"/>
      <c r="AE168" s="79" t="n"/>
      <c r="AF168" s="79" t="n"/>
      <c r="AG168" s="79" t="n"/>
      <c r="AH168" s="79" t="n"/>
      <c r="AI168" s="79" t="n"/>
      <c r="AJ168" s="79" t="n"/>
      <c r="AK168" s="79" t="n"/>
      <c r="AL168" s="79" t="n"/>
      <c r="AM168" s="79" t="n"/>
      <c r="AN168" s="79" t="n"/>
      <c r="AO168" s="79" t="n"/>
      <c r="AP168" s="79" t="n"/>
      <c r="AQ168" s="79" t="n"/>
      <c r="AR168" s="79" t="n"/>
      <c r="AS168" s="79" t="n"/>
      <c r="AT168" s="79" t="n"/>
      <c r="AU168" s="79" t="n"/>
      <c r="AV168" s="79" t="n"/>
      <c r="AW168" s="79" t="n"/>
      <c r="AX168" s="79" t="n"/>
      <c r="AY168" s="79" t="n"/>
      <c r="AZ168" s="79" t="n"/>
      <c r="BA168" s="79" t="n"/>
      <c r="BB168" s="79" t="n"/>
      <c r="BC168" s="79" t="n"/>
      <c r="BD168" s="79" t="n"/>
      <c r="BE168" s="79" t="n"/>
      <c r="BF168" s="79" t="n"/>
      <c r="BH168">
        <f>IF($BK168="",-999,($BK168-$A$1)*24)</f>
        <v/>
      </c>
      <c r="BI168">
        <f>IF($BK168="",-999,(IF($BL168&lt;&gt;"",$BL168,IF($C$1&gt;$BK168,$C$1,$BK168+MAX('Data Input'!E91*$BM168,0.5)/24))-$A$1)*24)</f>
        <v/>
      </c>
      <c r="BJ168">
        <f>IF($BK168="",0,IF($BM168&gt;=1,IF($BN168&lt;=0,2,3),IF($BN168&lt;=0,4,5)))</f>
        <v/>
      </c>
      <c r="BK168">
        <f>IF('Data Input'!Q91="","",'Data Input'!Q91)</f>
        <v/>
      </c>
      <c r="BL168">
        <f>IF('Data Input'!R91="","",'Data Input'!R91)</f>
        <v/>
      </c>
      <c r="BM168">
        <f>'Data Input'!S91</f>
        <v/>
      </c>
      <c r="BN168">
        <f>'Data Input'!Y91</f>
        <v/>
      </c>
      <c r="BO168">
        <f>IF($BM168&gt;=1,-999,MAX(($C$1-$A$1)*24,IF($BK168&lt;&gt;"",$BI168,$BP168-'Data Input'!E91)))</f>
        <v/>
      </c>
      <c r="BP168">
        <f>('Data Input'!D91+'Data Input'!Y91/24-$A$1)*24</f>
        <v/>
      </c>
    </row>
    <row r="169" ht="11.5" customHeight="1">
      <c r="A169" s="68">
        <f>'Data Input'!A92</f>
        <v/>
      </c>
      <c r="B169" s="69">
        <f>'Data Input'!B92</f>
        <v/>
      </c>
      <c r="C169" s="70">
        <f>'Data Input'!O92</f>
        <v/>
      </c>
      <c r="D169" s="71">
        <f>'Data Input'!D92</f>
        <v/>
      </c>
      <c r="E169" s="72">
        <f>'Data Input'!D92+'Data Input'!Y92/24</f>
        <v/>
      </c>
      <c r="F169" s="73">
        <f>'Data Input'!Y92</f>
        <v/>
      </c>
      <c r="G169" s="74">
        <f>'Data Input'!T92</f>
        <v/>
      </c>
      <c r="H169" s="75">
        <f>'Data Input'!S92</f>
        <v/>
      </c>
      <c r="I169" s="57" t="n"/>
      <c r="J169" s="76" t="inlineStr">
        <is>
          <t>P</t>
        </is>
      </c>
      <c r="K169" s="77" t="n"/>
      <c r="L169" s="77" t="n"/>
      <c r="M169" s="77" t="n"/>
      <c r="N169" s="77" t="n"/>
      <c r="O169" s="77" t="n"/>
      <c r="P169" s="77" t="n"/>
      <c r="Q169" s="77" t="n"/>
      <c r="R169" s="77" t="n"/>
      <c r="S169" s="77" t="n"/>
      <c r="T169" s="77" t="n"/>
      <c r="U169" s="77" t="n"/>
      <c r="V169" s="77" t="n"/>
      <c r="W169" s="77" t="n"/>
      <c r="X169" s="77" t="n"/>
      <c r="Y169" s="77" t="n"/>
      <c r="Z169" s="77" t="n"/>
      <c r="AA169" s="77" t="n"/>
      <c r="AB169" s="77" t="n"/>
      <c r="AC169" s="77" t="n"/>
      <c r="AD169" s="77" t="n"/>
      <c r="AE169" s="77" t="n"/>
      <c r="AF169" s="77" t="n"/>
      <c r="AG169" s="77" t="n"/>
      <c r="AH169" s="77" t="n"/>
      <c r="AI169" s="77" t="n"/>
      <c r="AJ169" s="77" t="n"/>
      <c r="AK169" s="77" t="n"/>
      <c r="AL169" s="77" t="n"/>
      <c r="AM169" s="77" t="n"/>
      <c r="AN169" s="77" t="n"/>
      <c r="AO169" s="77" t="n"/>
      <c r="AP169" s="77" t="n"/>
      <c r="AQ169" s="77" t="n"/>
      <c r="AR169" s="77" t="n"/>
      <c r="AS169" s="77" t="n"/>
      <c r="AT169" s="77" t="n"/>
      <c r="AU169" s="77" t="n"/>
      <c r="AV169" s="77" t="n"/>
      <c r="AW169" s="77" t="n"/>
      <c r="AX169" s="77" t="n"/>
      <c r="AY169" s="77" t="n"/>
      <c r="AZ169" s="77" t="n"/>
      <c r="BA169" s="77" t="n"/>
      <c r="BB169" s="77" t="n"/>
      <c r="BC169" s="77" t="n"/>
      <c r="BD169" s="77" t="n"/>
      <c r="BE169" s="77" t="n"/>
      <c r="BF169" s="77" t="n"/>
      <c r="BH169">
        <f>('Data Input'!C92-$A$1)*24</f>
        <v/>
      </c>
      <c r="BI169">
        <f>('Data Input'!D92-$A$1)*24</f>
        <v/>
      </c>
      <c r="BJ169" t="n">
        <v>1</v>
      </c>
      <c r="BO169" t="n">
        <v>-999</v>
      </c>
      <c r="BP169" t="n">
        <v>-999</v>
      </c>
    </row>
    <row r="170" ht="11.5" customHeight="1">
      <c r="A170" s="78" t="n"/>
      <c r="B170" s="78" t="n"/>
      <c r="C170" s="78" t="n"/>
      <c r="D170" s="78" t="n"/>
      <c r="E170" s="78" t="n"/>
      <c r="F170" s="78" t="n"/>
      <c r="G170" s="78" t="n"/>
      <c r="H170" s="78" t="n"/>
      <c r="I170" s="78" t="n"/>
      <c r="J170" s="76" t="inlineStr">
        <is>
          <t>A</t>
        </is>
      </c>
      <c r="K170" s="79" t="n"/>
      <c r="L170" s="79" t="n"/>
      <c r="M170" s="79" t="n"/>
      <c r="N170" s="79" t="n"/>
      <c r="O170" s="79" t="n"/>
      <c r="P170" s="79" t="n"/>
      <c r="Q170" s="79" t="n"/>
      <c r="R170" s="79" t="n"/>
      <c r="S170" s="79" t="n"/>
      <c r="T170" s="79" t="n"/>
      <c r="U170" s="79" t="n"/>
      <c r="V170" s="79" t="n"/>
      <c r="W170" s="79" t="n"/>
      <c r="X170" s="79" t="n"/>
      <c r="Y170" s="79" t="n"/>
      <c r="Z170" s="79" t="n"/>
      <c r="AA170" s="79" t="n"/>
      <c r="AB170" s="79" t="n"/>
      <c r="AC170" s="79" t="n"/>
      <c r="AD170" s="79" t="n"/>
      <c r="AE170" s="79" t="n"/>
      <c r="AF170" s="79" t="n"/>
      <c r="AG170" s="79" t="n"/>
      <c r="AH170" s="79" t="n"/>
      <c r="AI170" s="79" t="n"/>
      <c r="AJ170" s="79" t="n"/>
      <c r="AK170" s="79" t="n"/>
      <c r="AL170" s="79" t="n"/>
      <c r="AM170" s="79" t="n"/>
      <c r="AN170" s="79" t="n"/>
      <c r="AO170" s="79" t="n"/>
      <c r="AP170" s="79" t="n"/>
      <c r="AQ170" s="79" t="n"/>
      <c r="AR170" s="79" t="n"/>
      <c r="AS170" s="79" t="n"/>
      <c r="AT170" s="79" t="n"/>
      <c r="AU170" s="79" t="n"/>
      <c r="AV170" s="79" t="n"/>
      <c r="AW170" s="79" t="n"/>
      <c r="AX170" s="79" t="n"/>
      <c r="AY170" s="79" t="n"/>
      <c r="AZ170" s="79" t="n"/>
      <c r="BA170" s="79" t="n"/>
      <c r="BB170" s="79" t="n"/>
      <c r="BC170" s="79" t="n"/>
      <c r="BD170" s="79" t="n"/>
      <c r="BE170" s="79" t="n"/>
      <c r="BF170" s="79" t="n"/>
      <c r="BH170">
        <f>IF($BK170="",-999,($BK170-$A$1)*24)</f>
        <v/>
      </c>
      <c r="BI170">
        <f>IF($BK170="",-999,(IF($BL170&lt;&gt;"",$BL170,IF($C$1&gt;$BK170,$C$1,$BK170+MAX('Data Input'!E92*$BM170,0.5)/24))-$A$1)*24)</f>
        <v/>
      </c>
      <c r="BJ170">
        <f>IF($BK170="",0,IF($BM170&gt;=1,IF($BN170&lt;=0,2,3),IF($BN170&lt;=0,4,5)))</f>
        <v/>
      </c>
      <c r="BK170">
        <f>IF('Data Input'!Q92="","",'Data Input'!Q92)</f>
        <v/>
      </c>
      <c r="BL170">
        <f>IF('Data Input'!R92="","",'Data Input'!R92)</f>
        <v/>
      </c>
      <c r="BM170">
        <f>'Data Input'!S92</f>
        <v/>
      </c>
      <c r="BN170">
        <f>'Data Input'!Y92</f>
        <v/>
      </c>
      <c r="BO170">
        <f>IF($BM170&gt;=1,-999,MAX(($C$1-$A$1)*24,IF($BK170&lt;&gt;"",$BI170,$BP170-'Data Input'!E92)))</f>
        <v/>
      </c>
      <c r="BP170">
        <f>('Data Input'!D92+'Data Input'!Y92/24-$A$1)*24</f>
        <v/>
      </c>
    </row>
    <row r="171" ht="11.5" customHeight="1">
      <c r="A171" s="68">
        <f>'Data Input'!A93</f>
        <v/>
      </c>
      <c r="B171" s="69">
        <f>'Data Input'!B93</f>
        <v/>
      </c>
      <c r="C171" s="70">
        <f>'Data Input'!O93</f>
        <v/>
      </c>
      <c r="D171" s="71">
        <f>'Data Input'!D93</f>
        <v/>
      </c>
      <c r="E171" s="72">
        <f>'Data Input'!D93+'Data Input'!Y93/24</f>
        <v/>
      </c>
      <c r="F171" s="73">
        <f>'Data Input'!Y93</f>
        <v/>
      </c>
      <c r="G171" s="74">
        <f>'Data Input'!T93</f>
        <v/>
      </c>
      <c r="H171" s="75">
        <f>'Data Input'!S93</f>
        <v/>
      </c>
      <c r="I171" s="57" t="n"/>
      <c r="J171" s="76" t="inlineStr">
        <is>
          <t>P</t>
        </is>
      </c>
      <c r="K171" s="77" t="n"/>
      <c r="L171" s="77" t="n"/>
      <c r="M171" s="77" t="n"/>
      <c r="N171" s="77" t="n"/>
      <c r="O171" s="77" t="n"/>
      <c r="P171" s="77" t="n"/>
      <c r="Q171" s="77" t="n"/>
      <c r="R171" s="77" t="n"/>
      <c r="S171" s="77" t="n"/>
      <c r="T171" s="77" t="n"/>
      <c r="U171" s="77" t="n"/>
      <c r="V171" s="77" t="n"/>
      <c r="W171" s="77" t="n"/>
      <c r="X171" s="77" t="n"/>
      <c r="Y171" s="77" t="n"/>
      <c r="Z171" s="77" t="n"/>
      <c r="AA171" s="77" t="n"/>
      <c r="AB171" s="77" t="n"/>
      <c r="AC171" s="77" t="n"/>
      <c r="AD171" s="77" t="n"/>
      <c r="AE171" s="77" t="n"/>
      <c r="AF171" s="77" t="n"/>
      <c r="AG171" s="77" t="n"/>
      <c r="AH171" s="77" t="n"/>
      <c r="AI171" s="77" t="n"/>
      <c r="AJ171" s="77" t="n"/>
      <c r="AK171" s="77" t="n"/>
      <c r="AL171" s="77" t="n"/>
      <c r="AM171" s="77" t="n"/>
      <c r="AN171" s="77" t="n"/>
      <c r="AO171" s="77" t="n"/>
      <c r="AP171" s="77" t="n"/>
      <c r="AQ171" s="77" t="n"/>
      <c r="AR171" s="77" t="n"/>
      <c r="AS171" s="77" t="n"/>
      <c r="AT171" s="77" t="n"/>
      <c r="AU171" s="77" t="n"/>
      <c r="AV171" s="77" t="n"/>
      <c r="AW171" s="77" t="n"/>
      <c r="AX171" s="77" t="n"/>
      <c r="AY171" s="77" t="n"/>
      <c r="AZ171" s="77" t="n"/>
      <c r="BA171" s="77" t="n"/>
      <c r="BB171" s="77" t="n"/>
      <c r="BC171" s="77" t="n"/>
      <c r="BD171" s="77" t="n"/>
      <c r="BE171" s="77" t="n"/>
      <c r="BF171" s="77" t="n"/>
      <c r="BH171">
        <f>('Data Input'!C93-$A$1)*24</f>
        <v/>
      </c>
      <c r="BI171">
        <f>('Data Input'!D93-$A$1)*24</f>
        <v/>
      </c>
      <c r="BJ171" t="n">
        <v>1</v>
      </c>
      <c r="BO171" t="n">
        <v>-999</v>
      </c>
      <c r="BP171" t="n">
        <v>-999</v>
      </c>
    </row>
    <row r="172" ht="11.5" customHeight="1">
      <c r="A172" s="78" t="n"/>
      <c r="B172" s="78" t="n"/>
      <c r="C172" s="78" t="n"/>
      <c r="D172" s="78" t="n"/>
      <c r="E172" s="78" t="n"/>
      <c r="F172" s="78" t="n"/>
      <c r="G172" s="78" t="n"/>
      <c r="H172" s="78" t="n"/>
      <c r="I172" s="78" t="n"/>
      <c r="J172" s="76" t="inlineStr">
        <is>
          <t>A</t>
        </is>
      </c>
      <c r="K172" s="79" t="n"/>
      <c r="L172" s="79" t="n"/>
      <c r="M172" s="79" t="n"/>
      <c r="N172" s="79" t="n"/>
      <c r="O172" s="79" t="n"/>
      <c r="P172" s="79" t="n"/>
      <c r="Q172" s="79" t="n"/>
      <c r="R172" s="79" t="n"/>
      <c r="S172" s="79" t="n"/>
      <c r="T172" s="79" t="n"/>
      <c r="U172" s="79" t="n"/>
      <c r="V172" s="79" t="n"/>
      <c r="W172" s="79" t="n"/>
      <c r="X172" s="79" t="n"/>
      <c r="Y172" s="79" t="n"/>
      <c r="Z172" s="79" t="n"/>
      <c r="AA172" s="79" t="n"/>
      <c r="AB172" s="79" t="n"/>
      <c r="AC172" s="79" t="n"/>
      <c r="AD172" s="79" t="n"/>
      <c r="AE172" s="79" t="n"/>
      <c r="AF172" s="79" t="n"/>
      <c r="AG172" s="79" t="n"/>
      <c r="AH172" s="79" t="n"/>
      <c r="AI172" s="79" t="n"/>
      <c r="AJ172" s="79" t="n"/>
      <c r="AK172" s="79" t="n"/>
      <c r="AL172" s="79" t="n"/>
      <c r="AM172" s="79" t="n"/>
      <c r="AN172" s="79" t="n"/>
      <c r="AO172" s="79" t="n"/>
      <c r="AP172" s="79" t="n"/>
      <c r="AQ172" s="79" t="n"/>
      <c r="AR172" s="79" t="n"/>
      <c r="AS172" s="79" t="n"/>
      <c r="AT172" s="79" t="n"/>
      <c r="AU172" s="79" t="n"/>
      <c r="AV172" s="79" t="n"/>
      <c r="AW172" s="79" t="n"/>
      <c r="AX172" s="79" t="n"/>
      <c r="AY172" s="79" t="n"/>
      <c r="AZ172" s="79" t="n"/>
      <c r="BA172" s="79" t="n"/>
      <c r="BB172" s="79" t="n"/>
      <c r="BC172" s="79" t="n"/>
      <c r="BD172" s="79" t="n"/>
      <c r="BE172" s="79" t="n"/>
      <c r="BF172" s="79" t="n"/>
      <c r="BH172">
        <f>IF($BK172="",-999,($BK172-$A$1)*24)</f>
        <v/>
      </c>
      <c r="BI172">
        <f>IF($BK172="",-999,(IF($BL172&lt;&gt;"",$BL172,IF($C$1&gt;$BK172,$C$1,$BK172+MAX('Data Input'!E93*$BM172,0.5)/24))-$A$1)*24)</f>
        <v/>
      </c>
      <c r="BJ172">
        <f>IF($BK172="",0,IF($BM172&gt;=1,IF($BN172&lt;=0,2,3),IF($BN172&lt;=0,4,5)))</f>
        <v/>
      </c>
      <c r="BK172">
        <f>IF('Data Input'!Q93="","",'Data Input'!Q93)</f>
        <v/>
      </c>
      <c r="BL172">
        <f>IF('Data Input'!R93="","",'Data Input'!R93)</f>
        <v/>
      </c>
      <c r="BM172">
        <f>'Data Input'!S93</f>
        <v/>
      </c>
      <c r="BN172">
        <f>'Data Input'!Y93</f>
        <v/>
      </c>
      <c r="BO172">
        <f>IF($BM172&gt;=1,-999,MAX(($C$1-$A$1)*24,IF($BK172&lt;&gt;"",$BI172,$BP172-'Data Input'!E93)))</f>
        <v/>
      </c>
      <c r="BP172">
        <f>('Data Input'!D93+'Data Input'!Y93/24-$A$1)*24</f>
        <v/>
      </c>
    </row>
    <row r="173" ht="11.5" customHeight="1">
      <c r="A173" s="68">
        <f>'Data Input'!A94</f>
        <v/>
      </c>
      <c r="B173" s="69">
        <f>'Data Input'!B94</f>
        <v/>
      </c>
      <c r="C173" s="70">
        <f>'Data Input'!O94</f>
        <v/>
      </c>
      <c r="D173" s="71">
        <f>'Data Input'!D94</f>
        <v/>
      </c>
      <c r="E173" s="72">
        <f>'Data Input'!D94+'Data Input'!Y94/24</f>
        <v/>
      </c>
      <c r="F173" s="73">
        <f>'Data Input'!Y94</f>
        <v/>
      </c>
      <c r="G173" s="74">
        <f>'Data Input'!T94</f>
        <v/>
      </c>
      <c r="H173" s="75">
        <f>'Data Input'!S94</f>
        <v/>
      </c>
      <c r="I173" s="57" t="n"/>
      <c r="J173" s="76" t="inlineStr">
        <is>
          <t>P</t>
        </is>
      </c>
      <c r="K173" s="77" t="n"/>
      <c r="L173" s="77" t="n"/>
      <c r="M173" s="77" t="n"/>
      <c r="N173" s="77" t="n"/>
      <c r="O173" s="77" t="n"/>
      <c r="P173" s="77" t="n"/>
      <c r="Q173" s="77" t="n"/>
      <c r="R173" s="77" t="n"/>
      <c r="S173" s="77" t="n"/>
      <c r="T173" s="77" t="n"/>
      <c r="U173" s="77" t="n"/>
      <c r="V173" s="77" t="n"/>
      <c r="W173" s="77" t="n"/>
      <c r="X173" s="77" t="n"/>
      <c r="Y173" s="77" t="n"/>
      <c r="Z173" s="77" t="n"/>
      <c r="AA173" s="77" t="n"/>
      <c r="AB173" s="77" t="n"/>
      <c r="AC173" s="77" t="n"/>
      <c r="AD173" s="77" t="n"/>
      <c r="AE173" s="77" t="n"/>
      <c r="AF173" s="77" t="n"/>
      <c r="AG173" s="77" t="n"/>
      <c r="AH173" s="77" t="n"/>
      <c r="AI173" s="77" t="n"/>
      <c r="AJ173" s="77" t="n"/>
      <c r="AK173" s="77" t="n"/>
      <c r="AL173" s="77" t="n"/>
      <c r="AM173" s="77" t="n"/>
      <c r="AN173" s="77" t="n"/>
      <c r="AO173" s="77" t="n"/>
      <c r="AP173" s="77" t="n"/>
      <c r="AQ173" s="77" t="n"/>
      <c r="AR173" s="77" t="n"/>
      <c r="AS173" s="77" t="n"/>
      <c r="AT173" s="77" t="n"/>
      <c r="AU173" s="77" t="n"/>
      <c r="AV173" s="77" t="n"/>
      <c r="AW173" s="77" t="n"/>
      <c r="AX173" s="77" t="n"/>
      <c r="AY173" s="77" t="n"/>
      <c r="AZ173" s="77" t="n"/>
      <c r="BA173" s="77" t="n"/>
      <c r="BB173" s="77" t="n"/>
      <c r="BC173" s="77" t="n"/>
      <c r="BD173" s="77" t="n"/>
      <c r="BE173" s="77" t="n"/>
      <c r="BF173" s="77" t="n"/>
      <c r="BH173">
        <f>('Data Input'!C94-$A$1)*24</f>
        <v/>
      </c>
      <c r="BI173">
        <f>('Data Input'!D94-$A$1)*24</f>
        <v/>
      </c>
      <c r="BJ173" t="n">
        <v>1</v>
      </c>
      <c r="BO173" t="n">
        <v>-999</v>
      </c>
      <c r="BP173" t="n">
        <v>-999</v>
      </c>
    </row>
    <row r="174" ht="11.5" customHeight="1">
      <c r="A174" s="78" t="n"/>
      <c r="B174" s="78" t="n"/>
      <c r="C174" s="78" t="n"/>
      <c r="D174" s="78" t="n"/>
      <c r="E174" s="78" t="n"/>
      <c r="F174" s="78" t="n"/>
      <c r="G174" s="78" t="n"/>
      <c r="H174" s="78" t="n"/>
      <c r="I174" s="78" t="n"/>
      <c r="J174" s="76" t="inlineStr">
        <is>
          <t>A</t>
        </is>
      </c>
      <c r="K174" s="79" t="n"/>
      <c r="L174" s="79" t="n"/>
      <c r="M174" s="79" t="n"/>
      <c r="N174" s="79" t="n"/>
      <c r="O174" s="79" t="n"/>
      <c r="P174" s="79" t="n"/>
      <c r="Q174" s="79" t="n"/>
      <c r="R174" s="79" t="n"/>
      <c r="S174" s="79" t="n"/>
      <c r="T174" s="79" t="n"/>
      <c r="U174" s="79" t="n"/>
      <c r="V174" s="79" t="n"/>
      <c r="W174" s="79" t="n"/>
      <c r="X174" s="79" t="n"/>
      <c r="Y174" s="79" t="n"/>
      <c r="Z174" s="79" t="n"/>
      <c r="AA174" s="79" t="n"/>
      <c r="AB174" s="79" t="n"/>
      <c r="AC174" s="79" t="n"/>
      <c r="AD174" s="79" t="n"/>
      <c r="AE174" s="79" t="n"/>
      <c r="AF174" s="79" t="n"/>
      <c r="AG174" s="79" t="n"/>
      <c r="AH174" s="79" t="n"/>
      <c r="AI174" s="79" t="n"/>
      <c r="AJ174" s="79" t="n"/>
      <c r="AK174" s="79" t="n"/>
      <c r="AL174" s="79" t="n"/>
      <c r="AM174" s="79" t="n"/>
      <c r="AN174" s="79" t="n"/>
      <c r="AO174" s="79" t="n"/>
      <c r="AP174" s="79" t="n"/>
      <c r="AQ174" s="79" t="n"/>
      <c r="AR174" s="79" t="n"/>
      <c r="AS174" s="79" t="n"/>
      <c r="AT174" s="79" t="n"/>
      <c r="AU174" s="79" t="n"/>
      <c r="AV174" s="79" t="n"/>
      <c r="AW174" s="79" t="n"/>
      <c r="AX174" s="79" t="n"/>
      <c r="AY174" s="79" t="n"/>
      <c r="AZ174" s="79" t="n"/>
      <c r="BA174" s="79" t="n"/>
      <c r="BB174" s="79" t="n"/>
      <c r="BC174" s="79" t="n"/>
      <c r="BD174" s="79" t="n"/>
      <c r="BE174" s="79" t="n"/>
      <c r="BF174" s="79" t="n"/>
      <c r="BH174">
        <f>IF($BK174="",-999,($BK174-$A$1)*24)</f>
        <v/>
      </c>
      <c r="BI174">
        <f>IF($BK174="",-999,(IF($BL174&lt;&gt;"",$BL174,IF($C$1&gt;$BK174,$C$1,$BK174+MAX('Data Input'!E94*$BM174,0.5)/24))-$A$1)*24)</f>
        <v/>
      </c>
      <c r="BJ174">
        <f>IF($BK174="",0,IF($BM174&gt;=1,IF($BN174&lt;=0,2,3),IF($BN174&lt;=0,4,5)))</f>
        <v/>
      </c>
      <c r="BK174">
        <f>IF('Data Input'!Q94="","",'Data Input'!Q94)</f>
        <v/>
      </c>
      <c r="BL174">
        <f>IF('Data Input'!R94="","",'Data Input'!R94)</f>
        <v/>
      </c>
      <c r="BM174">
        <f>'Data Input'!S94</f>
        <v/>
      </c>
      <c r="BN174">
        <f>'Data Input'!Y94</f>
        <v/>
      </c>
      <c r="BO174">
        <f>IF($BM174&gt;=1,-999,MAX(($C$1-$A$1)*24,IF($BK174&lt;&gt;"",$BI174,$BP174-'Data Input'!E94)))</f>
        <v/>
      </c>
      <c r="BP174">
        <f>('Data Input'!D94+'Data Input'!Y94/24-$A$1)*24</f>
        <v/>
      </c>
    </row>
    <row r="175" ht="11.5" customHeight="1">
      <c r="A175" s="68">
        <f>'Data Input'!A95</f>
        <v/>
      </c>
      <c r="B175" s="69">
        <f>'Data Input'!B95</f>
        <v/>
      </c>
      <c r="C175" s="70">
        <f>'Data Input'!O95</f>
        <v/>
      </c>
      <c r="D175" s="71">
        <f>'Data Input'!D95</f>
        <v/>
      </c>
      <c r="E175" s="72">
        <f>'Data Input'!D95+'Data Input'!Y95/24</f>
        <v/>
      </c>
      <c r="F175" s="73">
        <f>'Data Input'!Y95</f>
        <v/>
      </c>
      <c r="G175" s="74">
        <f>'Data Input'!T95</f>
        <v/>
      </c>
      <c r="H175" s="75">
        <f>'Data Input'!S95</f>
        <v/>
      </c>
      <c r="I175" s="57" t="n"/>
      <c r="J175" s="76" t="inlineStr">
        <is>
          <t>P</t>
        </is>
      </c>
      <c r="K175" s="77" t="n"/>
      <c r="L175" s="77" t="n"/>
      <c r="M175" s="77" t="n"/>
      <c r="N175" s="77" t="n"/>
      <c r="O175" s="77" t="n"/>
      <c r="P175" s="77" t="n"/>
      <c r="Q175" s="77" t="n"/>
      <c r="R175" s="77" t="n"/>
      <c r="S175" s="77" t="n"/>
      <c r="T175" s="77" t="n"/>
      <c r="U175" s="77" t="n"/>
      <c r="V175" s="77" t="n"/>
      <c r="W175" s="77" t="n"/>
      <c r="X175" s="77" t="n"/>
      <c r="Y175" s="77" t="n"/>
      <c r="Z175" s="77" t="n"/>
      <c r="AA175" s="77" t="n"/>
      <c r="AB175" s="77" t="n"/>
      <c r="AC175" s="77" t="n"/>
      <c r="AD175" s="77" t="n"/>
      <c r="AE175" s="77" t="n"/>
      <c r="AF175" s="77" t="n"/>
      <c r="AG175" s="77" t="n"/>
      <c r="AH175" s="77" t="n"/>
      <c r="AI175" s="77" t="n"/>
      <c r="AJ175" s="77" t="n"/>
      <c r="AK175" s="77" t="n"/>
      <c r="AL175" s="77" t="n"/>
      <c r="AM175" s="77" t="n"/>
      <c r="AN175" s="77" t="n"/>
      <c r="AO175" s="77" t="n"/>
      <c r="AP175" s="77" t="n"/>
      <c r="AQ175" s="77" t="n"/>
      <c r="AR175" s="77" t="n"/>
      <c r="AS175" s="77" t="n"/>
      <c r="AT175" s="77" t="n"/>
      <c r="AU175" s="77" t="n"/>
      <c r="AV175" s="77" t="n"/>
      <c r="AW175" s="77" t="n"/>
      <c r="AX175" s="77" t="n"/>
      <c r="AY175" s="77" t="n"/>
      <c r="AZ175" s="77" t="n"/>
      <c r="BA175" s="77" t="n"/>
      <c r="BB175" s="77" t="n"/>
      <c r="BC175" s="77" t="n"/>
      <c r="BD175" s="77" t="n"/>
      <c r="BE175" s="77" t="n"/>
      <c r="BF175" s="77" t="n"/>
      <c r="BH175">
        <f>('Data Input'!C95-$A$1)*24</f>
        <v/>
      </c>
      <c r="BI175">
        <f>('Data Input'!D95-$A$1)*24</f>
        <v/>
      </c>
      <c r="BJ175" t="n">
        <v>1</v>
      </c>
      <c r="BO175" t="n">
        <v>-999</v>
      </c>
      <c r="BP175" t="n">
        <v>-999</v>
      </c>
    </row>
    <row r="176" ht="11.5" customHeight="1">
      <c r="A176" s="78" t="n"/>
      <c r="B176" s="78" t="n"/>
      <c r="C176" s="78" t="n"/>
      <c r="D176" s="78" t="n"/>
      <c r="E176" s="78" t="n"/>
      <c r="F176" s="78" t="n"/>
      <c r="G176" s="78" t="n"/>
      <c r="H176" s="78" t="n"/>
      <c r="I176" s="78" t="n"/>
      <c r="J176" s="76" t="inlineStr">
        <is>
          <t>A</t>
        </is>
      </c>
      <c r="K176" s="79" t="n"/>
      <c r="L176" s="79" t="n"/>
      <c r="M176" s="79" t="n"/>
      <c r="N176" s="79" t="n"/>
      <c r="O176" s="79" t="n"/>
      <c r="P176" s="79" t="n"/>
      <c r="Q176" s="79" t="n"/>
      <c r="R176" s="79" t="n"/>
      <c r="S176" s="79" t="n"/>
      <c r="T176" s="79" t="n"/>
      <c r="U176" s="79" t="n"/>
      <c r="V176" s="79" t="n"/>
      <c r="W176" s="79" t="n"/>
      <c r="X176" s="79" t="n"/>
      <c r="Y176" s="79" t="n"/>
      <c r="Z176" s="79" t="n"/>
      <c r="AA176" s="79" t="n"/>
      <c r="AB176" s="79" t="n"/>
      <c r="AC176" s="79" t="n"/>
      <c r="AD176" s="79" t="n"/>
      <c r="AE176" s="79" t="n"/>
      <c r="AF176" s="79" t="n"/>
      <c r="AG176" s="79" t="n"/>
      <c r="AH176" s="79" t="n"/>
      <c r="AI176" s="79" t="n"/>
      <c r="AJ176" s="79" t="n"/>
      <c r="AK176" s="79" t="n"/>
      <c r="AL176" s="79" t="n"/>
      <c r="AM176" s="79" t="n"/>
      <c r="AN176" s="79" t="n"/>
      <c r="AO176" s="79" t="n"/>
      <c r="AP176" s="79" t="n"/>
      <c r="AQ176" s="79" t="n"/>
      <c r="AR176" s="79" t="n"/>
      <c r="AS176" s="79" t="n"/>
      <c r="AT176" s="79" t="n"/>
      <c r="AU176" s="79" t="n"/>
      <c r="AV176" s="79" t="n"/>
      <c r="AW176" s="79" t="n"/>
      <c r="AX176" s="79" t="n"/>
      <c r="AY176" s="79" t="n"/>
      <c r="AZ176" s="79" t="n"/>
      <c r="BA176" s="79" t="n"/>
      <c r="BB176" s="79" t="n"/>
      <c r="BC176" s="79" t="n"/>
      <c r="BD176" s="79" t="n"/>
      <c r="BE176" s="79" t="n"/>
      <c r="BF176" s="79" t="n"/>
      <c r="BH176">
        <f>IF($BK176="",-999,($BK176-$A$1)*24)</f>
        <v/>
      </c>
      <c r="BI176">
        <f>IF($BK176="",-999,(IF($BL176&lt;&gt;"",$BL176,IF($C$1&gt;$BK176,$C$1,$BK176+MAX('Data Input'!E95*$BM176,0.5)/24))-$A$1)*24)</f>
        <v/>
      </c>
      <c r="BJ176">
        <f>IF($BK176="",0,IF($BM176&gt;=1,IF($BN176&lt;=0,2,3),IF($BN176&lt;=0,4,5)))</f>
        <v/>
      </c>
      <c r="BK176">
        <f>IF('Data Input'!Q95="","",'Data Input'!Q95)</f>
        <v/>
      </c>
      <c r="BL176">
        <f>IF('Data Input'!R95="","",'Data Input'!R95)</f>
        <v/>
      </c>
      <c r="BM176">
        <f>'Data Input'!S95</f>
        <v/>
      </c>
      <c r="BN176">
        <f>'Data Input'!Y95</f>
        <v/>
      </c>
      <c r="BO176">
        <f>IF($BM176&gt;=1,-999,MAX(($C$1-$A$1)*24,IF($BK176&lt;&gt;"",$BI176,$BP176-'Data Input'!E95)))</f>
        <v/>
      </c>
      <c r="BP176">
        <f>('Data Input'!D95+'Data Input'!Y95/24-$A$1)*24</f>
        <v/>
      </c>
    </row>
    <row r="177" ht="11.5" customHeight="1">
      <c r="A177" s="68">
        <f>'Data Input'!A96</f>
        <v/>
      </c>
      <c r="B177" s="69">
        <f>'Data Input'!B96</f>
        <v/>
      </c>
      <c r="C177" s="70">
        <f>'Data Input'!O96</f>
        <v/>
      </c>
      <c r="D177" s="71">
        <f>'Data Input'!D96</f>
        <v/>
      </c>
      <c r="E177" s="72">
        <f>'Data Input'!D96+'Data Input'!Y96/24</f>
        <v/>
      </c>
      <c r="F177" s="73">
        <f>'Data Input'!Y96</f>
        <v/>
      </c>
      <c r="G177" s="74">
        <f>'Data Input'!T96</f>
        <v/>
      </c>
      <c r="H177" s="75">
        <f>'Data Input'!S96</f>
        <v/>
      </c>
      <c r="I177" s="57" t="n"/>
      <c r="J177" s="76" t="inlineStr">
        <is>
          <t>P</t>
        </is>
      </c>
      <c r="K177" s="77" t="n"/>
      <c r="L177" s="77" t="n"/>
      <c r="M177" s="77" t="n"/>
      <c r="N177" s="77" t="n"/>
      <c r="O177" s="77" t="n"/>
      <c r="P177" s="77" t="n"/>
      <c r="Q177" s="77" t="n"/>
      <c r="R177" s="77" t="n"/>
      <c r="S177" s="77" t="n"/>
      <c r="T177" s="77" t="n"/>
      <c r="U177" s="77" t="n"/>
      <c r="V177" s="77" t="n"/>
      <c r="W177" s="77" t="n"/>
      <c r="X177" s="77" t="n"/>
      <c r="Y177" s="77" t="n"/>
      <c r="Z177" s="77" t="n"/>
      <c r="AA177" s="77" t="n"/>
      <c r="AB177" s="77" t="n"/>
      <c r="AC177" s="77" t="n"/>
      <c r="AD177" s="77" t="n"/>
      <c r="AE177" s="77" t="n"/>
      <c r="AF177" s="77" t="n"/>
      <c r="AG177" s="77" t="n"/>
      <c r="AH177" s="77" t="n"/>
      <c r="AI177" s="77" t="n"/>
      <c r="AJ177" s="77" t="n"/>
      <c r="AK177" s="77" t="n"/>
      <c r="AL177" s="77" t="n"/>
      <c r="AM177" s="77" t="n"/>
      <c r="AN177" s="77" t="n"/>
      <c r="AO177" s="77" t="n"/>
      <c r="AP177" s="77" t="n"/>
      <c r="AQ177" s="77" t="n"/>
      <c r="AR177" s="77" t="n"/>
      <c r="AS177" s="77" t="n"/>
      <c r="AT177" s="77" t="n"/>
      <c r="AU177" s="77" t="n"/>
      <c r="AV177" s="77" t="n"/>
      <c r="AW177" s="77" t="n"/>
      <c r="AX177" s="77" t="n"/>
      <c r="AY177" s="77" t="n"/>
      <c r="AZ177" s="77" t="n"/>
      <c r="BA177" s="77" t="n"/>
      <c r="BB177" s="77" t="n"/>
      <c r="BC177" s="77" t="n"/>
      <c r="BD177" s="77" t="n"/>
      <c r="BE177" s="77" t="n"/>
      <c r="BF177" s="77" t="n"/>
      <c r="BH177">
        <f>('Data Input'!C96-$A$1)*24</f>
        <v/>
      </c>
      <c r="BI177">
        <f>('Data Input'!D96-$A$1)*24</f>
        <v/>
      </c>
      <c r="BJ177" t="n">
        <v>1</v>
      </c>
      <c r="BO177" t="n">
        <v>-999</v>
      </c>
      <c r="BP177" t="n">
        <v>-999</v>
      </c>
    </row>
    <row r="178" ht="11.5" customHeight="1">
      <c r="A178" s="78" t="n"/>
      <c r="B178" s="78" t="n"/>
      <c r="C178" s="78" t="n"/>
      <c r="D178" s="78" t="n"/>
      <c r="E178" s="78" t="n"/>
      <c r="F178" s="78" t="n"/>
      <c r="G178" s="78" t="n"/>
      <c r="H178" s="78" t="n"/>
      <c r="I178" s="78" t="n"/>
      <c r="J178" s="76" t="inlineStr">
        <is>
          <t>A</t>
        </is>
      </c>
      <c r="K178" s="79" t="n"/>
      <c r="L178" s="79" t="n"/>
      <c r="M178" s="79" t="n"/>
      <c r="N178" s="79" t="n"/>
      <c r="O178" s="79" t="n"/>
      <c r="P178" s="79" t="n"/>
      <c r="Q178" s="79" t="n"/>
      <c r="R178" s="79" t="n"/>
      <c r="S178" s="79" t="n"/>
      <c r="T178" s="79" t="n"/>
      <c r="U178" s="79" t="n"/>
      <c r="V178" s="79" t="n"/>
      <c r="W178" s="79" t="n"/>
      <c r="X178" s="79" t="n"/>
      <c r="Y178" s="79" t="n"/>
      <c r="Z178" s="79" t="n"/>
      <c r="AA178" s="79" t="n"/>
      <c r="AB178" s="79" t="n"/>
      <c r="AC178" s="79" t="n"/>
      <c r="AD178" s="79" t="n"/>
      <c r="AE178" s="79" t="n"/>
      <c r="AF178" s="79" t="n"/>
      <c r="AG178" s="79" t="n"/>
      <c r="AH178" s="79" t="n"/>
      <c r="AI178" s="79" t="n"/>
      <c r="AJ178" s="79" t="n"/>
      <c r="AK178" s="79" t="n"/>
      <c r="AL178" s="79" t="n"/>
      <c r="AM178" s="79" t="n"/>
      <c r="AN178" s="79" t="n"/>
      <c r="AO178" s="79" t="n"/>
      <c r="AP178" s="79" t="n"/>
      <c r="AQ178" s="79" t="n"/>
      <c r="AR178" s="79" t="n"/>
      <c r="AS178" s="79" t="n"/>
      <c r="AT178" s="79" t="n"/>
      <c r="AU178" s="79" t="n"/>
      <c r="AV178" s="79" t="n"/>
      <c r="AW178" s="79" t="n"/>
      <c r="AX178" s="79" t="n"/>
      <c r="AY178" s="79" t="n"/>
      <c r="AZ178" s="79" t="n"/>
      <c r="BA178" s="79" t="n"/>
      <c r="BB178" s="79" t="n"/>
      <c r="BC178" s="79" t="n"/>
      <c r="BD178" s="79" t="n"/>
      <c r="BE178" s="79" t="n"/>
      <c r="BF178" s="79" t="n"/>
      <c r="BH178">
        <f>IF($BK178="",-999,($BK178-$A$1)*24)</f>
        <v/>
      </c>
      <c r="BI178">
        <f>IF($BK178="",-999,(IF($BL178&lt;&gt;"",$BL178,IF($C$1&gt;$BK178,$C$1,$BK178+MAX('Data Input'!E96*$BM178,0.5)/24))-$A$1)*24)</f>
        <v/>
      </c>
      <c r="BJ178">
        <f>IF($BK178="",0,IF($BM178&gt;=1,IF($BN178&lt;=0,2,3),IF($BN178&lt;=0,4,5)))</f>
        <v/>
      </c>
      <c r="BK178">
        <f>IF('Data Input'!Q96="","",'Data Input'!Q96)</f>
        <v/>
      </c>
      <c r="BL178">
        <f>IF('Data Input'!R96="","",'Data Input'!R96)</f>
        <v/>
      </c>
      <c r="BM178">
        <f>'Data Input'!S96</f>
        <v/>
      </c>
      <c r="BN178">
        <f>'Data Input'!Y96</f>
        <v/>
      </c>
      <c r="BO178">
        <f>IF($BM178&gt;=1,-999,MAX(($C$1-$A$1)*24,IF($BK178&lt;&gt;"",$BI178,$BP178-'Data Input'!E96)))</f>
        <v/>
      </c>
      <c r="BP178">
        <f>('Data Input'!D96+'Data Input'!Y96/24-$A$1)*24</f>
        <v/>
      </c>
    </row>
    <row r="179" ht="11.5" customHeight="1">
      <c r="A179" s="68">
        <f>'Data Input'!A97</f>
        <v/>
      </c>
      <c r="B179" s="69">
        <f>'Data Input'!B97</f>
        <v/>
      </c>
      <c r="C179" s="70">
        <f>'Data Input'!O97</f>
        <v/>
      </c>
      <c r="D179" s="71">
        <f>'Data Input'!D97</f>
        <v/>
      </c>
      <c r="E179" s="72">
        <f>'Data Input'!D97+'Data Input'!Y97/24</f>
        <v/>
      </c>
      <c r="F179" s="73">
        <f>'Data Input'!Y97</f>
        <v/>
      </c>
      <c r="G179" s="74">
        <f>'Data Input'!T97</f>
        <v/>
      </c>
      <c r="H179" s="75">
        <f>'Data Input'!S97</f>
        <v/>
      </c>
      <c r="I179" s="57" t="n"/>
      <c r="J179" s="76" t="inlineStr">
        <is>
          <t>P</t>
        </is>
      </c>
      <c r="K179" s="77" t="n"/>
      <c r="L179" s="77" t="n"/>
      <c r="M179" s="77" t="n"/>
      <c r="N179" s="77" t="n"/>
      <c r="O179" s="77" t="n"/>
      <c r="P179" s="77" t="n"/>
      <c r="Q179" s="77" t="n"/>
      <c r="R179" s="77" t="n"/>
      <c r="S179" s="77" t="n"/>
      <c r="T179" s="77" t="n"/>
      <c r="U179" s="77" t="n"/>
      <c r="V179" s="77" t="n"/>
      <c r="W179" s="77" t="n"/>
      <c r="X179" s="77" t="n"/>
      <c r="Y179" s="77" t="n"/>
      <c r="Z179" s="77" t="n"/>
      <c r="AA179" s="77" t="n"/>
      <c r="AB179" s="77" t="n"/>
      <c r="AC179" s="77" t="n"/>
      <c r="AD179" s="77" t="n"/>
      <c r="AE179" s="77" t="n"/>
      <c r="AF179" s="77" t="n"/>
      <c r="AG179" s="77" t="n"/>
      <c r="AH179" s="77" t="n"/>
      <c r="AI179" s="77" t="n"/>
      <c r="AJ179" s="77" t="n"/>
      <c r="AK179" s="77" t="n"/>
      <c r="AL179" s="77" t="n"/>
      <c r="AM179" s="77" t="n"/>
      <c r="AN179" s="77" t="n"/>
      <c r="AO179" s="77" t="n"/>
      <c r="AP179" s="77" t="n"/>
      <c r="AQ179" s="77" t="n"/>
      <c r="AR179" s="77" t="n"/>
      <c r="AS179" s="77" t="n"/>
      <c r="AT179" s="77" t="n"/>
      <c r="AU179" s="77" t="n"/>
      <c r="AV179" s="77" t="n"/>
      <c r="AW179" s="77" t="n"/>
      <c r="AX179" s="77" t="n"/>
      <c r="AY179" s="77" t="n"/>
      <c r="AZ179" s="77" t="n"/>
      <c r="BA179" s="77" t="n"/>
      <c r="BB179" s="77" t="n"/>
      <c r="BC179" s="77" t="n"/>
      <c r="BD179" s="77" t="n"/>
      <c r="BE179" s="77" t="n"/>
      <c r="BF179" s="77" t="n"/>
      <c r="BH179">
        <f>('Data Input'!C97-$A$1)*24</f>
        <v/>
      </c>
      <c r="BI179">
        <f>('Data Input'!D97-$A$1)*24</f>
        <v/>
      </c>
      <c r="BJ179" t="n">
        <v>1</v>
      </c>
      <c r="BO179" t="n">
        <v>-999</v>
      </c>
      <c r="BP179" t="n">
        <v>-999</v>
      </c>
    </row>
    <row r="180" ht="11.5" customHeight="1">
      <c r="A180" s="78" t="n"/>
      <c r="B180" s="78" t="n"/>
      <c r="C180" s="78" t="n"/>
      <c r="D180" s="78" t="n"/>
      <c r="E180" s="78" t="n"/>
      <c r="F180" s="78" t="n"/>
      <c r="G180" s="78" t="n"/>
      <c r="H180" s="78" t="n"/>
      <c r="I180" s="78" t="n"/>
      <c r="J180" s="76" t="inlineStr">
        <is>
          <t>A</t>
        </is>
      </c>
      <c r="K180" s="79" t="n"/>
      <c r="L180" s="79" t="n"/>
      <c r="M180" s="79" t="n"/>
      <c r="N180" s="79" t="n"/>
      <c r="O180" s="79" t="n"/>
      <c r="P180" s="79" t="n"/>
      <c r="Q180" s="79" t="n"/>
      <c r="R180" s="79" t="n"/>
      <c r="S180" s="79" t="n"/>
      <c r="T180" s="79" t="n"/>
      <c r="U180" s="79" t="n"/>
      <c r="V180" s="79" t="n"/>
      <c r="W180" s="79" t="n"/>
      <c r="X180" s="79" t="n"/>
      <c r="Y180" s="79" t="n"/>
      <c r="Z180" s="79" t="n"/>
      <c r="AA180" s="79" t="n"/>
      <c r="AB180" s="79" t="n"/>
      <c r="AC180" s="79" t="n"/>
      <c r="AD180" s="79" t="n"/>
      <c r="AE180" s="79" t="n"/>
      <c r="AF180" s="79" t="n"/>
      <c r="AG180" s="79" t="n"/>
      <c r="AH180" s="79" t="n"/>
      <c r="AI180" s="79" t="n"/>
      <c r="AJ180" s="79" t="n"/>
      <c r="AK180" s="79" t="n"/>
      <c r="AL180" s="79" t="n"/>
      <c r="AM180" s="79" t="n"/>
      <c r="AN180" s="79" t="n"/>
      <c r="AO180" s="79" t="n"/>
      <c r="AP180" s="79" t="n"/>
      <c r="AQ180" s="79" t="n"/>
      <c r="AR180" s="79" t="n"/>
      <c r="AS180" s="79" t="n"/>
      <c r="AT180" s="79" t="n"/>
      <c r="AU180" s="79" t="n"/>
      <c r="AV180" s="79" t="n"/>
      <c r="AW180" s="79" t="n"/>
      <c r="AX180" s="79" t="n"/>
      <c r="AY180" s="79" t="n"/>
      <c r="AZ180" s="79" t="n"/>
      <c r="BA180" s="79" t="n"/>
      <c r="BB180" s="79" t="n"/>
      <c r="BC180" s="79" t="n"/>
      <c r="BD180" s="79" t="n"/>
      <c r="BE180" s="79" t="n"/>
      <c r="BF180" s="79" t="n"/>
      <c r="BH180">
        <f>IF($BK180="",-999,($BK180-$A$1)*24)</f>
        <v/>
      </c>
      <c r="BI180">
        <f>IF($BK180="",-999,(IF($BL180&lt;&gt;"",$BL180,IF($C$1&gt;$BK180,$C$1,$BK180+MAX('Data Input'!E97*$BM180,0.5)/24))-$A$1)*24)</f>
        <v/>
      </c>
      <c r="BJ180">
        <f>IF($BK180="",0,IF($BM180&gt;=1,IF($BN180&lt;=0,2,3),IF($BN180&lt;=0,4,5)))</f>
        <v/>
      </c>
      <c r="BK180">
        <f>IF('Data Input'!Q97="","",'Data Input'!Q97)</f>
        <v/>
      </c>
      <c r="BL180">
        <f>IF('Data Input'!R97="","",'Data Input'!R97)</f>
        <v/>
      </c>
      <c r="BM180">
        <f>'Data Input'!S97</f>
        <v/>
      </c>
      <c r="BN180">
        <f>'Data Input'!Y97</f>
        <v/>
      </c>
      <c r="BO180">
        <f>IF($BM180&gt;=1,-999,MAX(($C$1-$A$1)*24,IF($BK180&lt;&gt;"",$BI180,$BP180-'Data Input'!E97)))</f>
        <v/>
      </c>
      <c r="BP180">
        <f>('Data Input'!D97+'Data Input'!Y97/24-$A$1)*24</f>
        <v/>
      </c>
    </row>
    <row r="181" ht="11.5" customHeight="1">
      <c r="A181" s="68">
        <f>'Data Input'!A98</f>
        <v/>
      </c>
      <c r="B181" s="69">
        <f>'Data Input'!B98</f>
        <v/>
      </c>
      <c r="C181" s="70">
        <f>'Data Input'!O98</f>
        <v/>
      </c>
      <c r="D181" s="71">
        <f>'Data Input'!D98</f>
        <v/>
      </c>
      <c r="E181" s="72">
        <f>'Data Input'!D98+'Data Input'!Y98/24</f>
        <v/>
      </c>
      <c r="F181" s="73">
        <f>'Data Input'!Y98</f>
        <v/>
      </c>
      <c r="G181" s="74">
        <f>'Data Input'!T98</f>
        <v/>
      </c>
      <c r="H181" s="75">
        <f>'Data Input'!S98</f>
        <v/>
      </c>
      <c r="I181" s="57" t="n"/>
      <c r="J181" s="76" t="inlineStr">
        <is>
          <t>P</t>
        </is>
      </c>
      <c r="K181" s="77" t="n"/>
      <c r="L181" s="77" t="n"/>
      <c r="M181" s="77" t="n"/>
      <c r="N181" s="77" t="n"/>
      <c r="O181" s="77" t="n"/>
      <c r="P181" s="77" t="n"/>
      <c r="Q181" s="77" t="n"/>
      <c r="R181" s="77" t="n"/>
      <c r="S181" s="77" t="n"/>
      <c r="T181" s="77" t="n"/>
      <c r="U181" s="77" t="n"/>
      <c r="V181" s="77" t="n"/>
      <c r="W181" s="77" t="n"/>
      <c r="X181" s="77" t="n"/>
      <c r="Y181" s="77" t="n"/>
      <c r="Z181" s="77" t="n"/>
      <c r="AA181" s="77" t="n"/>
      <c r="AB181" s="77" t="n"/>
      <c r="AC181" s="77" t="n"/>
      <c r="AD181" s="77" t="n"/>
      <c r="AE181" s="77" t="n"/>
      <c r="AF181" s="77" t="n"/>
      <c r="AG181" s="77" t="n"/>
      <c r="AH181" s="77" t="n"/>
      <c r="AI181" s="77" t="n"/>
      <c r="AJ181" s="77" t="n"/>
      <c r="AK181" s="77" t="n"/>
      <c r="AL181" s="77" t="n"/>
      <c r="AM181" s="77" t="n"/>
      <c r="AN181" s="77" t="n"/>
      <c r="AO181" s="77" t="n"/>
      <c r="AP181" s="77" t="n"/>
      <c r="AQ181" s="77" t="n"/>
      <c r="AR181" s="77" t="n"/>
      <c r="AS181" s="77" t="n"/>
      <c r="AT181" s="77" t="n"/>
      <c r="AU181" s="77" t="n"/>
      <c r="AV181" s="77" t="n"/>
      <c r="AW181" s="77" t="n"/>
      <c r="AX181" s="77" t="n"/>
      <c r="AY181" s="77" t="n"/>
      <c r="AZ181" s="77" t="n"/>
      <c r="BA181" s="77" t="n"/>
      <c r="BB181" s="77" t="n"/>
      <c r="BC181" s="77" t="n"/>
      <c r="BD181" s="77" t="n"/>
      <c r="BE181" s="77" t="n"/>
      <c r="BF181" s="77" t="n"/>
      <c r="BH181">
        <f>('Data Input'!C98-$A$1)*24</f>
        <v/>
      </c>
      <c r="BI181">
        <f>('Data Input'!D98-$A$1)*24</f>
        <v/>
      </c>
      <c r="BJ181" t="n">
        <v>1</v>
      </c>
      <c r="BO181" t="n">
        <v>-999</v>
      </c>
      <c r="BP181" t="n">
        <v>-999</v>
      </c>
    </row>
    <row r="182" ht="11.5" customHeight="1">
      <c r="A182" s="78" t="n"/>
      <c r="B182" s="78" t="n"/>
      <c r="C182" s="78" t="n"/>
      <c r="D182" s="78" t="n"/>
      <c r="E182" s="78" t="n"/>
      <c r="F182" s="78" t="n"/>
      <c r="G182" s="78" t="n"/>
      <c r="H182" s="78" t="n"/>
      <c r="I182" s="78" t="n"/>
      <c r="J182" s="76" t="inlineStr">
        <is>
          <t>A</t>
        </is>
      </c>
      <c r="K182" s="79" t="n"/>
      <c r="L182" s="79" t="n"/>
      <c r="M182" s="79" t="n"/>
      <c r="N182" s="79" t="n"/>
      <c r="O182" s="79" t="n"/>
      <c r="P182" s="79" t="n"/>
      <c r="Q182" s="79" t="n"/>
      <c r="R182" s="79" t="n"/>
      <c r="S182" s="79" t="n"/>
      <c r="T182" s="79" t="n"/>
      <c r="U182" s="79" t="n"/>
      <c r="V182" s="79" t="n"/>
      <c r="W182" s="79" t="n"/>
      <c r="X182" s="79" t="n"/>
      <c r="Y182" s="79" t="n"/>
      <c r="Z182" s="79" t="n"/>
      <c r="AA182" s="79" t="n"/>
      <c r="AB182" s="79" t="n"/>
      <c r="AC182" s="79" t="n"/>
      <c r="AD182" s="79" t="n"/>
      <c r="AE182" s="79" t="n"/>
      <c r="AF182" s="79" t="n"/>
      <c r="AG182" s="79" t="n"/>
      <c r="AH182" s="79" t="n"/>
      <c r="AI182" s="79" t="n"/>
      <c r="AJ182" s="79" t="n"/>
      <c r="AK182" s="79" t="n"/>
      <c r="AL182" s="79" t="n"/>
      <c r="AM182" s="79" t="n"/>
      <c r="AN182" s="79" t="n"/>
      <c r="AO182" s="79" t="n"/>
      <c r="AP182" s="79" t="n"/>
      <c r="AQ182" s="79" t="n"/>
      <c r="AR182" s="79" t="n"/>
      <c r="AS182" s="79" t="n"/>
      <c r="AT182" s="79" t="n"/>
      <c r="AU182" s="79" t="n"/>
      <c r="AV182" s="79" t="n"/>
      <c r="AW182" s="79" t="n"/>
      <c r="AX182" s="79" t="n"/>
      <c r="AY182" s="79" t="n"/>
      <c r="AZ182" s="79" t="n"/>
      <c r="BA182" s="79" t="n"/>
      <c r="BB182" s="79" t="n"/>
      <c r="BC182" s="79" t="n"/>
      <c r="BD182" s="79" t="n"/>
      <c r="BE182" s="79" t="n"/>
      <c r="BF182" s="79" t="n"/>
      <c r="BH182">
        <f>IF($BK182="",-999,($BK182-$A$1)*24)</f>
        <v/>
      </c>
      <c r="BI182">
        <f>IF($BK182="",-999,(IF($BL182&lt;&gt;"",$BL182,IF($C$1&gt;$BK182,$C$1,$BK182+MAX('Data Input'!E98*$BM182,0.5)/24))-$A$1)*24)</f>
        <v/>
      </c>
      <c r="BJ182">
        <f>IF($BK182="",0,IF($BM182&gt;=1,IF($BN182&lt;=0,2,3),IF($BN182&lt;=0,4,5)))</f>
        <v/>
      </c>
      <c r="BK182">
        <f>IF('Data Input'!Q98="","",'Data Input'!Q98)</f>
        <v/>
      </c>
      <c r="BL182">
        <f>IF('Data Input'!R98="","",'Data Input'!R98)</f>
        <v/>
      </c>
      <c r="BM182">
        <f>'Data Input'!S98</f>
        <v/>
      </c>
      <c r="BN182">
        <f>'Data Input'!Y98</f>
        <v/>
      </c>
      <c r="BO182">
        <f>IF($BM182&gt;=1,-999,MAX(($C$1-$A$1)*24,IF($BK182&lt;&gt;"",$BI182,$BP182-'Data Input'!E98)))</f>
        <v/>
      </c>
      <c r="BP182">
        <f>('Data Input'!D98+'Data Input'!Y98/24-$A$1)*24</f>
        <v/>
      </c>
    </row>
    <row r="183" ht="11.5" customHeight="1">
      <c r="A183" s="68">
        <f>'Data Input'!A99</f>
        <v/>
      </c>
      <c r="B183" s="69">
        <f>'Data Input'!B99</f>
        <v/>
      </c>
      <c r="C183" s="70">
        <f>'Data Input'!O99</f>
        <v/>
      </c>
      <c r="D183" s="71">
        <f>'Data Input'!D99</f>
        <v/>
      </c>
      <c r="E183" s="72">
        <f>'Data Input'!D99+'Data Input'!Y99/24</f>
        <v/>
      </c>
      <c r="F183" s="73">
        <f>'Data Input'!Y99</f>
        <v/>
      </c>
      <c r="G183" s="74">
        <f>'Data Input'!T99</f>
        <v/>
      </c>
      <c r="H183" s="75">
        <f>'Data Input'!S99</f>
        <v/>
      </c>
      <c r="I183" s="57" t="n"/>
      <c r="J183" s="76" t="inlineStr">
        <is>
          <t>P</t>
        </is>
      </c>
      <c r="K183" s="77" t="n"/>
      <c r="L183" s="77" t="n"/>
      <c r="M183" s="77" t="n"/>
      <c r="N183" s="77" t="n"/>
      <c r="O183" s="77" t="n"/>
      <c r="P183" s="77" t="n"/>
      <c r="Q183" s="77" t="n"/>
      <c r="R183" s="77" t="n"/>
      <c r="S183" s="77" t="n"/>
      <c r="T183" s="77" t="n"/>
      <c r="U183" s="77" t="n"/>
      <c r="V183" s="77" t="n"/>
      <c r="W183" s="77" t="n"/>
      <c r="X183" s="77" t="n"/>
      <c r="Y183" s="77" t="n"/>
      <c r="Z183" s="77" t="n"/>
      <c r="AA183" s="77" t="n"/>
      <c r="AB183" s="77" t="n"/>
      <c r="AC183" s="77" t="n"/>
      <c r="AD183" s="77" t="n"/>
      <c r="AE183" s="77" t="n"/>
      <c r="AF183" s="77" t="n"/>
      <c r="AG183" s="77" t="n"/>
      <c r="AH183" s="77" t="n"/>
      <c r="AI183" s="77" t="n"/>
      <c r="AJ183" s="77" t="n"/>
      <c r="AK183" s="77" t="n"/>
      <c r="AL183" s="77" t="n"/>
      <c r="AM183" s="77" t="n"/>
      <c r="AN183" s="77" t="n"/>
      <c r="AO183" s="77" t="n"/>
      <c r="AP183" s="77" t="n"/>
      <c r="AQ183" s="77" t="n"/>
      <c r="AR183" s="77" t="n"/>
      <c r="AS183" s="77" t="n"/>
      <c r="AT183" s="77" t="n"/>
      <c r="AU183" s="77" t="n"/>
      <c r="AV183" s="77" t="n"/>
      <c r="AW183" s="77" t="n"/>
      <c r="AX183" s="77" t="n"/>
      <c r="AY183" s="77" t="n"/>
      <c r="AZ183" s="77" t="n"/>
      <c r="BA183" s="77" t="n"/>
      <c r="BB183" s="77" t="n"/>
      <c r="BC183" s="77" t="n"/>
      <c r="BD183" s="77" t="n"/>
      <c r="BE183" s="77" t="n"/>
      <c r="BF183" s="77" t="n"/>
      <c r="BH183">
        <f>('Data Input'!C99-$A$1)*24</f>
        <v/>
      </c>
      <c r="BI183">
        <f>('Data Input'!D99-$A$1)*24</f>
        <v/>
      </c>
      <c r="BJ183" t="n">
        <v>1</v>
      </c>
      <c r="BO183" t="n">
        <v>-999</v>
      </c>
      <c r="BP183" t="n">
        <v>-999</v>
      </c>
    </row>
    <row r="184" ht="11.5" customHeight="1">
      <c r="A184" s="78" t="n"/>
      <c r="B184" s="78" t="n"/>
      <c r="C184" s="78" t="n"/>
      <c r="D184" s="78" t="n"/>
      <c r="E184" s="78" t="n"/>
      <c r="F184" s="78" t="n"/>
      <c r="G184" s="78" t="n"/>
      <c r="H184" s="78" t="n"/>
      <c r="I184" s="78" t="n"/>
      <c r="J184" s="76" t="inlineStr">
        <is>
          <t>A</t>
        </is>
      </c>
      <c r="K184" s="79" t="n"/>
      <c r="L184" s="79" t="n"/>
      <c r="M184" s="79" t="n"/>
      <c r="N184" s="79" t="n"/>
      <c r="O184" s="79" t="n"/>
      <c r="P184" s="79" t="n"/>
      <c r="Q184" s="79" t="n"/>
      <c r="R184" s="79" t="n"/>
      <c r="S184" s="79" t="n"/>
      <c r="T184" s="79" t="n"/>
      <c r="U184" s="79" t="n"/>
      <c r="V184" s="79" t="n"/>
      <c r="W184" s="79" t="n"/>
      <c r="X184" s="79" t="n"/>
      <c r="Y184" s="79" t="n"/>
      <c r="Z184" s="79" t="n"/>
      <c r="AA184" s="79" t="n"/>
      <c r="AB184" s="79" t="n"/>
      <c r="AC184" s="79" t="n"/>
      <c r="AD184" s="79" t="n"/>
      <c r="AE184" s="79" t="n"/>
      <c r="AF184" s="79" t="n"/>
      <c r="AG184" s="79" t="n"/>
      <c r="AH184" s="79" t="n"/>
      <c r="AI184" s="79" t="n"/>
      <c r="AJ184" s="79" t="n"/>
      <c r="AK184" s="79" t="n"/>
      <c r="AL184" s="79" t="n"/>
      <c r="AM184" s="79" t="n"/>
      <c r="AN184" s="79" t="n"/>
      <c r="AO184" s="79" t="n"/>
      <c r="AP184" s="79" t="n"/>
      <c r="AQ184" s="79" t="n"/>
      <c r="AR184" s="79" t="n"/>
      <c r="AS184" s="79" t="n"/>
      <c r="AT184" s="79" t="n"/>
      <c r="AU184" s="79" t="n"/>
      <c r="AV184" s="79" t="n"/>
      <c r="AW184" s="79" t="n"/>
      <c r="AX184" s="79" t="n"/>
      <c r="AY184" s="79" t="n"/>
      <c r="AZ184" s="79" t="n"/>
      <c r="BA184" s="79" t="n"/>
      <c r="BB184" s="79" t="n"/>
      <c r="BC184" s="79" t="n"/>
      <c r="BD184" s="79" t="n"/>
      <c r="BE184" s="79" t="n"/>
      <c r="BF184" s="79" t="n"/>
      <c r="BH184">
        <f>IF($BK184="",-999,($BK184-$A$1)*24)</f>
        <v/>
      </c>
      <c r="BI184">
        <f>IF($BK184="",-999,(IF($BL184&lt;&gt;"",$BL184,IF($C$1&gt;$BK184,$C$1,$BK184+MAX('Data Input'!E99*$BM184,0.5)/24))-$A$1)*24)</f>
        <v/>
      </c>
      <c r="BJ184">
        <f>IF($BK184="",0,IF($BM184&gt;=1,IF($BN184&lt;=0,2,3),IF($BN184&lt;=0,4,5)))</f>
        <v/>
      </c>
      <c r="BK184">
        <f>IF('Data Input'!Q99="","",'Data Input'!Q99)</f>
        <v/>
      </c>
      <c r="BL184">
        <f>IF('Data Input'!R99="","",'Data Input'!R99)</f>
        <v/>
      </c>
      <c r="BM184">
        <f>'Data Input'!S99</f>
        <v/>
      </c>
      <c r="BN184">
        <f>'Data Input'!Y99</f>
        <v/>
      </c>
      <c r="BO184">
        <f>IF($BM184&gt;=1,-999,MAX(($C$1-$A$1)*24,IF($BK184&lt;&gt;"",$BI184,$BP184-'Data Input'!E99)))</f>
        <v/>
      </c>
      <c r="BP184">
        <f>('Data Input'!D99+'Data Input'!Y99/24-$A$1)*24</f>
        <v/>
      </c>
    </row>
    <row r="185" ht="11.5" customHeight="1">
      <c r="A185" s="68">
        <f>'Data Input'!A100</f>
        <v/>
      </c>
      <c r="B185" s="69">
        <f>'Data Input'!B100</f>
        <v/>
      </c>
      <c r="C185" s="70">
        <f>'Data Input'!O100</f>
        <v/>
      </c>
      <c r="D185" s="71">
        <f>'Data Input'!D100</f>
        <v/>
      </c>
      <c r="E185" s="72">
        <f>'Data Input'!D100+'Data Input'!Y100/24</f>
        <v/>
      </c>
      <c r="F185" s="73">
        <f>'Data Input'!Y100</f>
        <v/>
      </c>
      <c r="G185" s="74">
        <f>'Data Input'!T100</f>
        <v/>
      </c>
      <c r="H185" s="75">
        <f>'Data Input'!S100</f>
        <v/>
      </c>
      <c r="I185" s="57" t="n"/>
      <c r="J185" s="76" t="inlineStr">
        <is>
          <t>P</t>
        </is>
      </c>
      <c r="K185" s="77" t="n"/>
      <c r="L185" s="77" t="n"/>
      <c r="M185" s="77" t="n"/>
      <c r="N185" s="77" t="n"/>
      <c r="O185" s="77" t="n"/>
      <c r="P185" s="77" t="n"/>
      <c r="Q185" s="77" t="n"/>
      <c r="R185" s="77" t="n"/>
      <c r="S185" s="77" t="n"/>
      <c r="T185" s="77" t="n"/>
      <c r="U185" s="77" t="n"/>
      <c r="V185" s="77" t="n"/>
      <c r="W185" s="77" t="n"/>
      <c r="X185" s="77" t="n"/>
      <c r="Y185" s="77" t="n"/>
      <c r="Z185" s="77" t="n"/>
      <c r="AA185" s="77" t="n"/>
      <c r="AB185" s="77" t="n"/>
      <c r="AC185" s="77" t="n"/>
      <c r="AD185" s="77" t="n"/>
      <c r="AE185" s="77" t="n"/>
      <c r="AF185" s="77" t="n"/>
      <c r="AG185" s="77" t="n"/>
      <c r="AH185" s="77" t="n"/>
      <c r="AI185" s="77" t="n"/>
      <c r="AJ185" s="77" t="n"/>
      <c r="AK185" s="77" t="n"/>
      <c r="AL185" s="77" t="n"/>
      <c r="AM185" s="77" t="n"/>
      <c r="AN185" s="77" t="n"/>
      <c r="AO185" s="77" t="n"/>
      <c r="AP185" s="77" t="n"/>
      <c r="AQ185" s="77" t="n"/>
      <c r="AR185" s="77" t="n"/>
      <c r="AS185" s="77" t="n"/>
      <c r="AT185" s="77" t="n"/>
      <c r="AU185" s="77" t="n"/>
      <c r="AV185" s="77" t="n"/>
      <c r="AW185" s="77" t="n"/>
      <c r="AX185" s="77" t="n"/>
      <c r="AY185" s="77" t="n"/>
      <c r="AZ185" s="77" t="n"/>
      <c r="BA185" s="77" t="n"/>
      <c r="BB185" s="77" t="n"/>
      <c r="BC185" s="77" t="n"/>
      <c r="BD185" s="77" t="n"/>
      <c r="BE185" s="77" t="n"/>
      <c r="BF185" s="77" t="n"/>
      <c r="BH185">
        <f>('Data Input'!C100-$A$1)*24</f>
        <v/>
      </c>
      <c r="BI185">
        <f>('Data Input'!D100-$A$1)*24</f>
        <v/>
      </c>
      <c r="BJ185" t="n">
        <v>1</v>
      </c>
      <c r="BO185" t="n">
        <v>-999</v>
      </c>
      <c r="BP185" t="n">
        <v>-999</v>
      </c>
    </row>
    <row r="186" ht="11.5" customHeight="1">
      <c r="A186" s="78" t="n"/>
      <c r="B186" s="78" t="n"/>
      <c r="C186" s="78" t="n"/>
      <c r="D186" s="78" t="n"/>
      <c r="E186" s="78" t="n"/>
      <c r="F186" s="78" t="n"/>
      <c r="G186" s="78" t="n"/>
      <c r="H186" s="78" t="n"/>
      <c r="I186" s="78" t="n"/>
      <c r="J186" s="76" t="inlineStr">
        <is>
          <t>A</t>
        </is>
      </c>
      <c r="K186" s="79" t="n"/>
      <c r="L186" s="79" t="n"/>
      <c r="M186" s="79" t="n"/>
      <c r="N186" s="79" t="n"/>
      <c r="O186" s="79" t="n"/>
      <c r="P186" s="79" t="n"/>
      <c r="Q186" s="79" t="n"/>
      <c r="R186" s="79" t="n"/>
      <c r="S186" s="79" t="n"/>
      <c r="T186" s="79" t="n"/>
      <c r="U186" s="79" t="n"/>
      <c r="V186" s="79" t="n"/>
      <c r="W186" s="79" t="n"/>
      <c r="X186" s="79" t="n"/>
      <c r="Y186" s="79" t="n"/>
      <c r="Z186" s="79" t="n"/>
      <c r="AA186" s="79" t="n"/>
      <c r="AB186" s="79" t="n"/>
      <c r="AC186" s="79" t="n"/>
      <c r="AD186" s="79" t="n"/>
      <c r="AE186" s="79" t="n"/>
      <c r="AF186" s="79" t="n"/>
      <c r="AG186" s="79" t="n"/>
      <c r="AH186" s="79" t="n"/>
      <c r="AI186" s="79" t="n"/>
      <c r="AJ186" s="79" t="n"/>
      <c r="AK186" s="79" t="n"/>
      <c r="AL186" s="79" t="n"/>
      <c r="AM186" s="79" t="n"/>
      <c r="AN186" s="79" t="n"/>
      <c r="AO186" s="79" t="n"/>
      <c r="AP186" s="79" t="n"/>
      <c r="AQ186" s="79" t="n"/>
      <c r="AR186" s="79" t="n"/>
      <c r="AS186" s="79" t="n"/>
      <c r="AT186" s="79" t="n"/>
      <c r="AU186" s="79" t="n"/>
      <c r="AV186" s="79" t="n"/>
      <c r="AW186" s="79" t="n"/>
      <c r="AX186" s="79" t="n"/>
      <c r="AY186" s="79" t="n"/>
      <c r="AZ186" s="79" t="n"/>
      <c r="BA186" s="79" t="n"/>
      <c r="BB186" s="79" t="n"/>
      <c r="BC186" s="79" t="n"/>
      <c r="BD186" s="79" t="n"/>
      <c r="BE186" s="79" t="n"/>
      <c r="BF186" s="79" t="n"/>
      <c r="BH186">
        <f>IF($BK186="",-999,($BK186-$A$1)*24)</f>
        <v/>
      </c>
      <c r="BI186">
        <f>IF($BK186="",-999,(IF($BL186&lt;&gt;"",$BL186,IF($C$1&gt;$BK186,$C$1,$BK186+MAX('Data Input'!E100*$BM186,0.5)/24))-$A$1)*24)</f>
        <v/>
      </c>
      <c r="BJ186">
        <f>IF($BK186="",0,IF($BM186&gt;=1,IF($BN186&lt;=0,2,3),IF($BN186&lt;=0,4,5)))</f>
        <v/>
      </c>
      <c r="BK186">
        <f>IF('Data Input'!Q100="","",'Data Input'!Q100)</f>
        <v/>
      </c>
      <c r="BL186">
        <f>IF('Data Input'!R100="","",'Data Input'!R100)</f>
        <v/>
      </c>
      <c r="BM186">
        <f>'Data Input'!S100</f>
        <v/>
      </c>
      <c r="BN186">
        <f>'Data Input'!Y100</f>
        <v/>
      </c>
      <c r="BO186">
        <f>IF($BM186&gt;=1,-999,MAX(($C$1-$A$1)*24,IF($BK186&lt;&gt;"",$BI186,$BP186-'Data Input'!E100)))</f>
        <v/>
      </c>
      <c r="BP186">
        <f>('Data Input'!D100+'Data Input'!Y100/24-$A$1)*24</f>
        <v/>
      </c>
    </row>
    <row r="187" ht="11.5" customHeight="1">
      <c r="A187" s="68">
        <f>'Data Input'!A101</f>
        <v/>
      </c>
      <c r="B187" s="69">
        <f>'Data Input'!B101</f>
        <v/>
      </c>
      <c r="C187" s="70">
        <f>'Data Input'!O101</f>
        <v/>
      </c>
      <c r="D187" s="71">
        <f>'Data Input'!D101</f>
        <v/>
      </c>
      <c r="E187" s="72">
        <f>'Data Input'!D101+'Data Input'!Y101/24</f>
        <v/>
      </c>
      <c r="F187" s="73">
        <f>'Data Input'!Y101</f>
        <v/>
      </c>
      <c r="G187" s="74">
        <f>'Data Input'!T101</f>
        <v/>
      </c>
      <c r="H187" s="75">
        <f>'Data Input'!S101</f>
        <v/>
      </c>
      <c r="I187" s="57" t="n"/>
      <c r="J187" s="76" t="inlineStr">
        <is>
          <t>P</t>
        </is>
      </c>
      <c r="K187" s="77" t="n"/>
      <c r="L187" s="77" t="n"/>
      <c r="M187" s="77" t="n"/>
      <c r="N187" s="77" t="n"/>
      <c r="O187" s="77" t="n"/>
      <c r="P187" s="77" t="n"/>
      <c r="Q187" s="77" t="n"/>
      <c r="R187" s="77" t="n"/>
      <c r="S187" s="77" t="n"/>
      <c r="T187" s="77" t="n"/>
      <c r="U187" s="77" t="n"/>
      <c r="V187" s="77" t="n"/>
      <c r="W187" s="77" t="n"/>
      <c r="X187" s="77" t="n"/>
      <c r="Y187" s="77" t="n"/>
      <c r="Z187" s="77" t="n"/>
      <c r="AA187" s="77" t="n"/>
      <c r="AB187" s="77" t="n"/>
      <c r="AC187" s="77" t="n"/>
      <c r="AD187" s="77" t="n"/>
      <c r="AE187" s="77" t="n"/>
      <c r="AF187" s="77" t="n"/>
      <c r="AG187" s="77" t="n"/>
      <c r="AH187" s="77" t="n"/>
      <c r="AI187" s="77" t="n"/>
      <c r="AJ187" s="77" t="n"/>
      <c r="AK187" s="77" t="n"/>
      <c r="AL187" s="77" t="n"/>
      <c r="AM187" s="77" t="n"/>
      <c r="AN187" s="77" t="n"/>
      <c r="AO187" s="77" t="n"/>
      <c r="AP187" s="77" t="n"/>
      <c r="AQ187" s="77" t="n"/>
      <c r="AR187" s="77" t="n"/>
      <c r="AS187" s="77" t="n"/>
      <c r="AT187" s="77" t="n"/>
      <c r="AU187" s="77" t="n"/>
      <c r="AV187" s="77" t="n"/>
      <c r="AW187" s="77" t="n"/>
      <c r="AX187" s="77" t="n"/>
      <c r="AY187" s="77" t="n"/>
      <c r="AZ187" s="77" t="n"/>
      <c r="BA187" s="77" t="n"/>
      <c r="BB187" s="77" t="n"/>
      <c r="BC187" s="77" t="n"/>
      <c r="BD187" s="77" t="n"/>
      <c r="BE187" s="77" t="n"/>
      <c r="BF187" s="77" t="n"/>
      <c r="BH187">
        <f>('Data Input'!C101-$A$1)*24</f>
        <v/>
      </c>
      <c r="BI187">
        <f>('Data Input'!D101-$A$1)*24</f>
        <v/>
      </c>
      <c r="BJ187" t="n">
        <v>1</v>
      </c>
      <c r="BO187" t="n">
        <v>-999</v>
      </c>
      <c r="BP187" t="n">
        <v>-999</v>
      </c>
    </row>
    <row r="188" ht="11.5" customHeight="1">
      <c r="A188" s="78" t="n"/>
      <c r="B188" s="78" t="n"/>
      <c r="C188" s="78" t="n"/>
      <c r="D188" s="78" t="n"/>
      <c r="E188" s="78" t="n"/>
      <c r="F188" s="78" t="n"/>
      <c r="G188" s="78" t="n"/>
      <c r="H188" s="78" t="n"/>
      <c r="I188" s="78" t="n"/>
      <c r="J188" s="76" t="inlineStr">
        <is>
          <t>A</t>
        </is>
      </c>
      <c r="K188" s="79" t="n"/>
      <c r="L188" s="79" t="n"/>
      <c r="M188" s="79" t="n"/>
      <c r="N188" s="79" t="n"/>
      <c r="O188" s="79" t="n"/>
      <c r="P188" s="79" t="n"/>
      <c r="Q188" s="79" t="n"/>
      <c r="R188" s="79" t="n"/>
      <c r="S188" s="79" t="n"/>
      <c r="T188" s="79" t="n"/>
      <c r="U188" s="79" t="n"/>
      <c r="V188" s="79" t="n"/>
      <c r="W188" s="79" t="n"/>
      <c r="X188" s="79" t="n"/>
      <c r="Y188" s="79" t="n"/>
      <c r="Z188" s="79" t="n"/>
      <c r="AA188" s="79" t="n"/>
      <c r="AB188" s="79" t="n"/>
      <c r="AC188" s="79" t="n"/>
      <c r="AD188" s="79" t="n"/>
      <c r="AE188" s="79" t="n"/>
      <c r="AF188" s="79" t="n"/>
      <c r="AG188" s="79" t="n"/>
      <c r="AH188" s="79" t="n"/>
      <c r="AI188" s="79" t="n"/>
      <c r="AJ188" s="79" t="n"/>
      <c r="AK188" s="79" t="n"/>
      <c r="AL188" s="79" t="n"/>
      <c r="AM188" s="79" t="n"/>
      <c r="AN188" s="79" t="n"/>
      <c r="AO188" s="79" t="n"/>
      <c r="AP188" s="79" t="n"/>
      <c r="AQ188" s="79" t="n"/>
      <c r="AR188" s="79" t="n"/>
      <c r="AS188" s="79" t="n"/>
      <c r="AT188" s="79" t="n"/>
      <c r="AU188" s="79" t="n"/>
      <c r="AV188" s="79" t="n"/>
      <c r="AW188" s="79" t="n"/>
      <c r="AX188" s="79" t="n"/>
      <c r="AY188" s="79" t="n"/>
      <c r="AZ188" s="79" t="n"/>
      <c r="BA188" s="79" t="n"/>
      <c r="BB188" s="79" t="n"/>
      <c r="BC188" s="79" t="n"/>
      <c r="BD188" s="79" t="n"/>
      <c r="BE188" s="79" t="n"/>
      <c r="BF188" s="79" t="n"/>
      <c r="BH188">
        <f>IF($BK188="",-999,($BK188-$A$1)*24)</f>
        <v/>
      </c>
      <c r="BI188">
        <f>IF($BK188="",-999,(IF($BL188&lt;&gt;"",$BL188,IF($C$1&gt;$BK188,$C$1,$BK188+MAX('Data Input'!E101*$BM188,0.5)/24))-$A$1)*24)</f>
        <v/>
      </c>
      <c r="BJ188">
        <f>IF($BK188="",0,IF($BM188&gt;=1,IF($BN188&lt;=0,2,3),IF($BN188&lt;=0,4,5)))</f>
        <v/>
      </c>
      <c r="BK188">
        <f>IF('Data Input'!Q101="","",'Data Input'!Q101)</f>
        <v/>
      </c>
      <c r="BL188">
        <f>IF('Data Input'!R101="","",'Data Input'!R101)</f>
        <v/>
      </c>
      <c r="BM188">
        <f>'Data Input'!S101</f>
        <v/>
      </c>
      <c r="BN188">
        <f>'Data Input'!Y101</f>
        <v/>
      </c>
      <c r="BO188">
        <f>IF($BM188&gt;=1,-999,MAX(($C$1-$A$1)*24,IF($BK188&lt;&gt;"",$BI188,$BP188-'Data Input'!E101)))</f>
        <v/>
      </c>
      <c r="BP188">
        <f>('Data Input'!D101+'Data Input'!Y101/24-$A$1)*24</f>
        <v/>
      </c>
    </row>
    <row r="189" ht="11.5" customHeight="1">
      <c r="A189" s="68">
        <f>'Data Input'!A102</f>
        <v/>
      </c>
      <c r="B189" s="69">
        <f>'Data Input'!B102</f>
        <v/>
      </c>
      <c r="C189" s="70">
        <f>'Data Input'!O102</f>
        <v/>
      </c>
      <c r="D189" s="71">
        <f>'Data Input'!D102</f>
        <v/>
      </c>
      <c r="E189" s="72">
        <f>'Data Input'!D102+'Data Input'!Y102/24</f>
        <v/>
      </c>
      <c r="F189" s="73">
        <f>'Data Input'!Y102</f>
        <v/>
      </c>
      <c r="G189" s="74">
        <f>'Data Input'!T102</f>
        <v/>
      </c>
      <c r="H189" s="75">
        <f>'Data Input'!S102</f>
        <v/>
      </c>
      <c r="I189" s="57" t="n"/>
      <c r="J189" s="76" t="inlineStr">
        <is>
          <t>P</t>
        </is>
      </c>
      <c r="K189" s="77" t="n"/>
      <c r="L189" s="77" t="n"/>
      <c r="M189" s="77" t="n"/>
      <c r="N189" s="77" t="n"/>
      <c r="O189" s="77" t="n"/>
      <c r="P189" s="77" t="n"/>
      <c r="Q189" s="77" t="n"/>
      <c r="R189" s="77" t="n"/>
      <c r="S189" s="77" t="n"/>
      <c r="T189" s="77" t="n"/>
      <c r="U189" s="77" t="n"/>
      <c r="V189" s="77" t="n"/>
      <c r="W189" s="77" t="n"/>
      <c r="X189" s="77" t="n"/>
      <c r="Y189" s="77" t="n"/>
      <c r="Z189" s="77" t="n"/>
      <c r="AA189" s="77" t="n"/>
      <c r="AB189" s="77" t="n"/>
      <c r="AC189" s="77" t="n"/>
      <c r="AD189" s="77" t="n"/>
      <c r="AE189" s="77" t="n"/>
      <c r="AF189" s="77" t="n"/>
      <c r="AG189" s="77" t="n"/>
      <c r="AH189" s="77" t="n"/>
      <c r="AI189" s="77" t="n"/>
      <c r="AJ189" s="77" t="n"/>
      <c r="AK189" s="77" t="n"/>
      <c r="AL189" s="77" t="n"/>
      <c r="AM189" s="77" t="n"/>
      <c r="AN189" s="77" t="n"/>
      <c r="AO189" s="77" t="n"/>
      <c r="AP189" s="77" t="n"/>
      <c r="AQ189" s="77" t="n"/>
      <c r="AR189" s="77" t="n"/>
      <c r="AS189" s="77" t="n"/>
      <c r="AT189" s="77" t="n"/>
      <c r="AU189" s="77" t="n"/>
      <c r="AV189" s="77" t="n"/>
      <c r="AW189" s="77" t="n"/>
      <c r="AX189" s="77" t="n"/>
      <c r="AY189" s="77" t="n"/>
      <c r="AZ189" s="77" t="n"/>
      <c r="BA189" s="77" t="n"/>
      <c r="BB189" s="77" t="n"/>
      <c r="BC189" s="77" t="n"/>
      <c r="BD189" s="77" t="n"/>
      <c r="BE189" s="77" t="n"/>
      <c r="BF189" s="77" t="n"/>
      <c r="BH189">
        <f>('Data Input'!C102-$A$1)*24</f>
        <v/>
      </c>
      <c r="BI189">
        <f>('Data Input'!D102-$A$1)*24</f>
        <v/>
      </c>
      <c r="BJ189" t="n">
        <v>1</v>
      </c>
      <c r="BO189" t="n">
        <v>-999</v>
      </c>
      <c r="BP189" t="n">
        <v>-999</v>
      </c>
    </row>
    <row r="190" ht="11.5" customHeight="1">
      <c r="A190" s="78" t="n"/>
      <c r="B190" s="78" t="n"/>
      <c r="C190" s="78" t="n"/>
      <c r="D190" s="78" t="n"/>
      <c r="E190" s="78" t="n"/>
      <c r="F190" s="78" t="n"/>
      <c r="G190" s="78" t="n"/>
      <c r="H190" s="78" t="n"/>
      <c r="I190" s="78" t="n"/>
      <c r="J190" s="76" t="inlineStr">
        <is>
          <t>A</t>
        </is>
      </c>
      <c r="K190" s="79" t="n"/>
      <c r="L190" s="79" t="n"/>
      <c r="M190" s="79" t="n"/>
      <c r="N190" s="79" t="n"/>
      <c r="O190" s="79" t="n"/>
      <c r="P190" s="79" t="n"/>
      <c r="Q190" s="79" t="n"/>
      <c r="R190" s="79" t="n"/>
      <c r="S190" s="79" t="n"/>
      <c r="T190" s="79" t="n"/>
      <c r="U190" s="79" t="n"/>
      <c r="V190" s="79" t="n"/>
      <c r="W190" s="79" t="n"/>
      <c r="X190" s="79" t="n"/>
      <c r="Y190" s="79" t="n"/>
      <c r="Z190" s="79" t="n"/>
      <c r="AA190" s="79" t="n"/>
      <c r="AB190" s="79" t="n"/>
      <c r="AC190" s="79" t="n"/>
      <c r="AD190" s="79" t="n"/>
      <c r="AE190" s="79" t="n"/>
      <c r="AF190" s="79" t="n"/>
      <c r="AG190" s="79" t="n"/>
      <c r="AH190" s="79" t="n"/>
      <c r="AI190" s="79" t="n"/>
      <c r="AJ190" s="79" t="n"/>
      <c r="AK190" s="79" t="n"/>
      <c r="AL190" s="79" t="n"/>
      <c r="AM190" s="79" t="n"/>
      <c r="AN190" s="79" t="n"/>
      <c r="AO190" s="79" t="n"/>
      <c r="AP190" s="79" t="n"/>
      <c r="AQ190" s="79" t="n"/>
      <c r="AR190" s="79" t="n"/>
      <c r="AS190" s="79" t="n"/>
      <c r="AT190" s="79" t="n"/>
      <c r="AU190" s="79" t="n"/>
      <c r="AV190" s="79" t="n"/>
      <c r="AW190" s="79" t="n"/>
      <c r="AX190" s="79" t="n"/>
      <c r="AY190" s="79" t="n"/>
      <c r="AZ190" s="79" t="n"/>
      <c r="BA190" s="79" t="n"/>
      <c r="BB190" s="79" t="n"/>
      <c r="BC190" s="79" t="n"/>
      <c r="BD190" s="79" t="n"/>
      <c r="BE190" s="79" t="n"/>
      <c r="BF190" s="79" t="n"/>
      <c r="BH190">
        <f>IF($BK190="",-999,($BK190-$A$1)*24)</f>
        <v/>
      </c>
      <c r="BI190">
        <f>IF($BK190="",-999,(IF($BL190&lt;&gt;"",$BL190,IF($C$1&gt;$BK190,$C$1,$BK190+MAX('Data Input'!E102*$BM190,0.5)/24))-$A$1)*24)</f>
        <v/>
      </c>
      <c r="BJ190">
        <f>IF($BK190="",0,IF($BM190&gt;=1,IF($BN190&lt;=0,2,3),IF($BN190&lt;=0,4,5)))</f>
        <v/>
      </c>
      <c r="BK190">
        <f>IF('Data Input'!Q102="","",'Data Input'!Q102)</f>
        <v/>
      </c>
      <c r="BL190">
        <f>IF('Data Input'!R102="","",'Data Input'!R102)</f>
        <v/>
      </c>
      <c r="BM190">
        <f>'Data Input'!S102</f>
        <v/>
      </c>
      <c r="BN190">
        <f>'Data Input'!Y102</f>
        <v/>
      </c>
      <c r="BO190">
        <f>IF($BM190&gt;=1,-999,MAX(($C$1-$A$1)*24,IF($BK190&lt;&gt;"",$BI190,$BP190-'Data Input'!E102)))</f>
        <v/>
      </c>
      <c r="BP190">
        <f>('Data Input'!D102+'Data Input'!Y102/24-$A$1)*24</f>
        <v/>
      </c>
    </row>
    <row r="191" ht="11.5" customHeight="1">
      <c r="A191" s="68">
        <f>'Data Input'!A103</f>
        <v/>
      </c>
      <c r="B191" s="69">
        <f>'Data Input'!B103</f>
        <v/>
      </c>
      <c r="C191" s="70">
        <f>'Data Input'!O103</f>
        <v/>
      </c>
      <c r="D191" s="71">
        <f>'Data Input'!D103</f>
        <v/>
      </c>
      <c r="E191" s="72">
        <f>'Data Input'!D103+'Data Input'!Y103/24</f>
        <v/>
      </c>
      <c r="F191" s="73">
        <f>'Data Input'!Y103</f>
        <v/>
      </c>
      <c r="G191" s="74">
        <f>'Data Input'!T103</f>
        <v/>
      </c>
      <c r="H191" s="75">
        <f>'Data Input'!S103</f>
        <v/>
      </c>
      <c r="I191" s="57" t="n"/>
      <c r="J191" s="76" t="inlineStr">
        <is>
          <t>P</t>
        </is>
      </c>
      <c r="K191" s="77" t="n"/>
      <c r="L191" s="77" t="n"/>
      <c r="M191" s="77" t="n"/>
      <c r="N191" s="77" t="n"/>
      <c r="O191" s="77" t="n"/>
      <c r="P191" s="77" t="n"/>
      <c r="Q191" s="77" t="n"/>
      <c r="R191" s="77" t="n"/>
      <c r="S191" s="77" t="n"/>
      <c r="T191" s="77" t="n"/>
      <c r="U191" s="77" t="n"/>
      <c r="V191" s="77" t="n"/>
      <c r="W191" s="77" t="n"/>
      <c r="X191" s="77" t="n"/>
      <c r="Y191" s="77" t="n"/>
      <c r="Z191" s="77" t="n"/>
      <c r="AA191" s="77" t="n"/>
      <c r="AB191" s="77" t="n"/>
      <c r="AC191" s="77" t="n"/>
      <c r="AD191" s="77" t="n"/>
      <c r="AE191" s="77" t="n"/>
      <c r="AF191" s="77" t="n"/>
      <c r="AG191" s="77" t="n"/>
      <c r="AH191" s="77" t="n"/>
      <c r="AI191" s="77" t="n"/>
      <c r="AJ191" s="77" t="n"/>
      <c r="AK191" s="77" t="n"/>
      <c r="AL191" s="77" t="n"/>
      <c r="AM191" s="77" t="n"/>
      <c r="AN191" s="77" t="n"/>
      <c r="AO191" s="77" t="n"/>
      <c r="AP191" s="77" t="n"/>
      <c r="AQ191" s="77" t="n"/>
      <c r="AR191" s="77" t="n"/>
      <c r="AS191" s="77" t="n"/>
      <c r="AT191" s="77" t="n"/>
      <c r="AU191" s="77" t="n"/>
      <c r="AV191" s="77" t="n"/>
      <c r="AW191" s="77" t="n"/>
      <c r="AX191" s="77" t="n"/>
      <c r="AY191" s="77" t="n"/>
      <c r="AZ191" s="77" t="n"/>
      <c r="BA191" s="77" t="n"/>
      <c r="BB191" s="77" t="n"/>
      <c r="BC191" s="77" t="n"/>
      <c r="BD191" s="77" t="n"/>
      <c r="BE191" s="77" t="n"/>
      <c r="BF191" s="77" t="n"/>
      <c r="BH191">
        <f>('Data Input'!C103-$A$1)*24</f>
        <v/>
      </c>
      <c r="BI191">
        <f>('Data Input'!D103-$A$1)*24</f>
        <v/>
      </c>
      <c r="BJ191" t="n">
        <v>1</v>
      </c>
      <c r="BO191" t="n">
        <v>-999</v>
      </c>
      <c r="BP191" t="n">
        <v>-999</v>
      </c>
    </row>
    <row r="192" ht="11.5" customHeight="1">
      <c r="A192" s="78" t="n"/>
      <c r="B192" s="78" t="n"/>
      <c r="C192" s="78" t="n"/>
      <c r="D192" s="78" t="n"/>
      <c r="E192" s="78" t="n"/>
      <c r="F192" s="78" t="n"/>
      <c r="G192" s="78" t="n"/>
      <c r="H192" s="78" t="n"/>
      <c r="I192" s="78" t="n"/>
      <c r="J192" s="76" t="inlineStr">
        <is>
          <t>A</t>
        </is>
      </c>
      <c r="K192" s="79" t="n"/>
      <c r="L192" s="79" t="n"/>
      <c r="M192" s="79" t="n"/>
      <c r="N192" s="79" t="n"/>
      <c r="O192" s="79" t="n"/>
      <c r="P192" s="79" t="n"/>
      <c r="Q192" s="79" t="n"/>
      <c r="R192" s="79" t="n"/>
      <c r="S192" s="79" t="n"/>
      <c r="T192" s="79" t="n"/>
      <c r="U192" s="79" t="n"/>
      <c r="V192" s="79" t="n"/>
      <c r="W192" s="79" t="n"/>
      <c r="X192" s="79" t="n"/>
      <c r="Y192" s="79" t="n"/>
      <c r="Z192" s="79" t="n"/>
      <c r="AA192" s="79" t="n"/>
      <c r="AB192" s="79" t="n"/>
      <c r="AC192" s="79" t="n"/>
      <c r="AD192" s="79" t="n"/>
      <c r="AE192" s="79" t="n"/>
      <c r="AF192" s="79" t="n"/>
      <c r="AG192" s="79" t="n"/>
      <c r="AH192" s="79" t="n"/>
      <c r="AI192" s="79" t="n"/>
      <c r="AJ192" s="79" t="n"/>
      <c r="AK192" s="79" t="n"/>
      <c r="AL192" s="79" t="n"/>
      <c r="AM192" s="79" t="n"/>
      <c r="AN192" s="79" t="n"/>
      <c r="AO192" s="79" t="n"/>
      <c r="AP192" s="79" t="n"/>
      <c r="AQ192" s="79" t="n"/>
      <c r="AR192" s="79" t="n"/>
      <c r="AS192" s="79" t="n"/>
      <c r="AT192" s="79" t="n"/>
      <c r="AU192" s="79" t="n"/>
      <c r="AV192" s="79" t="n"/>
      <c r="AW192" s="79" t="n"/>
      <c r="AX192" s="79" t="n"/>
      <c r="AY192" s="79" t="n"/>
      <c r="AZ192" s="79" t="n"/>
      <c r="BA192" s="79" t="n"/>
      <c r="BB192" s="79" t="n"/>
      <c r="BC192" s="79" t="n"/>
      <c r="BD192" s="79" t="n"/>
      <c r="BE192" s="79" t="n"/>
      <c r="BF192" s="79" t="n"/>
      <c r="BH192">
        <f>IF($BK192="",-999,($BK192-$A$1)*24)</f>
        <v/>
      </c>
      <c r="BI192">
        <f>IF($BK192="",-999,(IF($BL192&lt;&gt;"",$BL192,IF($C$1&gt;$BK192,$C$1,$BK192+MAX('Data Input'!E103*$BM192,0.5)/24))-$A$1)*24)</f>
        <v/>
      </c>
      <c r="BJ192">
        <f>IF($BK192="",0,IF($BM192&gt;=1,IF($BN192&lt;=0,2,3),IF($BN192&lt;=0,4,5)))</f>
        <v/>
      </c>
      <c r="BK192">
        <f>IF('Data Input'!Q103="","",'Data Input'!Q103)</f>
        <v/>
      </c>
      <c r="BL192">
        <f>IF('Data Input'!R103="","",'Data Input'!R103)</f>
        <v/>
      </c>
      <c r="BM192">
        <f>'Data Input'!S103</f>
        <v/>
      </c>
      <c r="BN192">
        <f>'Data Input'!Y103</f>
        <v/>
      </c>
      <c r="BO192">
        <f>IF($BM192&gt;=1,-999,MAX(($C$1-$A$1)*24,IF($BK192&lt;&gt;"",$BI192,$BP192-'Data Input'!E103)))</f>
        <v/>
      </c>
      <c r="BP192">
        <f>('Data Input'!D103+'Data Input'!Y103/24-$A$1)*24</f>
        <v/>
      </c>
    </row>
    <row r="193" ht="11.5" customHeight="1">
      <c r="A193" s="68">
        <f>'Data Input'!A104</f>
        <v/>
      </c>
      <c r="B193" s="69">
        <f>'Data Input'!B104</f>
        <v/>
      </c>
      <c r="C193" s="70">
        <f>'Data Input'!O104</f>
        <v/>
      </c>
      <c r="D193" s="71">
        <f>'Data Input'!D104</f>
        <v/>
      </c>
      <c r="E193" s="72">
        <f>'Data Input'!D104+'Data Input'!Y104/24</f>
        <v/>
      </c>
      <c r="F193" s="73">
        <f>'Data Input'!Y104</f>
        <v/>
      </c>
      <c r="G193" s="74">
        <f>'Data Input'!T104</f>
        <v/>
      </c>
      <c r="H193" s="75">
        <f>'Data Input'!S104</f>
        <v/>
      </c>
      <c r="I193" s="57" t="n"/>
      <c r="J193" s="76" t="inlineStr">
        <is>
          <t>P</t>
        </is>
      </c>
      <c r="K193" s="77" t="n"/>
      <c r="L193" s="77" t="n"/>
      <c r="M193" s="77" t="n"/>
      <c r="N193" s="77" t="n"/>
      <c r="O193" s="77" t="n"/>
      <c r="P193" s="77" t="n"/>
      <c r="Q193" s="77" t="n"/>
      <c r="R193" s="77" t="n"/>
      <c r="S193" s="77" t="n"/>
      <c r="T193" s="77" t="n"/>
      <c r="U193" s="77" t="n"/>
      <c r="V193" s="77" t="n"/>
      <c r="W193" s="77" t="n"/>
      <c r="X193" s="77" t="n"/>
      <c r="Y193" s="77" t="n"/>
      <c r="Z193" s="77" t="n"/>
      <c r="AA193" s="77" t="n"/>
      <c r="AB193" s="77" t="n"/>
      <c r="AC193" s="77" t="n"/>
      <c r="AD193" s="77" t="n"/>
      <c r="AE193" s="77" t="n"/>
      <c r="AF193" s="77" t="n"/>
      <c r="AG193" s="77" t="n"/>
      <c r="AH193" s="77" t="n"/>
      <c r="AI193" s="77" t="n"/>
      <c r="AJ193" s="77" t="n"/>
      <c r="AK193" s="77" t="n"/>
      <c r="AL193" s="77" t="n"/>
      <c r="AM193" s="77" t="n"/>
      <c r="AN193" s="77" t="n"/>
      <c r="AO193" s="77" t="n"/>
      <c r="AP193" s="77" t="n"/>
      <c r="AQ193" s="77" t="n"/>
      <c r="AR193" s="77" t="n"/>
      <c r="AS193" s="77" t="n"/>
      <c r="AT193" s="77" t="n"/>
      <c r="AU193" s="77" t="n"/>
      <c r="AV193" s="77" t="n"/>
      <c r="AW193" s="77" t="n"/>
      <c r="AX193" s="77" t="n"/>
      <c r="AY193" s="77" t="n"/>
      <c r="AZ193" s="77" t="n"/>
      <c r="BA193" s="77" t="n"/>
      <c r="BB193" s="77" t="n"/>
      <c r="BC193" s="77" t="n"/>
      <c r="BD193" s="77" t="n"/>
      <c r="BE193" s="77" t="n"/>
      <c r="BF193" s="77" t="n"/>
      <c r="BH193">
        <f>('Data Input'!C104-$A$1)*24</f>
        <v/>
      </c>
      <c r="BI193">
        <f>('Data Input'!D104-$A$1)*24</f>
        <v/>
      </c>
      <c r="BJ193" t="n">
        <v>1</v>
      </c>
      <c r="BO193" t="n">
        <v>-999</v>
      </c>
      <c r="BP193" t="n">
        <v>-999</v>
      </c>
    </row>
    <row r="194" ht="11.5" customHeight="1">
      <c r="A194" s="78" t="n"/>
      <c r="B194" s="78" t="n"/>
      <c r="C194" s="78" t="n"/>
      <c r="D194" s="78" t="n"/>
      <c r="E194" s="78" t="n"/>
      <c r="F194" s="78" t="n"/>
      <c r="G194" s="78" t="n"/>
      <c r="H194" s="78" t="n"/>
      <c r="I194" s="78" t="n"/>
      <c r="J194" s="76" t="inlineStr">
        <is>
          <t>A</t>
        </is>
      </c>
      <c r="K194" s="79" t="n"/>
      <c r="L194" s="79" t="n"/>
      <c r="M194" s="79" t="n"/>
      <c r="N194" s="79" t="n"/>
      <c r="O194" s="79" t="n"/>
      <c r="P194" s="79" t="n"/>
      <c r="Q194" s="79" t="n"/>
      <c r="R194" s="79" t="n"/>
      <c r="S194" s="79" t="n"/>
      <c r="T194" s="79" t="n"/>
      <c r="U194" s="79" t="n"/>
      <c r="V194" s="79" t="n"/>
      <c r="W194" s="79" t="n"/>
      <c r="X194" s="79" t="n"/>
      <c r="Y194" s="79" t="n"/>
      <c r="Z194" s="79" t="n"/>
      <c r="AA194" s="79" t="n"/>
      <c r="AB194" s="79" t="n"/>
      <c r="AC194" s="79" t="n"/>
      <c r="AD194" s="79" t="n"/>
      <c r="AE194" s="79" t="n"/>
      <c r="AF194" s="79" t="n"/>
      <c r="AG194" s="79" t="n"/>
      <c r="AH194" s="79" t="n"/>
      <c r="AI194" s="79" t="n"/>
      <c r="AJ194" s="79" t="n"/>
      <c r="AK194" s="79" t="n"/>
      <c r="AL194" s="79" t="n"/>
      <c r="AM194" s="79" t="n"/>
      <c r="AN194" s="79" t="n"/>
      <c r="AO194" s="79" t="n"/>
      <c r="AP194" s="79" t="n"/>
      <c r="AQ194" s="79" t="n"/>
      <c r="AR194" s="79" t="n"/>
      <c r="AS194" s="79" t="n"/>
      <c r="AT194" s="79" t="n"/>
      <c r="AU194" s="79" t="n"/>
      <c r="AV194" s="79" t="n"/>
      <c r="AW194" s="79" t="n"/>
      <c r="AX194" s="79" t="n"/>
      <c r="AY194" s="79" t="n"/>
      <c r="AZ194" s="79" t="n"/>
      <c r="BA194" s="79" t="n"/>
      <c r="BB194" s="79" t="n"/>
      <c r="BC194" s="79" t="n"/>
      <c r="BD194" s="79" t="n"/>
      <c r="BE194" s="79" t="n"/>
      <c r="BF194" s="79" t="n"/>
      <c r="BH194">
        <f>IF($BK194="",-999,($BK194-$A$1)*24)</f>
        <v/>
      </c>
      <c r="BI194">
        <f>IF($BK194="",-999,(IF($BL194&lt;&gt;"",$BL194,IF($C$1&gt;$BK194,$C$1,$BK194+MAX('Data Input'!E104*$BM194,0.5)/24))-$A$1)*24)</f>
        <v/>
      </c>
      <c r="BJ194">
        <f>IF($BK194="",0,IF($BM194&gt;=1,IF($BN194&lt;=0,2,3),IF($BN194&lt;=0,4,5)))</f>
        <v/>
      </c>
      <c r="BK194">
        <f>IF('Data Input'!Q104="","",'Data Input'!Q104)</f>
        <v/>
      </c>
      <c r="BL194">
        <f>IF('Data Input'!R104="","",'Data Input'!R104)</f>
        <v/>
      </c>
      <c r="BM194">
        <f>'Data Input'!S104</f>
        <v/>
      </c>
      <c r="BN194">
        <f>'Data Input'!Y104</f>
        <v/>
      </c>
      <c r="BO194">
        <f>IF($BM194&gt;=1,-999,MAX(($C$1-$A$1)*24,IF($BK194&lt;&gt;"",$BI194,$BP194-'Data Input'!E104)))</f>
        <v/>
      </c>
      <c r="BP194">
        <f>('Data Input'!D104+'Data Input'!Y104/24-$A$1)*24</f>
        <v/>
      </c>
    </row>
    <row r="195" ht="11.5" customHeight="1">
      <c r="A195" s="68">
        <f>'Data Input'!A105</f>
        <v/>
      </c>
      <c r="B195" s="69">
        <f>'Data Input'!B105</f>
        <v/>
      </c>
      <c r="C195" s="70">
        <f>'Data Input'!O105</f>
        <v/>
      </c>
      <c r="D195" s="71">
        <f>'Data Input'!D105</f>
        <v/>
      </c>
      <c r="E195" s="72">
        <f>'Data Input'!D105+'Data Input'!Y105/24</f>
        <v/>
      </c>
      <c r="F195" s="73">
        <f>'Data Input'!Y105</f>
        <v/>
      </c>
      <c r="G195" s="74">
        <f>'Data Input'!T105</f>
        <v/>
      </c>
      <c r="H195" s="75">
        <f>'Data Input'!S105</f>
        <v/>
      </c>
      <c r="I195" s="57" t="n"/>
      <c r="J195" s="76" t="inlineStr">
        <is>
          <t>P</t>
        </is>
      </c>
      <c r="K195" s="77" t="n"/>
      <c r="L195" s="77" t="n"/>
      <c r="M195" s="77" t="n"/>
      <c r="N195" s="77" t="n"/>
      <c r="O195" s="77" t="n"/>
      <c r="P195" s="77" t="n"/>
      <c r="Q195" s="77" t="n"/>
      <c r="R195" s="77" t="n"/>
      <c r="S195" s="77" t="n"/>
      <c r="T195" s="77" t="n"/>
      <c r="U195" s="77" t="n"/>
      <c r="V195" s="77" t="n"/>
      <c r="W195" s="77" t="n"/>
      <c r="X195" s="77" t="n"/>
      <c r="Y195" s="77" t="n"/>
      <c r="Z195" s="77" t="n"/>
      <c r="AA195" s="77" t="n"/>
      <c r="AB195" s="77" t="n"/>
      <c r="AC195" s="77" t="n"/>
      <c r="AD195" s="77" t="n"/>
      <c r="AE195" s="77" t="n"/>
      <c r="AF195" s="77" t="n"/>
      <c r="AG195" s="77" t="n"/>
      <c r="AH195" s="77" t="n"/>
      <c r="AI195" s="77" t="n"/>
      <c r="AJ195" s="77" t="n"/>
      <c r="AK195" s="77" t="n"/>
      <c r="AL195" s="77" t="n"/>
      <c r="AM195" s="77" t="n"/>
      <c r="AN195" s="77" t="n"/>
      <c r="AO195" s="77" t="n"/>
      <c r="AP195" s="77" t="n"/>
      <c r="AQ195" s="77" t="n"/>
      <c r="AR195" s="77" t="n"/>
      <c r="AS195" s="77" t="n"/>
      <c r="AT195" s="77" t="n"/>
      <c r="AU195" s="77" t="n"/>
      <c r="AV195" s="77" t="n"/>
      <c r="AW195" s="77" t="n"/>
      <c r="AX195" s="77" t="n"/>
      <c r="AY195" s="77" t="n"/>
      <c r="AZ195" s="77" t="n"/>
      <c r="BA195" s="77" t="n"/>
      <c r="BB195" s="77" t="n"/>
      <c r="BC195" s="77" t="n"/>
      <c r="BD195" s="77" t="n"/>
      <c r="BE195" s="77" t="n"/>
      <c r="BF195" s="77" t="n"/>
      <c r="BH195">
        <f>('Data Input'!C105-$A$1)*24</f>
        <v/>
      </c>
      <c r="BI195">
        <f>('Data Input'!D105-$A$1)*24</f>
        <v/>
      </c>
      <c r="BJ195" t="n">
        <v>1</v>
      </c>
      <c r="BO195" t="n">
        <v>-999</v>
      </c>
      <c r="BP195" t="n">
        <v>-999</v>
      </c>
    </row>
    <row r="196" ht="11.5" customHeight="1">
      <c r="A196" s="78" t="n"/>
      <c r="B196" s="78" t="n"/>
      <c r="C196" s="78" t="n"/>
      <c r="D196" s="78" t="n"/>
      <c r="E196" s="78" t="n"/>
      <c r="F196" s="78" t="n"/>
      <c r="G196" s="78" t="n"/>
      <c r="H196" s="78" t="n"/>
      <c r="I196" s="78" t="n"/>
      <c r="J196" s="76" t="inlineStr">
        <is>
          <t>A</t>
        </is>
      </c>
      <c r="K196" s="79" t="n"/>
      <c r="L196" s="79" t="n"/>
      <c r="M196" s="79" t="n"/>
      <c r="N196" s="79" t="n"/>
      <c r="O196" s="79" t="n"/>
      <c r="P196" s="79" t="n"/>
      <c r="Q196" s="79" t="n"/>
      <c r="R196" s="79" t="n"/>
      <c r="S196" s="79" t="n"/>
      <c r="T196" s="79" t="n"/>
      <c r="U196" s="79" t="n"/>
      <c r="V196" s="79" t="n"/>
      <c r="W196" s="79" t="n"/>
      <c r="X196" s="79" t="n"/>
      <c r="Y196" s="79" t="n"/>
      <c r="Z196" s="79" t="n"/>
      <c r="AA196" s="79" t="n"/>
      <c r="AB196" s="79" t="n"/>
      <c r="AC196" s="79" t="n"/>
      <c r="AD196" s="79" t="n"/>
      <c r="AE196" s="79" t="n"/>
      <c r="AF196" s="79" t="n"/>
      <c r="AG196" s="79" t="n"/>
      <c r="AH196" s="79" t="n"/>
      <c r="AI196" s="79" t="n"/>
      <c r="AJ196" s="79" t="n"/>
      <c r="AK196" s="79" t="n"/>
      <c r="AL196" s="79" t="n"/>
      <c r="AM196" s="79" t="n"/>
      <c r="AN196" s="79" t="n"/>
      <c r="AO196" s="79" t="n"/>
      <c r="AP196" s="79" t="n"/>
      <c r="AQ196" s="79" t="n"/>
      <c r="AR196" s="79" t="n"/>
      <c r="AS196" s="79" t="n"/>
      <c r="AT196" s="79" t="n"/>
      <c r="AU196" s="79" t="n"/>
      <c r="AV196" s="79" t="n"/>
      <c r="AW196" s="79" t="n"/>
      <c r="AX196" s="79" t="n"/>
      <c r="AY196" s="79" t="n"/>
      <c r="AZ196" s="79" t="n"/>
      <c r="BA196" s="79" t="n"/>
      <c r="BB196" s="79" t="n"/>
      <c r="BC196" s="79" t="n"/>
      <c r="BD196" s="79" t="n"/>
      <c r="BE196" s="79" t="n"/>
      <c r="BF196" s="79" t="n"/>
      <c r="BH196">
        <f>IF($BK196="",-999,($BK196-$A$1)*24)</f>
        <v/>
      </c>
      <c r="BI196">
        <f>IF($BK196="",-999,(IF($BL196&lt;&gt;"",$BL196,IF($C$1&gt;$BK196,$C$1,$BK196+MAX('Data Input'!E105*$BM196,0.5)/24))-$A$1)*24)</f>
        <v/>
      </c>
      <c r="BJ196">
        <f>IF($BK196="",0,IF($BM196&gt;=1,IF($BN196&lt;=0,2,3),IF($BN196&lt;=0,4,5)))</f>
        <v/>
      </c>
      <c r="BK196">
        <f>IF('Data Input'!Q105="","",'Data Input'!Q105)</f>
        <v/>
      </c>
      <c r="BL196">
        <f>IF('Data Input'!R105="","",'Data Input'!R105)</f>
        <v/>
      </c>
      <c r="BM196">
        <f>'Data Input'!S105</f>
        <v/>
      </c>
      <c r="BN196">
        <f>'Data Input'!Y105</f>
        <v/>
      </c>
      <c r="BO196">
        <f>IF($BM196&gt;=1,-999,MAX(($C$1-$A$1)*24,IF($BK196&lt;&gt;"",$BI196,$BP196-'Data Input'!E105)))</f>
        <v/>
      </c>
      <c r="BP196">
        <f>('Data Input'!D105+'Data Input'!Y105/24-$A$1)*24</f>
        <v/>
      </c>
    </row>
    <row r="197" ht="11.5" customHeight="1">
      <c r="A197" s="68">
        <f>'Data Input'!A106</f>
        <v/>
      </c>
      <c r="B197" s="69">
        <f>'Data Input'!B106</f>
        <v/>
      </c>
      <c r="C197" s="70">
        <f>'Data Input'!O106</f>
        <v/>
      </c>
      <c r="D197" s="71">
        <f>'Data Input'!D106</f>
        <v/>
      </c>
      <c r="E197" s="72">
        <f>'Data Input'!D106+'Data Input'!Y106/24</f>
        <v/>
      </c>
      <c r="F197" s="73">
        <f>'Data Input'!Y106</f>
        <v/>
      </c>
      <c r="G197" s="74">
        <f>'Data Input'!T106</f>
        <v/>
      </c>
      <c r="H197" s="75">
        <f>'Data Input'!S106</f>
        <v/>
      </c>
      <c r="I197" s="57" t="n"/>
      <c r="J197" s="76" t="inlineStr">
        <is>
          <t>P</t>
        </is>
      </c>
      <c r="K197" s="77" t="n"/>
      <c r="L197" s="77" t="n"/>
      <c r="M197" s="77" t="n"/>
      <c r="N197" s="77" t="n"/>
      <c r="O197" s="77" t="n"/>
      <c r="P197" s="77" t="n"/>
      <c r="Q197" s="77" t="n"/>
      <c r="R197" s="77" t="n"/>
      <c r="S197" s="77" t="n"/>
      <c r="T197" s="77" t="n"/>
      <c r="U197" s="77" t="n"/>
      <c r="V197" s="77" t="n"/>
      <c r="W197" s="77" t="n"/>
      <c r="X197" s="77" t="n"/>
      <c r="Y197" s="77" t="n"/>
      <c r="Z197" s="77" t="n"/>
      <c r="AA197" s="77" t="n"/>
      <c r="AB197" s="77" t="n"/>
      <c r="AC197" s="77" t="n"/>
      <c r="AD197" s="77" t="n"/>
      <c r="AE197" s="77" t="n"/>
      <c r="AF197" s="77" t="n"/>
      <c r="AG197" s="77" t="n"/>
      <c r="AH197" s="77" t="n"/>
      <c r="AI197" s="77" t="n"/>
      <c r="AJ197" s="77" t="n"/>
      <c r="AK197" s="77" t="n"/>
      <c r="AL197" s="77" t="n"/>
      <c r="AM197" s="77" t="n"/>
      <c r="AN197" s="77" t="n"/>
      <c r="AO197" s="77" t="n"/>
      <c r="AP197" s="77" t="n"/>
      <c r="AQ197" s="77" t="n"/>
      <c r="AR197" s="77" t="n"/>
      <c r="AS197" s="77" t="n"/>
      <c r="AT197" s="77" t="n"/>
      <c r="AU197" s="77" t="n"/>
      <c r="AV197" s="77" t="n"/>
      <c r="AW197" s="77" t="n"/>
      <c r="AX197" s="77" t="n"/>
      <c r="AY197" s="77" t="n"/>
      <c r="AZ197" s="77" t="n"/>
      <c r="BA197" s="77" t="n"/>
      <c r="BB197" s="77" t="n"/>
      <c r="BC197" s="77" t="n"/>
      <c r="BD197" s="77" t="n"/>
      <c r="BE197" s="77" t="n"/>
      <c r="BF197" s="77" t="n"/>
      <c r="BH197">
        <f>('Data Input'!C106-$A$1)*24</f>
        <v/>
      </c>
      <c r="BI197">
        <f>('Data Input'!D106-$A$1)*24</f>
        <v/>
      </c>
      <c r="BJ197" t="n">
        <v>1</v>
      </c>
      <c r="BO197" t="n">
        <v>-999</v>
      </c>
      <c r="BP197" t="n">
        <v>-999</v>
      </c>
    </row>
    <row r="198" ht="11.5" customHeight="1">
      <c r="A198" s="78" t="n"/>
      <c r="B198" s="78" t="n"/>
      <c r="C198" s="78" t="n"/>
      <c r="D198" s="78" t="n"/>
      <c r="E198" s="78" t="n"/>
      <c r="F198" s="78" t="n"/>
      <c r="G198" s="78" t="n"/>
      <c r="H198" s="78" t="n"/>
      <c r="I198" s="78" t="n"/>
      <c r="J198" s="76" t="inlineStr">
        <is>
          <t>A</t>
        </is>
      </c>
      <c r="K198" s="79" t="n"/>
      <c r="L198" s="79" t="n"/>
      <c r="M198" s="79" t="n"/>
      <c r="N198" s="79" t="n"/>
      <c r="O198" s="79" t="n"/>
      <c r="P198" s="79" t="n"/>
      <c r="Q198" s="79" t="n"/>
      <c r="R198" s="79" t="n"/>
      <c r="S198" s="79" t="n"/>
      <c r="T198" s="79" t="n"/>
      <c r="U198" s="79" t="n"/>
      <c r="V198" s="79" t="n"/>
      <c r="W198" s="79" t="n"/>
      <c r="X198" s="79" t="n"/>
      <c r="Y198" s="79" t="n"/>
      <c r="Z198" s="79" t="n"/>
      <c r="AA198" s="79" t="n"/>
      <c r="AB198" s="79" t="n"/>
      <c r="AC198" s="79" t="n"/>
      <c r="AD198" s="79" t="n"/>
      <c r="AE198" s="79" t="n"/>
      <c r="AF198" s="79" t="n"/>
      <c r="AG198" s="79" t="n"/>
      <c r="AH198" s="79" t="n"/>
      <c r="AI198" s="79" t="n"/>
      <c r="AJ198" s="79" t="n"/>
      <c r="AK198" s="79" t="n"/>
      <c r="AL198" s="79" t="n"/>
      <c r="AM198" s="79" t="n"/>
      <c r="AN198" s="79" t="n"/>
      <c r="AO198" s="79" t="n"/>
      <c r="AP198" s="79" t="n"/>
      <c r="AQ198" s="79" t="n"/>
      <c r="AR198" s="79" t="n"/>
      <c r="AS198" s="79" t="n"/>
      <c r="AT198" s="79" t="n"/>
      <c r="AU198" s="79" t="n"/>
      <c r="AV198" s="79" t="n"/>
      <c r="AW198" s="79" t="n"/>
      <c r="AX198" s="79" t="n"/>
      <c r="AY198" s="79" t="n"/>
      <c r="AZ198" s="79" t="n"/>
      <c r="BA198" s="79" t="n"/>
      <c r="BB198" s="79" t="n"/>
      <c r="BC198" s="79" t="n"/>
      <c r="BD198" s="79" t="n"/>
      <c r="BE198" s="79" t="n"/>
      <c r="BF198" s="79" t="n"/>
      <c r="BH198">
        <f>IF($BK198="",-999,($BK198-$A$1)*24)</f>
        <v/>
      </c>
      <c r="BI198">
        <f>IF($BK198="",-999,(IF($BL198&lt;&gt;"",$BL198,IF($C$1&gt;$BK198,$C$1,$BK198+MAX('Data Input'!E106*$BM198,0.5)/24))-$A$1)*24)</f>
        <v/>
      </c>
      <c r="BJ198">
        <f>IF($BK198="",0,IF($BM198&gt;=1,IF($BN198&lt;=0,2,3),IF($BN198&lt;=0,4,5)))</f>
        <v/>
      </c>
      <c r="BK198">
        <f>IF('Data Input'!Q106="","",'Data Input'!Q106)</f>
        <v/>
      </c>
      <c r="BL198">
        <f>IF('Data Input'!R106="","",'Data Input'!R106)</f>
        <v/>
      </c>
      <c r="BM198">
        <f>'Data Input'!S106</f>
        <v/>
      </c>
      <c r="BN198">
        <f>'Data Input'!Y106</f>
        <v/>
      </c>
      <c r="BO198">
        <f>IF($BM198&gt;=1,-999,MAX(($C$1-$A$1)*24,IF($BK198&lt;&gt;"",$BI198,$BP198-'Data Input'!E106)))</f>
        <v/>
      </c>
      <c r="BP198">
        <f>('Data Input'!D106+'Data Input'!Y106/24-$A$1)*24</f>
        <v/>
      </c>
    </row>
    <row r="199" ht="11.5" customHeight="1">
      <c r="A199" s="68">
        <f>'Data Input'!A107</f>
        <v/>
      </c>
      <c r="B199" s="69">
        <f>'Data Input'!B107</f>
        <v/>
      </c>
      <c r="C199" s="70">
        <f>'Data Input'!O107</f>
        <v/>
      </c>
      <c r="D199" s="71">
        <f>'Data Input'!D107</f>
        <v/>
      </c>
      <c r="E199" s="72">
        <f>'Data Input'!D107+'Data Input'!Y107/24</f>
        <v/>
      </c>
      <c r="F199" s="73">
        <f>'Data Input'!Y107</f>
        <v/>
      </c>
      <c r="G199" s="74">
        <f>'Data Input'!T107</f>
        <v/>
      </c>
      <c r="H199" s="75">
        <f>'Data Input'!S107</f>
        <v/>
      </c>
      <c r="I199" s="57" t="n"/>
      <c r="J199" s="76" t="inlineStr">
        <is>
          <t>P</t>
        </is>
      </c>
      <c r="K199" s="77" t="n"/>
      <c r="L199" s="77" t="n"/>
      <c r="M199" s="77" t="n"/>
      <c r="N199" s="77" t="n"/>
      <c r="O199" s="77" t="n"/>
      <c r="P199" s="77" t="n"/>
      <c r="Q199" s="77" t="n"/>
      <c r="R199" s="77" t="n"/>
      <c r="S199" s="77" t="n"/>
      <c r="T199" s="77" t="n"/>
      <c r="U199" s="77" t="n"/>
      <c r="V199" s="77" t="n"/>
      <c r="W199" s="77" t="n"/>
      <c r="X199" s="77" t="n"/>
      <c r="Y199" s="77" t="n"/>
      <c r="Z199" s="77" t="n"/>
      <c r="AA199" s="77" t="n"/>
      <c r="AB199" s="77" t="n"/>
      <c r="AC199" s="77" t="n"/>
      <c r="AD199" s="77" t="n"/>
      <c r="AE199" s="77" t="n"/>
      <c r="AF199" s="77" t="n"/>
      <c r="AG199" s="77" t="n"/>
      <c r="AH199" s="77" t="n"/>
      <c r="AI199" s="77" t="n"/>
      <c r="AJ199" s="77" t="n"/>
      <c r="AK199" s="77" t="n"/>
      <c r="AL199" s="77" t="n"/>
      <c r="AM199" s="77" t="n"/>
      <c r="AN199" s="77" t="n"/>
      <c r="AO199" s="77" t="n"/>
      <c r="AP199" s="77" t="n"/>
      <c r="AQ199" s="77" t="n"/>
      <c r="AR199" s="77" t="n"/>
      <c r="AS199" s="77" t="n"/>
      <c r="AT199" s="77" t="n"/>
      <c r="AU199" s="77" t="n"/>
      <c r="AV199" s="77" t="n"/>
      <c r="AW199" s="77" t="n"/>
      <c r="AX199" s="77" t="n"/>
      <c r="AY199" s="77" t="n"/>
      <c r="AZ199" s="77" t="n"/>
      <c r="BA199" s="77" t="n"/>
      <c r="BB199" s="77" t="n"/>
      <c r="BC199" s="77" t="n"/>
      <c r="BD199" s="77" t="n"/>
      <c r="BE199" s="77" t="n"/>
      <c r="BF199" s="77" t="n"/>
      <c r="BH199">
        <f>('Data Input'!C107-$A$1)*24</f>
        <v/>
      </c>
      <c r="BI199">
        <f>('Data Input'!D107-$A$1)*24</f>
        <v/>
      </c>
      <c r="BJ199" t="n">
        <v>1</v>
      </c>
      <c r="BO199" t="n">
        <v>-999</v>
      </c>
      <c r="BP199" t="n">
        <v>-999</v>
      </c>
    </row>
    <row r="200" ht="11.5" customHeight="1">
      <c r="A200" s="78" t="n"/>
      <c r="B200" s="78" t="n"/>
      <c r="C200" s="78" t="n"/>
      <c r="D200" s="78" t="n"/>
      <c r="E200" s="78" t="n"/>
      <c r="F200" s="78" t="n"/>
      <c r="G200" s="78" t="n"/>
      <c r="H200" s="78" t="n"/>
      <c r="I200" s="78" t="n"/>
      <c r="J200" s="76" t="inlineStr">
        <is>
          <t>A</t>
        </is>
      </c>
      <c r="K200" s="79" t="n"/>
      <c r="L200" s="79" t="n"/>
      <c r="M200" s="79" t="n"/>
      <c r="N200" s="79" t="n"/>
      <c r="O200" s="79" t="n"/>
      <c r="P200" s="79" t="n"/>
      <c r="Q200" s="79" t="n"/>
      <c r="R200" s="79" t="n"/>
      <c r="S200" s="79" t="n"/>
      <c r="T200" s="79" t="n"/>
      <c r="U200" s="79" t="n"/>
      <c r="V200" s="79" t="n"/>
      <c r="W200" s="79" t="n"/>
      <c r="X200" s="79" t="n"/>
      <c r="Y200" s="79" t="n"/>
      <c r="Z200" s="79" t="n"/>
      <c r="AA200" s="79" t="n"/>
      <c r="AB200" s="79" t="n"/>
      <c r="AC200" s="79" t="n"/>
      <c r="AD200" s="79" t="n"/>
      <c r="AE200" s="79" t="n"/>
      <c r="AF200" s="79" t="n"/>
      <c r="AG200" s="79" t="n"/>
      <c r="AH200" s="79" t="n"/>
      <c r="AI200" s="79" t="n"/>
      <c r="AJ200" s="79" t="n"/>
      <c r="AK200" s="79" t="n"/>
      <c r="AL200" s="79" t="n"/>
      <c r="AM200" s="79" t="n"/>
      <c r="AN200" s="79" t="n"/>
      <c r="AO200" s="79" t="n"/>
      <c r="AP200" s="79" t="n"/>
      <c r="AQ200" s="79" t="n"/>
      <c r="AR200" s="79" t="n"/>
      <c r="AS200" s="79" t="n"/>
      <c r="AT200" s="79" t="n"/>
      <c r="AU200" s="79" t="n"/>
      <c r="AV200" s="79" t="n"/>
      <c r="AW200" s="79" t="n"/>
      <c r="AX200" s="79" t="n"/>
      <c r="AY200" s="79" t="n"/>
      <c r="AZ200" s="79" t="n"/>
      <c r="BA200" s="79" t="n"/>
      <c r="BB200" s="79" t="n"/>
      <c r="BC200" s="79" t="n"/>
      <c r="BD200" s="79" t="n"/>
      <c r="BE200" s="79" t="n"/>
      <c r="BF200" s="79" t="n"/>
      <c r="BH200">
        <f>IF($BK200="",-999,($BK200-$A$1)*24)</f>
        <v/>
      </c>
      <c r="BI200">
        <f>IF($BK200="",-999,(IF($BL200&lt;&gt;"",$BL200,IF($C$1&gt;$BK200,$C$1,$BK200+MAX('Data Input'!E107*$BM200,0.5)/24))-$A$1)*24)</f>
        <v/>
      </c>
      <c r="BJ200">
        <f>IF($BK200="",0,IF($BM200&gt;=1,IF($BN200&lt;=0,2,3),IF($BN200&lt;=0,4,5)))</f>
        <v/>
      </c>
      <c r="BK200">
        <f>IF('Data Input'!Q107="","",'Data Input'!Q107)</f>
        <v/>
      </c>
      <c r="BL200">
        <f>IF('Data Input'!R107="","",'Data Input'!R107)</f>
        <v/>
      </c>
      <c r="BM200">
        <f>'Data Input'!S107</f>
        <v/>
      </c>
      <c r="BN200">
        <f>'Data Input'!Y107</f>
        <v/>
      </c>
      <c r="BO200">
        <f>IF($BM200&gt;=1,-999,MAX(($C$1-$A$1)*24,IF($BK200&lt;&gt;"",$BI200,$BP200-'Data Input'!E107)))</f>
        <v/>
      </c>
      <c r="BP200">
        <f>('Data Input'!D107+'Data Input'!Y107/24-$A$1)*24</f>
        <v/>
      </c>
    </row>
    <row r="201" ht="11.5" customHeight="1">
      <c r="A201" s="68">
        <f>'Data Input'!A108</f>
        <v/>
      </c>
      <c r="B201" s="69">
        <f>'Data Input'!B108</f>
        <v/>
      </c>
      <c r="C201" s="70">
        <f>'Data Input'!O108</f>
        <v/>
      </c>
      <c r="D201" s="71">
        <f>'Data Input'!D108</f>
        <v/>
      </c>
      <c r="E201" s="72">
        <f>'Data Input'!D108+'Data Input'!Y108/24</f>
        <v/>
      </c>
      <c r="F201" s="73">
        <f>'Data Input'!Y108</f>
        <v/>
      </c>
      <c r="G201" s="74">
        <f>'Data Input'!T108</f>
        <v/>
      </c>
      <c r="H201" s="75">
        <f>'Data Input'!S108</f>
        <v/>
      </c>
      <c r="I201" s="57" t="n"/>
      <c r="J201" s="76" t="inlineStr">
        <is>
          <t>P</t>
        </is>
      </c>
      <c r="K201" s="77" t="n"/>
      <c r="L201" s="77" t="n"/>
      <c r="M201" s="77" t="n"/>
      <c r="N201" s="77" t="n"/>
      <c r="O201" s="77" t="n"/>
      <c r="P201" s="77" t="n"/>
      <c r="Q201" s="77" t="n"/>
      <c r="R201" s="77" t="n"/>
      <c r="S201" s="77" t="n"/>
      <c r="T201" s="77" t="n"/>
      <c r="U201" s="77" t="n"/>
      <c r="V201" s="77" t="n"/>
      <c r="W201" s="77" t="n"/>
      <c r="X201" s="77" t="n"/>
      <c r="Y201" s="77" t="n"/>
      <c r="Z201" s="77" t="n"/>
      <c r="AA201" s="77" t="n"/>
      <c r="AB201" s="77" t="n"/>
      <c r="AC201" s="77" t="n"/>
      <c r="AD201" s="77" t="n"/>
      <c r="AE201" s="77" t="n"/>
      <c r="AF201" s="77" t="n"/>
      <c r="AG201" s="77" t="n"/>
      <c r="AH201" s="77" t="n"/>
      <c r="AI201" s="77" t="n"/>
      <c r="AJ201" s="77" t="n"/>
      <c r="AK201" s="77" t="n"/>
      <c r="AL201" s="77" t="n"/>
      <c r="AM201" s="77" t="n"/>
      <c r="AN201" s="77" t="n"/>
      <c r="AO201" s="77" t="n"/>
      <c r="AP201" s="77" t="n"/>
      <c r="AQ201" s="77" t="n"/>
      <c r="AR201" s="77" t="n"/>
      <c r="AS201" s="77" t="n"/>
      <c r="AT201" s="77" t="n"/>
      <c r="AU201" s="77" t="n"/>
      <c r="AV201" s="77" t="n"/>
      <c r="AW201" s="77" t="n"/>
      <c r="AX201" s="77" t="n"/>
      <c r="AY201" s="77" t="n"/>
      <c r="AZ201" s="77" t="n"/>
      <c r="BA201" s="77" t="n"/>
      <c r="BB201" s="77" t="n"/>
      <c r="BC201" s="77" t="n"/>
      <c r="BD201" s="77" t="n"/>
      <c r="BE201" s="77" t="n"/>
      <c r="BF201" s="77" t="n"/>
      <c r="BH201">
        <f>('Data Input'!C108-$A$1)*24</f>
        <v/>
      </c>
      <c r="BI201">
        <f>('Data Input'!D108-$A$1)*24</f>
        <v/>
      </c>
      <c r="BJ201" t="n">
        <v>1</v>
      </c>
      <c r="BO201" t="n">
        <v>-999</v>
      </c>
      <c r="BP201" t="n">
        <v>-999</v>
      </c>
    </row>
    <row r="202" ht="11.5" customHeight="1">
      <c r="A202" s="78" t="n"/>
      <c r="B202" s="78" t="n"/>
      <c r="C202" s="78" t="n"/>
      <c r="D202" s="78" t="n"/>
      <c r="E202" s="78" t="n"/>
      <c r="F202" s="78" t="n"/>
      <c r="G202" s="78" t="n"/>
      <c r="H202" s="78" t="n"/>
      <c r="I202" s="78" t="n"/>
      <c r="J202" s="76" t="inlineStr">
        <is>
          <t>A</t>
        </is>
      </c>
      <c r="K202" s="79" t="n"/>
      <c r="L202" s="79" t="n"/>
      <c r="M202" s="79" t="n"/>
      <c r="N202" s="79" t="n"/>
      <c r="O202" s="79" t="n"/>
      <c r="P202" s="79" t="n"/>
      <c r="Q202" s="79" t="n"/>
      <c r="R202" s="79" t="n"/>
      <c r="S202" s="79" t="n"/>
      <c r="T202" s="79" t="n"/>
      <c r="U202" s="79" t="n"/>
      <c r="V202" s="79" t="n"/>
      <c r="W202" s="79" t="n"/>
      <c r="X202" s="79" t="n"/>
      <c r="Y202" s="79" t="n"/>
      <c r="Z202" s="79" t="n"/>
      <c r="AA202" s="79" t="n"/>
      <c r="AB202" s="79" t="n"/>
      <c r="AC202" s="79" t="n"/>
      <c r="AD202" s="79" t="n"/>
      <c r="AE202" s="79" t="n"/>
      <c r="AF202" s="79" t="n"/>
      <c r="AG202" s="79" t="n"/>
      <c r="AH202" s="79" t="n"/>
      <c r="AI202" s="79" t="n"/>
      <c r="AJ202" s="79" t="n"/>
      <c r="AK202" s="79" t="n"/>
      <c r="AL202" s="79" t="n"/>
      <c r="AM202" s="79" t="n"/>
      <c r="AN202" s="79" t="n"/>
      <c r="AO202" s="79" t="n"/>
      <c r="AP202" s="79" t="n"/>
      <c r="AQ202" s="79" t="n"/>
      <c r="AR202" s="79" t="n"/>
      <c r="AS202" s="79" t="n"/>
      <c r="AT202" s="79" t="n"/>
      <c r="AU202" s="79" t="n"/>
      <c r="AV202" s="79" t="n"/>
      <c r="AW202" s="79" t="n"/>
      <c r="AX202" s="79" t="n"/>
      <c r="AY202" s="79" t="n"/>
      <c r="AZ202" s="79" t="n"/>
      <c r="BA202" s="79" t="n"/>
      <c r="BB202" s="79" t="n"/>
      <c r="BC202" s="79" t="n"/>
      <c r="BD202" s="79" t="n"/>
      <c r="BE202" s="79" t="n"/>
      <c r="BF202" s="79" t="n"/>
      <c r="BH202">
        <f>IF($BK202="",-999,($BK202-$A$1)*24)</f>
        <v/>
      </c>
      <c r="BI202">
        <f>IF($BK202="",-999,(IF($BL202&lt;&gt;"",$BL202,IF($C$1&gt;$BK202,$C$1,$BK202+MAX('Data Input'!E108*$BM202,0.5)/24))-$A$1)*24)</f>
        <v/>
      </c>
      <c r="BJ202">
        <f>IF($BK202="",0,IF($BM202&gt;=1,IF($BN202&lt;=0,2,3),IF($BN202&lt;=0,4,5)))</f>
        <v/>
      </c>
      <c r="BK202">
        <f>IF('Data Input'!Q108="","",'Data Input'!Q108)</f>
        <v/>
      </c>
      <c r="BL202">
        <f>IF('Data Input'!R108="","",'Data Input'!R108)</f>
        <v/>
      </c>
      <c r="BM202">
        <f>'Data Input'!S108</f>
        <v/>
      </c>
      <c r="BN202">
        <f>'Data Input'!Y108</f>
        <v/>
      </c>
      <c r="BO202">
        <f>IF($BM202&gt;=1,-999,MAX(($C$1-$A$1)*24,IF($BK202&lt;&gt;"",$BI202,$BP202-'Data Input'!E108)))</f>
        <v/>
      </c>
      <c r="BP202">
        <f>('Data Input'!D108+'Data Input'!Y108/24-$A$1)*24</f>
        <v/>
      </c>
    </row>
    <row r="203" ht="11.5" customHeight="1">
      <c r="A203" s="68">
        <f>'Data Input'!A109</f>
        <v/>
      </c>
      <c r="B203" s="69">
        <f>'Data Input'!B109</f>
        <v/>
      </c>
      <c r="C203" s="70">
        <f>'Data Input'!O109</f>
        <v/>
      </c>
      <c r="D203" s="71">
        <f>'Data Input'!D109</f>
        <v/>
      </c>
      <c r="E203" s="72">
        <f>'Data Input'!D109+'Data Input'!Y109/24</f>
        <v/>
      </c>
      <c r="F203" s="73">
        <f>'Data Input'!Y109</f>
        <v/>
      </c>
      <c r="G203" s="74">
        <f>'Data Input'!T109</f>
        <v/>
      </c>
      <c r="H203" s="75">
        <f>'Data Input'!S109</f>
        <v/>
      </c>
      <c r="I203" s="57" t="n"/>
      <c r="J203" s="76" t="inlineStr">
        <is>
          <t>P</t>
        </is>
      </c>
      <c r="K203" s="77" t="n"/>
      <c r="L203" s="77" t="n"/>
      <c r="M203" s="77" t="n"/>
      <c r="N203" s="77" t="n"/>
      <c r="O203" s="77" t="n"/>
      <c r="P203" s="77" t="n"/>
      <c r="Q203" s="77" t="n"/>
      <c r="R203" s="77" t="n"/>
      <c r="S203" s="77" t="n"/>
      <c r="T203" s="77" t="n"/>
      <c r="U203" s="77" t="n"/>
      <c r="V203" s="77" t="n"/>
      <c r="W203" s="77" t="n"/>
      <c r="X203" s="77" t="n"/>
      <c r="Y203" s="77" t="n"/>
      <c r="Z203" s="77" t="n"/>
      <c r="AA203" s="77" t="n"/>
      <c r="AB203" s="77" t="n"/>
      <c r="AC203" s="77" t="n"/>
      <c r="AD203" s="77" t="n"/>
      <c r="AE203" s="77" t="n"/>
      <c r="AF203" s="77" t="n"/>
      <c r="AG203" s="77" t="n"/>
      <c r="AH203" s="77" t="n"/>
      <c r="AI203" s="77" t="n"/>
      <c r="AJ203" s="77" t="n"/>
      <c r="AK203" s="77" t="n"/>
      <c r="AL203" s="77" t="n"/>
      <c r="AM203" s="77" t="n"/>
      <c r="AN203" s="77" t="n"/>
      <c r="AO203" s="77" t="n"/>
      <c r="AP203" s="77" t="n"/>
      <c r="AQ203" s="77" t="n"/>
      <c r="AR203" s="77" t="n"/>
      <c r="AS203" s="77" t="n"/>
      <c r="AT203" s="77" t="n"/>
      <c r="AU203" s="77" t="n"/>
      <c r="AV203" s="77" t="n"/>
      <c r="AW203" s="77" t="n"/>
      <c r="AX203" s="77" t="n"/>
      <c r="AY203" s="77" t="n"/>
      <c r="AZ203" s="77" t="n"/>
      <c r="BA203" s="77" t="n"/>
      <c r="BB203" s="77" t="n"/>
      <c r="BC203" s="77" t="n"/>
      <c r="BD203" s="77" t="n"/>
      <c r="BE203" s="77" t="n"/>
      <c r="BF203" s="77" t="n"/>
      <c r="BH203">
        <f>('Data Input'!C109-$A$1)*24</f>
        <v/>
      </c>
      <c r="BI203">
        <f>('Data Input'!D109-$A$1)*24</f>
        <v/>
      </c>
      <c r="BJ203" t="n">
        <v>1</v>
      </c>
      <c r="BO203" t="n">
        <v>-999</v>
      </c>
      <c r="BP203" t="n">
        <v>-999</v>
      </c>
    </row>
    <row r="204" ht="11.5" customHeight="1">
      <c r="A204" s="78" t="n"/>
      <c r="B204" s="78" t="n"/>
      <c r="C204" s="78" t="n"/>
      <c r="D204" s="78" t="n"/>
      <c r="E204" s="78" t="n"/>
      <c r="F204" s="78" t="n"/>
      <c r="G204" s="78" t="n"/>
      <c r="H204" s="78" t="n"/>
      <c r="I204" s="78" t="n"/>
      <c r="J204" s="76" t="inlineStr">
        <is>
          <t>A</t>
        </is>
      </c>
      <c r="K204" s="79" t="n"/>
      <c r="L204" s="79" t="n"/>
      <c r="M204" s="79" t="n"/>
      <c r="N204" s="79" t="n"/>
      <c r="O204" s="79" t="n"/>
      <c r="P204" s="79" t="n"/>
      <c r="Q204" s="79" t="n"/>
      <c r="R204" s="79" t="n"/>
      <c r="S204" s="79" t="n"/>
      <c r="T204" s="79" t="n"/>
      <c r="U204" s="79" t="n"/>
      <c r="V204" s="79" t="n"/>
      <c r="W204" s="79" t="n"/>
      <c r="X204" s="79" t="n"/>
      <c r="Y204" s="79" t="n"/>
      <c r="Z204" s="79" t="n"/>
      <c r="AA204" s="79" t="n"/>
      <c r="AB204" s="79" t="n"/>
      <c r="AC204" s="79" t="n"/>
      <c r="AD204" s="79" t="n"/>
      <c r="AE204" s="79" t="n"/>
      <c r="AF204" s="79" t="n"/>
      <c r="AG204" s="79" t="n"/>
      <c r="AH204" s="79" t="n"/>
      <c r="AI204" s="79" t="n"/>
      <c r="AJ204" s="79" t="n"/>
      <c r="AK204" s="79" t="n"/>
      <c r="AL204" s="79" t="n"/>
      <c r="AM204" s="79" t="n"/>
      <c r="AN204" s="79" t="n"/>
      <c r="AO204" s="79" t="n"/>
      <c r="AP204" s="79" t="n"/>
      <c r="AQ204" s="79" t="n"/>
      <c r="AR204" s="79" t="n"/>
      <c r="AS204" s="79" t="n"/>
      <c r="AT204" s="79" t="n"/>
      <c r="AU204" s="79" t="n"/>
      <c r="AV204" s="79" t="n"/>
      <c r="AW204" s="79" t="n"/>
      <c r="AX204" s="79" t="n"/>
      <c r="AY204" s="79" t="n"/>
      <c r="AZ204" s="79" t="n"/>
      <c r="BA204" s="79" t="n"/>
      <c r="BB204" s="79" t="n"/>
      <c r="BC204" s="79" t="n"/>
      <c r="BD204" s="79" t="n"/>
      <c r="BE204" s="79" t="n"/>
      <c r="BF204" s="79" t="n"/>
      <c r="BH204">
        <f>IF($BK204="",-999,($BK204-$A$1)*24)</f>
        <v/>
      </c>
      <c r="BI204">
        <f>IF($BK204="",-999,(IF($BL204&lt;&gt;"",$BL204,IF($C$1&gt;$BK204,$C$1,$BK204+MAX('Data Input'!E109*$BM204,0.5)/24))-$A$1)*24)</f>
        <v/>
      </c>
      <c r="BJ204">
        <f>IF($BK204="",0,IF($BM204&gt;=1,IF($BN204&lt;=0,2,3),IF($BN204&lt;=0,4,5)))</f>
        <v/>
      </c>
      <c r="BK204">
        <f>IF('Data Input'!Q109="","",'Data Input'!Q109)</f>
        <v/>
      </c>
      <c r="BL204">
        <f>IF('Data Input'!R109="","",'Data Input'!R109)</f>
        <v/>
      </c>
      <c r="BM204">
        <f>'Data Input'!S109</f>
        <v/>
      </c>
      <c r="BN204">
        <f>'Data Input'!Y109</f>
        <v/>
      </c>
      <c r="BO204">
        <f>IF($BM204&gt;=1,-999,MAX(($C$1-$A$1)*24,IF($BK204&lt;&gt;"",$BI204,$BP204-'Data Input'!E109)))</f>
        <v/>
      </c>
      <c r="BP204">
        <f>('Data Input'!D109+'Data Input'!Y109/24-$A$1)*24</f>
        <v/>
      </c>
    </row>
    <row r="205" ht="11.5" customHeight="1">
      <c r="A205" s="68">
        <f>'Data Input'!A110</f>
        <v/>
      </c>
      <c r="B205" s="69">
        <f>'Data Input'!B110</f>
        <v/>
      </c>
      <c r="C205" s="70">
        <f>'Data Input'!O110</f>
        <v/>
      </c>
      <c r="D205" s="71">
        <f>'Data Input'!D110</f>
        <v/>
      </c>
      <c r="E205" s="72">
        <f>'Data Input'!D110+'Data Input'!Y110/24</f>
        <v/>
      </c>
      <c r="F205" s="73">
        <f>'Data Input'!Y110</f>
        <v/>
      </c>
      <c r="G205" s="74">
        <f>'Data Input'!T110</f>
        <v/>
      </c>
      <c r="H205" s="75">
        <f>'Data Input'!S110</f>
        <v/>
      </c>
      <c r="I205" s="57" t="n"/>
      <c r="J205" s="76" t="inlineStr">
        <is>
          <t>P</t>
        </is>
      </c>
      <c r="K205" s="77" t="n"/>
      <c r="L205" s="77" t="n"/>
      <c r="M205" s="77" t="n"/>
      <c r="N205" s="77" t="n"/>
      <c r="O205" s="77" t="n"/>
      <c r="P205" s="77" t="n"/>
      <c r="Q205" s="77" t="n"/>
      <c r="R205" s="77" t="n"/>
      <c r="S205" s="77" t="n"/>
      <c r="T205" s="77" t="n"/>
      <c r="U205" s="77" t="n"/>
      <c r="V205" s="77" t="n"/>
      <c r="W205" s="77" t="n"/>
      <c r="X205" s="77" t="n"/>
      <c r="Y205" s="77" t="n"/>
      <c r="Z205" s="77" t="n"/>
      <c r="AA205" s="77" t="n"/>
      <c r="AB205" s="77" t="n"/>
      <c r="AC205" s="77" t="n"/>
      <c r="AD205" s="77" t="n"/>
      <c r="AE205" s="77" t="n"/>
      <c r="AF205" s="77" t="n"/>
      <c r="AG205" s="77" t="n"/>
      <c r="AH205" s="77" t="n"/>
      <c r="AI205" s="77" t="n"/>
      <c r="AJ205" s="77" t="n"/>
      <c r="AK205" s="77" t="n"/>
      <c r="AL205" s="77" t="n"/>
      <c r="AM205" s="77" t="n"/>
      <c r="AN205" s="77" t="n"/>
      <c r="AO205" s="77" t="n"/>
      <c r="AP205" s="77" t="n"/>
      <c r="AQ205" s="77" t="n"/>
      <c r="AR205" s="77" t="n"/>
      <c r="AS205" s="77" t="n"/>
      <c r="AT205" s="77" t="n"/>
      <c r="AU205" s="77" t="n"/>
      <c r="AV205" s="77" t="n"/>
      <c r="AW205" s="77" t="n"/>
      <c r="AX205" s="77" t="n"/>
      <c r="AY205" s="77" t="n"/>
      <c r="AZ205" s="77" t="n"/>
      <c r="BA205" s="77" t="n"/>
      <c r="BB205" s="77" t="n"/>
      <c r="BC205" s="77" t="n"/>
      <c r="BD205" s="77" t="n"/>
      <c r="BE205" s="77" t="n"/>
      <c r="BF205" s="77" t="n"/>
      <c r="BH205">
        <f>('Data Input'!C110-$A$1)*24</f>
        <v/>
      </c>
      <c r="BI205">
        <f>('Data Input'!D110-$A$1)*24</f>
        <v/>
      </c>
      <c r="BJ205" t="n">
        <v>1</v>
      </c>
      <c r="BO205" t="n">
        <v>-999</v>
      </c>
      <c r="BP205" t="n">
        <v>-999</v>
      </c>
    </row>
    <row r="206" ht="11.5" customHeight="1">
      <c r="A206" s="78" t="n"/>
      <c r="B206" s="78" t="n"/>
      <c r="C206" s="78" t="n"/>
      <c r="D206" s="78" t="n"/>
      <c r="E206" s="78" t="n"/>
      <c r="F206" s="78" t="n"/>
      <c r="G206" s="78" t="n"/>
      <c r="H206" s="78" t="n"/>
      <c r="I206" s="78" t="n"/>
      <c r="J206" s="76" t="inlineStr">
        <is>
          <t>A</t>
        </is>
      </c>
      <c r="K206" s="79" t="n"/>
      <c r="L206" s="79" t="n"/>
      <c r="M206" s="79" t="n"/>
      <c r="N206" s="79" t="n"/>
      <c r="O206" s="79" t="n"/>
      <c r="P206" s="79" t="n"/>
      <c r="Q206" s="79" t="n"/>
      <c r="R206" s="79" t="n"/>
      <c r="S206" s="79" t="n"/>
      <c r="T206" s="79" t="n"/>
      <c r="U206" s="79" t="n"/>
      <c r="V206" s="79" t="n"/>
      <c r="W206" s="79" t="n"/>
      <c r="X206" s="79" t="n"/>
      <c r="Y206" s="79" t="n"/>
      <c r="Z206" s="79" t="n"/>
      <c r="AA206" s="79" t="n"/>
      <c r="AB206" s="79" t="n"/>
      <c r="AC206" s="79" t="n"/>
      <c r="AD206" s="79" t="n"/>
      <c r="AE206" s="79" t="n"/>
      <c r="AF206" s="79" t="n"/>
      <c r="AG206" s="79" t="n"/>
      <c r="AH206" s="79" t="n"/>
      <c r="AI206" s="79" t="n"/>
      <c r="AJ206" s="79" t="n"/>
      <c r="AK206" s="79" t="n"/>
      <c r="AL206" s="79" t="n"/>
      <c r="AM206" s="79" t="n"/>
      <c r="AN206" s="79" t="n"/>
      <c r="AO206" s="79" t="n"/>
      <c r="AP206" s="79" t="n"/>
      <c r="AQ206" s="79" t="n"/>
      <c r="AR206" s="79" t="n"/>
      <c r="AS206" s="79" t="n"/>
      <c r="AT206" s="79" t="n"/>
      <c r="AU206" s="79" t="n"/>
      <c r="AV206" s="79" t="n"/>
      <c r="AW206" s="79" t="n"/>
      <c r="AX206" s="79" t="n"/>
      <c r="AY206" s="79" t="n"/>
      <c r="AZ206" s="79" t="n"/>
      <c r="BA206" s="79" t="n"/>
      <c r="BB206" s="79" t="n"/>
      <c r="BC206" s="79" t="n"/>
      <c r="BD206" s="79" t="n"/>
      <c r="BE206" s="79" t="n"/>
      <c r="BF206" s="79" t="n"/>
      <c r="BH206">
        <f>IF($BK206="",-999,($BK206-$A$1)*24)</f>
        <v/>
      </c>
      <c r="BI206">
        <f>IF($BK206="",-999,(IF($BL206&lt;&gt;"",$BL206,IF($C$1&gt;$BK206,$C$1,$BK206+MAX('Data Input'!E110*$BM206,0.5)/24))-$A$1)*24)</f>
        <v/>
      </c>
      <c r="BJ206">
        <f>IF($BK206="",0,IF($BM206&gt;=1,IF($BN206&lt;=0,2,3),IF($BN206&lt;=0,4,5)))</f>
        <v/>
      </c>
      <c r="BK206">
        <f>IF('Data Input'!Q110="","",'Data Input'!Q110)</f>
        <v/>
      </c>
      <c r="BL206">
        <f>IF('Data Input'!R110="","",'Data Input'!R110)</f>
        <v/>
      </c>
      <c r="BM206">
        <f>'Data Input'!S110</f>
        <v/>
      </c>
      <c r="BN206">
        <f>'Data Input'!Y110</f>
        <v/>
      </c>
      <c r="BO206">
        <f>IF($BM206&gt;=1,-999,MAX(($C$1-$A$1)*24,IF($BK206&lt;&gt;"",$BI206,$BP206-'Data Input'!E110)))</f>
        <v/>
      </c>
      <c r="BP206">
        <f>('Data Input'!D110+'Data Input'!Y110/24-$A$1)*24</f>
        <v/>
      </c>
    </row>
    <row r="207" ht="11.5" customHeight="1">
      <c r="A207" s="68">
        <f>'Data Input'!A111</f>
        <v/>
      </c>
      <c r="B207" s="69">
        <f>'Data Input'!B111</f>
        <v/>
      </c>
      <c r="C207" s="70">
        <f>'Data Input'!O111</f>
        <v/>
      </c>
      <c r="D207" s="71">
        <f>'Data Input'!D111</f>
        <v/>
      </c>
      <c r="E207" s="72">
        <f>'Data Input'!D111+'Data Input'!Y111/24</f>
        <v/>
      </c>
      <c r="F207" s="73">
        <f>'Data Input'!Y111</f>
        <v/>
      </c>
      <c r="G207" s="74">
        <f>'Data Input'!T111</f>
        <v/>
      </c>
      <c r="H207" s="75">
        <f>'Data Input'!S111</f>
        <v/>
      </c>
      <c r="I207" s="57" t="n"/>
      <c r="J207" s="76" t="inlineStr">
        <is>
          <t>P</t>
        </is>
      </c>
      <c r="K207" s="77" t="n"/>
      <c r="L207" s="77" t="n"/>
      <c r="M207" s="77" t="n"/>
      <c r="N207" s="77" t="n"/>
      <c r="O207" s="77" t="n"/>
      <c r="P207" s="77" t="n"/>
      <c r="Q207" s="77" t="n"/>
      <c r="R207" s="77" t="n"/>
      <c r="S207" s="77" t="n"/>
      <c r="T207" s="77" t="n"/>
      <c r="U207" s="77" t="n"/>
      <c r="V207" s="77" t="n"/>
      <c r="W207" s="77" t="n"/>
      <c r="X207" s="77" t="n"/>
      <c r="Y207" s="77" t="n"/>
      <c r="Z207" s="77" t="n"/>
      <c r="AA207" s="77" t="n"/>
      <c r="AB207" s="77" t="n"/>
      <c r="AC207" s="77" t="n"/>
      <c r="AD207" s="77" t="n"/>
      <c r="AE207" s="77" t="n"/>
      <c r="AF207" s="77" t="n"/>
      <c r="AG207" s="77" t="n"/>
      <c r="AH207" s="77" t="n"/>
      <c r="AI207" s="77" t="n"/>
      <c r="AJ207" s="77" t="n"/>
      <c r="AK207" s="77" t="n"/>
      <c r="AL207" s="77" t="n"/>
      <c r="AM207" s="77" t="n"/>
      <c r="AN207" s="77" t="n"/>
      <c r="AO207" s="77" t="n"/>
      <c r="AP207" s="77" t="n"/>
      <c r="AQ207" s="77" t="n"/>
      <c r="AR207" s="77" t="n"/>
      <c r="AS207" s="77" t="n"/>
      <c r="AT207" s="77" t="n"/>
      <c r="AU207" s="77" t="n"/>
      <c r="AV207" s="77" t="n"/>
      <c r="AW207" s="77" t="n"/>
      <c r="AX207" s="77" t="n"/>
      <c r="AY207" s="77" t="n"/>
      <c r="AZ207" s="77" t="n"/>
      <c r="BA207" s="77" t="n"/>
      <c r="BB207" s="77" t="n"/>
      <c r="BC207" s="77" t="n"/>
      <c r="BD207" s="77" t="n"/>
      <c r="BE207" s="77" t="n"/>
      <c r="BF207" s="77" t="n"/>
      <c r="BH207">
        <f>('Data Input'!C111-$A$1)*24</f>
        <v/>
      </c>
      <c r="BI207">
        <f>('Data Input'!D111-$A$1)*24</f>
        <v/>
      </c>
      <c r="BJ207" t="n">
        <v>1</v>
      </c>
      <c r="BO207" t="n">
        <v>-999</v>
      </c>
      <c r="BP207" t="n">
        <v>-999</v>
      </c>
    </row>
    <row r="208" ht="11.5" customHeight="1">
      <c r="A208" s="78" t="n"/>
      <c r="B208" s="78" t="n"/>
      <c r="C208" s="78" t="n"/>
      <c r="D208" s="78" t="n"/>
      <c r="E208" s="78" t="n"/>
      <c r="F208" s="78" t="n"/>
      <c r="G208" s="78" t="n"/>
      <c r="H208" s="78" t="n"/>
      <c r="I208" s="78" t="n"/>
      <c r="J208" s="76" t="inlineStr">
        <is>
          <t>A</t>
        </is>
      </c>
      <c r="K208" s="79" t="n"/>
      <c r="L208" s="79" t="n"/>
      <c r="M208" s="79" t="n"/>
      <c r="N208" s="79" t="n"/>
      <c r="O208" s="79" t="n"/>
      <c r="P208" s="79" t="n"/>
      <c r="Q208" s="79" t="n"/>
      <c r="R208" s="79" t="n"/>
      <c r="S208" s="79" t="n"/>
      <c r="T208" s="79" t="n"/>
      <c r="U208" s="79" t="n"/>
      <c r="V208" s="79" t="n"/>
      <c r="W208" s="79" t="n"/>
      <c r="X208" s="79" t="n"/>
      <c r="Y208" s="79" t="n"/>
      <c r="Z208" s="79" t="n"/>
      <c r="AA208" s="79" t="n"/>
      <c r="AB208" s="79" t="n"/>
      <c r="AC208" s="79" t="n"/>
      <c r="AD208" s="79" t="n"/>
      <c r="AE208" s="79" t="n"/>
      <c r="AF208" s="79" t="n"/>
      <c r="AG208" s="79" t="n"/>
      <c r="AH208" s="79" t="n"/>
      <c r="AI208" s="79" t="n"/>
      <c r="AJ208" s="79" t="n"/>
      <c r="AK208" s="79" t="n"/>
      <c r="AL208" s="79" t="n"/>
      <c r="AM208" s="79" t="n"/>
      <c r="AN208" s="79" t="n"/>
      <c r="AO208" s="79" t="n"/>
      <c r="AP208" s="79" t="n"/>
      <c r="AQ208" s="79" t="n"/>
      <c r="AR208" s="79" t="n"/>
      <c r="AS208" s="79" t="n"/>
      <c r="AT208" s="79" t="n"/>
      <c r="AU208" s="79" t="n"/>
      <c r="AV208" s="79" t="n"/>
      <c r="AW208" s="79" t="n"/>
      <c r="AX208" s="79" t="n"/>
      <c r="AY208" s="79" t="n"/>
      <c r="AZ208" s="79" t="n"/>
      <c r="BA208" s="79" t="n"/>
      <c r="BB208" s="79" t="n"/>
      <c r="BC208" s="79" t="n"/>
      <c r="BD208" s="79" t="n"/>
      <c r="BE208" s="79" t="n"/>
      <c r="BF208" s="79" t="n"/>
      <c r="BH208">
        <f>IF($BK208="",-999,($BK208-$A$1)*24)</f>
        <v/>
      </c>
      <c r="BI208">
        <f>IF($BK208="",-999,(IF($BL208&lt;&gt;"",$BL208,IF($C$1&gt;$BK208,$C$1,$BK208+MAX('Data Input'!E111*$BM208,0.5)/24))-$A$1)*24)</f>
        <v/>
      </c>
      <c r="BJ208">
        <f>IF($BK208="",0,IF($BM208&gt;=1,IF($BN208&lt;=0,2,3),IF($BN208&lt;=0,4,5)))</f>
        <v/>
      </c>
      <c r="BK208">
        <f>IF('Data Input'!Q111="","",'Data Input'!Q111)</f>
        <v/>
      </c>
      <c r="BL208">
        <f>IF('Data Input'!R111="","",'Data Input'!R111)</f>
        <v/>
      </c>
      <c r="BM208">
        <f>'Data Input'!S111</f>
        <v/>
      </c>
      <c r="BN208">
        <f>'Data Input'!Y111</f>
        <v/>
      </c>
      <c r="BO208">
        <f>IF($BM208&gt;=1,-999,MAX(($C$1-$A$1)*24,IF($BK208&lt;&gt;"",$BI208,$BP208-'Data Input'!E111)))</f>
        <v/>
      </c>
      <c r="BP208">
        <f>('Data Input'!D111+'Data Input'!Y111/24-$A$1)*24</f>
        <v/>
      </c>
    </row>
    <row r="209" ht="11.5" customHeight="1">
      <c r="A209" s="68">
        <f>'Data Input'!A112</f>
        <v/>
      </c>
      <c r="B209" s="69">
        <f>'Data Input'!B112</f>
        <v/>
      </c>
      <c r="C209" s="70">
        <f>'Data Input'!O112</f>
        <v/>
      </c>
      <c r="D209" s="71">
        <f>'Data Input'!D112</f>
        <v/>
      </c>
      <c r="E209" s="72">
        <f>'Data Input'!D112+'Data Input'!Y112/24</f>
        <v/>
      </c>
      <c r="F209" s="73">
        <f>'Data Input'!Y112</f>
        <v/>
      </c>
      <c r="G209" s="74">
        <f>'Data Input'!T112</f>
        <v/>
      </c>
      <c r="H209" s="75">
        <f>'Data Input'!S112</f>
        <v/>
      </c>
      <c r="I209" s="57" t="n"/>
      <c r="J209" s="76" t="inlineStr">
        <is>
          <t>P</t>
        </is>
      </c>
      <c r="K209" s="77" t="n"/>
      <c r="L209" s="77" t="n"/>
      <c r="M209" s="77" t="n"/>
      <c r="N209" s="77" t="n"/>
      <c r="O209" s="77" t="n"/>
      <c r="P209" s="77" t="n"/>
      <c r="Q209" s="77" t="n"/>
      <c r="R209" s="77" t="n"/>
      <c r="S209" s="77" t="n"/>
      <c r="T209" s="77" t="n"/>
      <c r="U209" s="77" t="n"/>
      <c r="V209" s="77" t="n"/>
      <c r="W209" s="77" t="n"/>
      <c r="X209" s="77" t="n"/>
      <c r="Y209" s="77" t="n"/>
      <c r="Z209" s="77" t="n"/>
      <c r="AA209" s="77" t="n"/>
      <c r="AB209" s="77" t="n"/>
      <c r="AC209" s="77" t="n"/>
      <c r="AD209" s="77" t="n"/>
      <c r="AE209" s="77" t="n"/>
      <c r="AF209" s="77" t="n"/>
      <c r="AG209" s="77" t="n"/>
      <c r="AH209" s="77" t="n"/>
      <c r="AI209" s="77" t="n"/>
      <c r="AJ209" s="77" t="n"/>
      <c r="AK209" s="77" t="n"/>
      <c r="AL209" s="77" t="n"/>
      <c r="AM209" s="77" t="n"/>
      <c r="AN209" s="77" t="n"/>
      <c r="AO209" s="77" t="n"/>
      <c r="AP209" s="77" t="n"/>
      <c r="AQ209" s="77" t="n"/>
      <c r="AR209" s="77" t="n"/>
      <c r="AS209" s="77" t="n"/>
      <c r="AT209" s="77" t="n"/>
      <c r="AU209" s="77" t="n"/>
      <c r="AV209" s="77" t="n"/>
      <c r="AW209" s="77" t="n"/>
      <c r="AX209" s="77" t="n"/>
      <c r="AY209" s="77" t="n"/>
      <c r="AZ209" s="77" t="n"/>
      <c r="BA209" s="77" t="n"/>
      <c r="BB209" s="77" t="n"/>
      <c r="BC209" s="77" t="n"/>
      <c r="BD209" s="77" t="n"/>
      <c r="BE209" s="77" t="n"/>
      <c r="BF209" s="77" t="n"/>
      <c r="BH209">
        <f>('Data Input'!C112-$A$1)*24</f>
        <v/>
      </c>
      <c r="BI209">
        <f>('Data Input'!D112-$A$1)*24</f>
        <v/>
      </c>
      <c r="BJ209" t="n">
        <v>1</v>
      </c>
      <c r="BO209" t="n">
        <v>-999</v>
      </c>
      <c r="BP209" t="n">
        <v>-999</v>
      </c>
    </row>
    <row r="210" ht="11.5" customHeight="1">
      <c r="A210" s="78" t="n"/>
      <c r="B210" s="78" t="n"/>
      <c r="C210" s="78" t="n"/>
      <c r="D210" s="78" t="n"/>
      <c r="E210" s="78" t="n"/>
      <c r="F210" s="78" t="n"/>
      <c r="G210" s="78" t="n"/>
      <c r="H210" s="78" t="n"/>
      <c r="I210" s="78" t="n"/>
      <c r="J210" s="76" t="inlineStr">
        <is>
          <t>A</t>
        </is>
      </c>
      <c r="K210" s="79" t="n"/>
      <c r="L210" s="79" t="n"/>
      <c r="M210" s="79" t="n"/>
      <c r="N210" s="79" t="n"/>
      <c r="O210" s="79" t="n"/>
      <c r="P210" s="79" t="n"/>
      <c r="Q210" s="79" t="n"/>
      <c r="R210" s="79" t="n"/>
      <c r="S210" s="79" t="n"/>
      <c r="T210" s="79" t="n"/>
      <c r="U210" s="79" t="n"/>
      <c r="V210" s="79" t="n"/>
      <c r="W210" s="79" t="n"/>
      <c r="X210" s="79" t="n"/>
      <c r="Y210" s="79" t="n"/>
      <c r="Z210" s="79" t="n"/>
      <c r="AA210" s="79" t="n"/>
      <c r="AB210" s="79" t="n"/>
      <c r="AC210" s="79" t="n"/>
      <c r="AD210" s="79" t="n"/>
      <c r="AE210" s="79" t="n"/>
      <c r="AF210" s="79" t="n"/>
      <c r="AG210" s="79" t="n"/>
      <c r="AH210" s="79" t="n"/>
      <c r="AI210" s="79" t="n"/>
      <c r="AJ210" s="79" t="n"/>
      <c r="AK210" s="79" t="n"/>
      <c r="AL210" s="79" t="n"/>
      <c r="AM210" s="79" t="n"/>
      <c r="AN210" s="79" t="n"/>
      <c r="AO210" s="79" t="n"/>
      <c r="AP210" s="79" t="n"/>
      <c r="AQ210" s="79" t="n"/>
      <c r="AR210" s="79" t="n"/>
      <c r="AS210" s="79" t="n"/>
      <c r="AT210" s="79" t="n"/>
      <c r="AU210" s="79" t="n"/>
      <c r="AV210" s="79" t="n"/>
      <c r="AW210" s="79" t="n"/>
      <c r="AX210" s="79" t="n"/>
      <c r="AY210" s="79" t="n"/>
      <c r="AZ210" s="79" t="n"/>
      <c r="BA210" s="79" t="n"/>
      <c r="BB210" s="79" t="n"/>
      <c r="BC210" s="79" t="n"/>
      <c r="BD210" s="79" t="n"/>
      <c r="BE210" s="79" t="n"/>
      <c r="BF210" s="79" t="n"/>
      <c r="BH210">
        <f>IF($BK210="",-999,($BK210-$A$1)*24)</f>
        <v/>
      </c>
      <c r="BI210">
        <f>IF($BK210="",-999,(IF($BL210&lt;&gt;"",$BL210,IF($C$1&gt;$BK210,$C$1,$BK210+MAX('Data Input'!E112*$BM210,0.5)/24))-$A$1)*24)</f>
        <v/>
      </c>
      <c r="BJ210">
        <f>IF($BK210="",0,IF($BM210&gt;=1,IF($BN210&lt;=0,2,3),IF($BN210&lt;=0,4,5)))</f>
        <v/>
      </c>
      <c r="BK210">
        <f>IF('Data Input'!Q112="","",'Data Input'!Q112)</f>
        <v/>
      </c>
      <c r="BL210">
        <f>IF('Data Input'!R112="","",'Data Input'!R112)</f>
        <v/>
      </c>
      <c r="BM210">
        <f>'Data Input'!S112</f>
        <v/>
      </c>
      <c r="BN210">
        <f>'Data Input'!Y112</f>
        <v/>
      </c>
      <c r="BO210">
        <f>IF($BM210&gt;=1,-999,MAX(($C$1-$A$1)*24,IF($BK210&lt;&gt;"",$BI210,$BP210-'Data Input'!E112)))</f>
        <v/>
      </c>
      <c r="BP210">
        <f>('Data Input'!D112+'Data Input'!Y112/24-$A$1)*24</f>
        <v/>
      </c>
    </row>
    <row r="211" ht="21" customHeight="1">
      <c r="A211" s="80">
        <f>"  TOTAL  -  "&amp;'Data Input'!$B$17</f>
        <v/>
      </c>
      <c r="B211" s="103" t="n"/>
      <c r="C211" s="81">
        <f>C15</f>
        <v/>
      </c>
      <c r="D211" s="82">
        <f>D15</f>
        <v/>
      </c>
      <c r="E211" s="82">
        <f>E15</f>
        <v/>
      </c>
      <c r="F211" s="83">
        <f>F15</f>
        <v/>
      </c>
      <c r="G211" s="84">
        <f>G15</f>
        <v/>
      </c>
      <c r="H211" s="85">
        <f>H15</f>
        <v/>
      </c>
      <c r="I211" s="86">
        <f>I15</f>
        <v/>
      </c>
      <c r="J211" s="38" t="n"/>
      <c r="K211" s="87">
        <f>"TOTAL  "&amp;TEXT(SUM('Data Input'!E87:E112),"0.0")&amp;" activity hours          Possession elapsed  "&amp;TEXT(MEDIAN(0,($C$1-$A$1)*24,($B$1-$A$1)*24),"0.0")&amp;"  of  "&amp;TEXT(($B$1-$A$1)*24,"0.0")&amp;" h          Report cut-off  "&amp;TEXT($C$1,"ddd dd-mmm hh:mm")</f>
        <v/>
      </c>
      <c r="L211" s="102" t="n"/>
      <c r="M211" s="102" t="n"/>
      <c r="N211" s="102" t="n"/>
      <c r="O211" s="102" t="n"/>
      <c r="P211" s="102" t="n"/>
      <c r="Q211" s="102" t="n"/>
      <c r="R211" s="102" t="n"/>
      <c r="S211" s="102" t="n"/>
      <c r="T211" s="102" t="n"/>
      <c r="U211" s="102" t="n"/>
      <c r="V211" s="102" t="n"/>
      <c r="W211" s="102" t="n"/>
      <c r="X211" s="102" t="n"/>
      <c r="Y211" s="102" t="n"/>
      <c r="Z211" s="102" t="n"/>
      <c r="AA211" s="102" t="n"/>
      <c r="AB211" s="102" t="n"/>
      <c r="AC211" s="102" t="n"/>
      <c r="AD211" s="102" t="n"/>
      <c r="AE211" s="102" t="n"/>
      <c r="AF211" s="102" t="n"/>
      <c r="AG211" s="102" t="n"/>
      <c r="AH211" s="102" t="n"/>
      <c r="AI211" s="102" t="n"/>
      <c r="AJ211" s="102" t="n"/>
      <c r="AK211" s="102" t="n"/>
      <c r="AL211" s="102" t="n"/>
      <c r="AM211" s="102" t="n"/>
      <c r="AN211" s="102" t="n"/>
      <c r="AO211" s="102" t="n"/>
      <c r="AP211" s="102" t="n"/>
      <c r="AQ211" s="102" t="n"/>
      <c r="AR211" s="102" t="n"/>
      <c r="AS211" s="102" t="n"/>
      <c r="AT211" s="102" t="n"/>
      <c r="AU211" s="102" t="n"/>
      <c r="AV211" s="102" t="n"/>
      <c r="AW211" s="102" t="n"/>
      <c r="AX211" s="102" t="n"/>
      <c r="AY211" s="102" t="n"/>
      <c r="AZ211" s="102" t="n"/>
      <c r="BA211" s="102" t="n"/>
      <c r="BB211" s="102" t="n"/>
      <c r="BC211" s="102" t="n"/>
      <c r="BD211" s="102" t="n"/>
      <c r="BE211" s="102" t="n"/>
      <c r="BF211" s="103" t="n"/>
    </row>
    <row r="212" ht="16" customHeight="1">
      <c r="A212" s="88" t="n"/>
      <c r="B212" s="89" t="inlineStr">
        <is>
          <t>Planned (baseline)</t>
        </is>
      </c>
      <c r="D212" s="90" t="inlineStr">
        <is>
          <t>Black line = report cut-off</t>
        </is>
      </c>
      <c r="G212" s="90" t="inlineStr">
        <is>
          <t>Time Variance = Forecast vs Planned Finish</t>
        </is>
      </c>
      <c r="O212" s="91" t="n"/>
      <c r="P212" s="89" t="inlineStr">
        <is>
          <t>Done on time</t>
        </is>
      </c>
      <c r="X212" s="92" t="n"/>
      <c r="Y212" s="89" t="inlineStr">
        <is>
          <t>Done late</t>
        </is>
      </c>
      <c r="AG212" s="93" t="n"/>
      <c r="AH212" s="89" t="inlineStr">
        <is>
          <t>In progress</t>
        </is>
      </c>
      <c r="AP212" s="94" t="n"/>
      <c r="AQ212" s="89" t="inlineStr">
        <is>
          <t>Behind</t>
        </is>
      </c>
      <c r="AY212" s="95" t="n"/>
      <c r="AZ212" s="89" t="inlineStr">
        <is>
          <t>Forecast</t>
        </is>
      </c>
    </row>
    <row r="214" ht="26" customHeight="1">
      <c r="A214" s="63" t="inlineStr">
        <is>
          <t xml:space="preserve">   EWR CULVERTS REPLACEMENT PHASE 2    -    CULVERT C288    -    KM 337+391    -    3 CELLS    -    SABATCO OTMP / Station 35</t>
        </is>
      </c>
    </row>
    <row r="215" ht="22" customHeight="1">
      <c r="A215" s="64">
        <f>"   3 cells        ACTUAL  "&amp;TEXT(H16,"0%")&amp;"        PLANNED  "&amp;TEXT(G16,"0%")&amp;"        PLAN FINISH  "&amp;TEXT(D16,"ddd dd-mmm hh:mm")</f>
        <v/>
      </c>
      <c r="K215" s="65">
        <f>C16&amp;"        FORECAST  "&amp;TEXT(E16,"ddd dd-mmm hh:mm")&amp;"        "&amp;TEXT(ABS(F16),"0.0")&amp;IF(F16&gt;0," h LATE",IF(F16&lt;0," h EARLY"," h"))</f>
        <v/>
      </c>
    </row>
    <row r="216" ht="28" customHeight="1">
      <c r="A216" s="22" t="inlineStr">
        <is>
          <t>No</t>
        </is>
      </c>
      <c r="B216" s="22" t="inlineStr">
        <is>
          <t>Activity</t>
        </is>
      </c>
      <c r="C216" s="22" t="inlineStr">
        <is>
          <t>Status</t>
        </is>
      </c>
      <c r="D216" s="22" t="inlineStr">
        <is>
          <t>Planned
Finish</t>
        </is>
      </c>
      <c r="E216" s="22" t="inlineStr">
        <is>
          <t>Forecast
Finish</t>
        </is>
      </c>
      <c r="F216" s="22" t="inlineStr">
        <is>
          <t>Time
Variance</t>
        </is>
      </c>
      <c r="G216" s="22" t="inlineStr">
        <is>
          <t>Plan
%</t>
        </is>
      </c>
      <c r="H216" s="22" t="inlineStr">
        <is>
          <t>Act.
%</t>
        </is>
      </c>
      <c r="I216" s="22" t="inlineStr">
        <is>
          <t>Buffer to
Hand-back</t>
        </is>
      </c>
      <c r="K216" s="120">
        <f>UPPER(TEXT($A$1+($D$1+0*$E$1)/24,"ddd  dd-mmm  hh:mm")&amp;"  to  "&amp;TEXT($A$1+($D$1+24*$E$1)/24,"ddd  dd-mmm  hh:mm"))</f>
        <v/>
      </c>
      <c r="AH216" s="114" t="n"/>
      <c r="AI216" s="120">
        <f>UPPER(TEXT($A$1+($D$1+24*$E$1)/24,"ddd  dd-mmm  hh:mm")&amp;"  to  "&amp;TEXT($A$1+($D$1+48*$E$1)/24,"ddd  dd-mmm  hh:mm"))</f>
        <v/>
      </c>
      <c r="BF216" s="114" t="n"/>
    </row>
    <row r="217" ht="15.75" customHeight="1">
      <c r="K217" s="121">
        <f>TEXT($A$1+($D$1+0*$E$1)/24,"hh:mm")&amp;" - "&amp;TEXT($A$1+($D$1+6*$E$1)/24,"hh:mm")</f>
        <v/>
      </c>
      <c r="P217" s="115" t="n"/>
      <c r="Q217" s="121">
        <f>TEXT($A$1+($D$1+6*$E$1)/24,"hh:mm")&amp;" - "&amp;TEXT($A$1+($D$1+12*$E$1)/24,"hh:mm")</f>
        <v/>
      </c>
      <c r="V217" s="115" t="n"/>
      <c r="W217" s="121">
        <f>TEXT($A$1+($D$1+12*$E$1)/24,"hh:mm")&amp;" - "&amp;TEXT($A$1+($D$1+18*$E$1)/24,"hh:mm")</f>
        <v/>
      </c>
      <c r="AB217" s="115" t="n"/>
      <c r="AC217" s="121">
        <f>TEXT($A$1+($D$1+18*$E$1)/24,"hh:mm")&amp;" - "&amp;TEXT($A$1+($D$1+24*$E$1)/24,"hh:mm")</f>
        <v/>
      </c>
      <c r="AH217" s="115" t="n"/>
      <c r="AI217" s="121">
        <f>TEXT($A$1+($D$1+24*$E$1)/24,"hh:mm")&amp;" - "&amp;TEXT($A$1+($D$1+30*$E$1)/24,"hh:mm")</f>
        <v/>
      </c>
      <c r="AN217" s="115" t="n"/>
      <c r="AO217" s="121">
        <f>TEXT($A$1+($D$1+30*$E$1)/24,"hh:mm")&amp;" - "&amp;TEXT($A$1+($D$1+36*$E$1)/24,"hh:mm")</f>
        <v/>
      </c>
      <c r="AT217" s="115" t="n"/>
      <c r="AU217" s="121">
        <f>TEXT($A$1+($D$1+36*$E$1)/24,"hh:mm")&amp;" - "&amp;TEXT($A$1+($D$1+42*$E$1)/24,"hh:mm")</f>
        <v/>
      </c>
      <c r="AZ217" s="115" t="n"/>
      <c r="BA217" s="121">
        <f>TEXT($A$1+($D$1+42*$E$1)/24,"hh:mm")&amp;" - "&amp;TEXT($A$1+($D$1+48*$E$1)/24,"hh:mm")</f>
        <v/>
      </c>
      <c r="BF217" s="115" t="n"/>
    </row>
    <row r="218" ht="11.5" customHeight="1">
      <c r="A218" s="68">
        <f>'Data Input'!A117</f>
        <v/>
      </c>
      <c r="B218" s="69">
        <f>'Data Input'!B117</f>
        <v/>
      </c>
      <c r="C218" s="70">
        <f>'Data Input'!O117</f>
        <v/>
      </c>
      <c r="D218" s="71">
        <f>'Data Input'!D117</f>
        <v/>
      </c>
      <c r="E218" s="72">
        <f>'Data Input'!D117+'Data Input'!Y117/24</f>
        <v/>
      </c>
      <c r="F218" s="73">
        <f>'Data Input'!Y117</f>
        <v/>
      </c>
      <c r="G218" s="74">
        <f>'Data Input'!T117</f>
        <v/>
      </c>
      <c r="H218" s="75">
        <f>'Data Input'!S117</f>
        <v/>
      </c>
      <c r="I218" s="57" t="n"/>
      <c r="J218" s="76" t="inlineStr">
        <is>
          <t>P</t>
        </is>
      </c>
      <c r="K218" s="77" t="n"/>
      <c r="L218" s="77" t="n"/>
      <c r="M218" s="77" t="n"/>
      <c r="N218" s="77" t="n"/>
      <c r="O218" s="77" t="n"/>
      <c r="P218" s="77" t="n"/>
      <c r="Q218" s="77" t="n"/>
      <c r="R218" s="77" t="n"/>
      <c r="S218" s="77" t="n"/>
      <c r="T218" s="77" t="n"/>
      <c r="U218" s="77" t="n"/>
      <c r="V218" s="77" t="n"/>
      <c r="W218" s="77" t="n"/>
      <c r="X218" s="77" t="n"/>
      <c r="Y218" s="77" t="n"/>
      <c r="Z218" s="77" t="n"/>
      <c r="AA218" s="77" t="n"/>
      <c r="AB218" s="77" t="n"/>
      <c r="AC218" s="77" t="n"/>
      <c r="AD218" s="77" t="n"/>
      <c r="AE218" s="77" t="n"/>
      <c r="AF218" s="77" t="n"/>
      <c r="AG218" s="77" t="n"/>
      <c r="AH218" s="77" t="n"/>
      <c r="AI218" s="77" t="n"/>
      <c r="AJ218" s="77" t="n"/>
      <c r="AK218" s="77" t="n"/>
      <c r="AL218" s="77" t="n"/>
      <c r="AM218" s="77" t="n"/>
      <c r="AN218" s="77" t="n"/>
      <c r="AO218" s="77" t="n"/>
      <c r="AP218" s="77" t="n"/>
      <c r="AQ218" s="77" t="n"/>
      <c r="AR218" s="77" t="n"/>
      <c r="AS218" s="77" t="n"/>
      <c r="AT218" s="77" t="n"/>
      <c r="AU218" s="77" t="n"/>
      <c r="AV218" s="77" t="n"/>
      <c r="AW218" s="77" t="n"/>
      <c r="AX218" s="77" t="n"/>
      <c r="AY218" s="77" t="n"/>
      <c r="AZ218" s="77" t="n"/>
      <c r="BA218" s="77" t="n"/>
      <c r="BB218" s="77" t="n"/>
      <c r="BC218" s="77" t="n"/>
      <c r="BD218" s="77" t="n"/>
      <c r="BE218" s="77" t="n"/>
      <c r="BF218" s="77" t="n"/>
      <c r="BH218">
        <f>('Data Input'!C117-$A$1)*24</f>
        <v/>
      </c>
      <c r="BI218">
        <f>('Data Input'!D117-$A$1)*24</f>
        <v/>
      </c>
      <c r="BJ218" t="n">
        <v>1</v>
      </c>
      <c r="BO218" t="n">
        <v>-999</v>
      </c>
      <c r="BP218" t="n">
        <v>-999</v>
      </c>
    </row>
    <row r="219" ht="11.5" customHeight="1">
      <c r="A219" s="78" t="n"/>
      <c r="B219" s="78" t="n"/>
      <c r="C219" s="78" t="n"/>
      <c r="D219" s="78" t="n"/>
      <c r="E219" s="78" t="n"/>
      <c r="F219" s="78" t="n"/>
      <c r="G219" s="78" t="n"/>
      <c r="H219" s="78" t="n"/>
      <c r="I219" s="78" t="n"/>
      <c r="J219" s="76" t="inlineStr">
        <is>
          <t>A</t>
        </is>
      </c>
      <c r="K219" s="79" t="n"/>
      <c r="L219" s="79" t="n"/>
      <c r="M219" s="79" t="n"/>
      <c r="N219" s="79" t="n"/>
      <c r="O219" s="79" t="n"/>
      <c r="P219" s="79" t="n"/>
      <c r="Q219" s="79" t="n"/>
      <c r="R219" s="79" t="n"/>
      <c r="S219" s="79" t="n"/>
      <c r="T219" s="79" t="n"/>
      <c r="U219" s="79" t="n"/>
      <c r="V219" s="79" t="n"/>
      <c r="W219" s="79" t="n"/>
      <c r="X219" s="79" t="n"/>
      <c r="Y219" s="79" t="n"/>
      <c r="Z219" s="79" t="n"/>
      <c r="AA219" s="79" t="n"/>
      <c r="AB219" s="79" t="n"/>
      <c r="AC219" s="79" t="n"/>
      <c r="AD219" s="79" t="n"/>
      <c r="AE219" s="79" t="n"/>
      <c r="AF219" s="79" t="n"/>
      <c r="AG219" s="79" t="n"/>
      <c r="AH219" s="79" t="n"/>
      <c r="AI219" s="79" t="n"/>
      <c r="AJ219" s="79" t="n"/>
      <c r="AK219" s="79" t="n"/>
      <c r="AL219" s="79" t="n"/>
      <c r="AM219" s="79" t="n"/>
      <c r="AN219" s="79" t="n"/>
      <c r="AO219" s="79" t="n"/>
      <c r="AP219" s="79" t="n"/>
      <c r="AQ219" s="79" t="n"/>
      <c r="AR219" s="79" t="n"/>
      <c r="AS219" s="79" t="n"/>
      <c r="AT219" s="79" t="n"/>
      <c r="AU219" s="79" t="n"/>
      <c r="AV219" s="79" t="n"/>
      <c r="AW219" s="79" t="n"/>
      <c r="AX219" s="79" t="n"/>
      <c r="AY219" s="79" t="n"/>
      <c r="AZ219" s="79" t="n"/>
      <c r="BA219" s="79" t="n"/>
      <c r="BB219" s="79" t="n"/>
      <c r="BC219" s="79" t="n"/>
      <c r="BD219" s="79" t="n"/>
      <c r="BE219" s="79" t="n"/>
      <c r="BF219" s="79" t="n"/>
      <c r="BH219">
        <f>IF($BK219="",-999,($BK219-$A$1)*24)</f>
        <v/>
      </c>
      <c r="BI219">
        <f>IF($BK219="",-999,(IF($BL219&lt;&gt;"",$BL219,IF($C$1&gt;$BK219,$C$1,$BK219+MAX('Data Input'!E117*$BM219,0.5)/24))-$A$1)*24)</f>
        <v/>
      </c>
      <c r="BJ219">
        <f>IF($BK219="",0,IF($BM219&gt;=1,IF($BN219&lt;=0,2,3),IF($BN219&lt;=0,4,5)))</f>
        <v/>
      </c>
      <c r="BK219">
        <f>IF('Data Input'!Q117="","",'Data Input'!Q117)</f>
        <v/>
      </c>
      <c r="BL219">
        <f>IF('Data Input'!R117="","",'Data Input'!R117)</f>
        <v/>
      </c>
      <c r="BM219">
        <f>'Data Input'!S117</f>
        <v/>
      </c>
      <c r="BN219">
        <f>'Data Input'!Y117</f>
        <v/>
      </c>
      <c r="BO219">
        <f>IF($BM219&gt;=1,-999,MAX(($C$1-$A$1)*24,IF($BK219&lt;&gt;"",$BI219,$BP219-'Data Input'!E117)))</f>
        <v/>
      </c>
      <c r="BP219">
        <f>('Data Input'!D117+'Data Input'!Y117/24-$A$1)*24</f>
        <v/>
      </c>
    </row>
    <row r="220" ht="11.5" customHeight="1">
      <c r="A220" s="68">
        <f>'Data Input'!A118</f>
        <v/>
      </c>
      <c r="B220" s="69">
        <f>'Data Input'!B118</f>
        <v/>
      </c>
      <c r="C220" s="70">
        <f>'Data Input'!O118</f>
        <v/>
      </c>
      <c r="D220" s="71">
        <f>'Data Input'!D118</f>
        <v/>
      </c>
      <c r="E220" s="72">
        <f>'Data Input'!D118+'Data Input'!Y118/24</f>
        <v/>
      </c>
      <c r="F220" s="73">
        <f>'Data Input'!Y118</f>
        <v/>
      </c>
      <c r="G220" s="74">
        <f>'Data Input'!T118</f>
        <v/>
      </c>
      <c r="H220" s="75">
        <f>'Data Input'!S118</f>
        <v/>
      </c>
      <c r="I220" s="57" t="n"/>
      <c r="J220" s="76" t="inlineStr">
        <is>
          <t>P</t>
        </is>
      </c>
      <c r="K220" s="77" t="n"/>
      <c r="L220" s="77" t="n"/>
      <c r="M220" s="77" t="n"/>
      <c r="N220" s="77" t="n"/>
      <c r="O220" s="77" t="n"/>
      <c r="P220" s="77" t="n"/>
      <c r="Q220" s="77" t="n"/>
      <c r="R220" s="77" t="n"/>
      <c r="S220" s="77" t="n"/>
      <c r="T220" s="77" t="n"/>
      <c r="U220" s="77" t="n"/>
      <c r="V220" s="77" t="n"/>
      <c r="W220" s="77" t="n"/>
      <c r="X220" s="77" t="n"/>
      <c r="Y220" s="77" t="n"/>
      <c r="Z220" s="77" t="n"/>
      <c r="AA220" s="77" t="n"/>
      <c r="AB220" s="77" t="n"/>
      <c r="AC220" s="77" t="n"/>
      <c r="AD220" s="77" t="n"/>
      <c r="AE220" s="77" t="n"/>
      <c r="AF220" s="77" t="n"/>
      <c r="AG220" s="77" t="n"/>
      <c r="AH220" s="77" t="n"/>
      <c r="AI220" s="77" t="n"/>
      <c r="AJ220" s="77" t="n"/>
      <c r="AK220" s="77" t="n"/>
      <c r="AL220" s="77" t="n"/>
      <c r="AM220" s="77" t="n"/>
      <c r="AN220" s="77" t="n"/>
      <c r="AO220" s="77" t="n"/>
      <c r="AP220" s="77" t="n"/>
      <c r="AQ220" s="77" t="n"/>
      <c r="AR220" s="77" t="n"/>
      <c r="AS220" s="77" t="n"/>
      <c r="AT220" s="77" t="n"/>
      <c r="AU220" s="77" t="n"/>
      <c r="AV220" s="77" t="n"/>
      <c r="AW220" s="77" t="n"/>
      <c r="AX220" s="77" t="n"/>
      <c r="AY220" s="77" t="n"/>
      <c r="AZ220" s="77" t="n"/>
      <c r="BA220" s="77" t="n"/>
      <c r="BB220" s="77" t="n"/>
      <c r="BC220" s="77" t="n"/>
      <c r="BD220" s="77" t="n"/>
      <c r="BE220" s="77" t="n"/>
      <c r="BF220" s="77" t="n"/>
      <c r="BH220">
        <f>('Data Input'!C118-$A$1)*24</f>
        <v/>
      </c>
      <c r="BI220">
        <f>('Data Input'!D118-$A$1)*24</f>
        <v/>
      </c>
      <c r="BJ220" t="n">
        <v>1</v>
      </c>
      <c r="BO220" t="n">
        <v>-999</v>
      </c>
      <c r="BP220" t="n">
        <v>-999</v>
      </c>
    </row>
    <row r="221" ht="11.5" customHeight="1">
      <c r="A221" s="78" t="n"/>
      <c r="B221" s="78" t="n"/>
      <c r="C221" s="78" t="n"/>
      <c r="D221" s="78" t="n"/>
      <c r="E221" s="78" t="n"/>
      <c r="F221" s="78" t="n"/>
      <c r="G221" s="78" t="n"/>
      <c r="H221" s="78" t="n"/>
      <c r="I221" s="78" t="n"/>
      <c r="J221" s="76" t="inlineStr">
        <is>
          <t>A</t>
        </is>
      </c>
      <c r="K221" s="79" t="n"/>
      <c r="L221" s="79" t="n"/>
      <c r="M221" s="79" t="n"/>
      <c r="N221" s="79" t="n"/>
      <c r="O221" s="79" t="n"/>
      <c r="P221" s="79" t="n"/>
      <c r="Q221" s="79" t="n"/>
      <c r="R221" s="79" t="n"/>
      <c r="S221" s="79" t="n"/>
      <c r="T221" s="79" t="n"/>
      <c r="U221" s="79" t="n"/>
      <c r="V221" s="79" t="n"/>
      <c r="W221" s="79" t="n"/>
      <c r="X221" s="79" t="n"/>
      <c r="Y221" s="79" t="n"/>
      <c r="Z221" s="79" t="n"/>
      <c r="AA221" s="79" t="n"/>
      <c r="AB221" s="79" t="n"/>
      <c r="AC221" s="79" t="n"/>
      <c r="AD221" s="79" t="n"/>
      <c r="AE221" s="79" t="n"/>
      <c r="AF221" s="79" t="n"/>
      <c r="AG221" s="79" t="n"/>
      <c r="AH221" s="79" t="n"/>
      <c r="AI221" s="79" t="n"/>
      <c r="AJ221" s="79" t="n"/>
      <c r="AK221" s="79" t="n"/>
      <c r="AL221" s="79" t="n"/>
      <c r="AM221" s="79" t="n"/>
      <c r="AN221" s="79" t="n"/>
      <c r="AO221" s="79" t="n"/>
      <c r="AP221" s="79" t="n"/>
      <c r="AQ221" s="79" t="n"/>
      <c r="AR221" s="79" t="n"/>
      <c r="AS221" s="79" t="n"/>
      <c r="AT221" s="79" t="n"/>
      <c r="AU221" s="79" t="n"/>
      <c r="AV221" s="79" t="n"/>
      <c r="AW221" s="79" t="n"/>
      <c r="AX221" s="79" t="n"/>
      <c r="AY221" s="79" t="n"/>
      <c r="AZ221" s="79" t="n"/>
      <c r="BA221" s="79" t="n"/>
      <c r="BB221" s="79" t="n"/>
      <c r="BC221" s="79" t="n"/>
      <c r="BD221" s="79" t="n"/>
      <c r="BE221" s="79" t="n"/>
      <c r="BF221" s="79" t="n"/>
      <c r="BH221">
        <f>IF($BK221="",-999,($BK221-$A$1)*24)</f>
        <v/>
      </c>
      <c r="BI221">
        <f>IF($BK221="",-999,(IF($BL221&lt;&gt;"",$BL221,IF($C$1&gt;$BK221,$C$1,$BK221+MAX('Data Input'!E118*$BM221,0.5)/24))-$A$1)*24)</f>
        <v/>
      </c>
      <c r="BJ221">
        <f>IF($BK221="",0,IF($BM221&gt;=1,IF($BN221&lt;=0,2,3),IF($BN221&lt;=0,4,5)))</f>
        <v/>
      </c>
      <c r="BK221">
        <f>IF('Data Input'!Q118="","",'Data Input'!Q118)</f>
        <v/>
      </c>
      <c r="BL221">
        <f>IF('Data Input'!R118="","",'Data Input'!R118)</f>
        <v/>
      </c>
      <c r="BM221">
        <f>'Data Input'!S118</f>
        <v/>
      </c>
      <c r="BN221">
        <f>'Data Input'!Y118</f>
        <v/>
      </c>
      <c r="BO221">
        <f>IF($BM221&gt;=1,-999,MAX(($C$1-$A$1)*24,IF($BK221&lt;&gt;"",$BI221,$BP221-'Data Input'!E118)))</f>
        <v/>
      </c>
      <c r="BP221">
        <f>('Data Input'!D118+'Data Input'!Y118/24-$A$1)*24</f>
        <v/>
      </c>
    </row>
    <row r="222" ht="11.5" customHeight="1">
      <c r="A222" s="68">
        <f>'Data Input'!A119</f>
        <v/>
      </c>
      <c r="B222" s="69">
        <f>'Data Input'!B119</f>
        <v/>
      </c>
      <c r="C222" s="70">
        <f>'Data Input'!O119</f>
        <v/>
      </c>
      <c r="D222" s="71">
        <f>'Data Input'!D119</f>
        <v/>
      </c>
      <c r="E222" s="72">
        <f>'Data Input'!D119+'Data Input'!Y119/24</f>
        <v/>
      </c>
      <c r="F222" s="73">
        <f>'Data Input'!Y119</f>
        <v/>
      </c>
      <c r="G222" s="74">
        <f>'Data Input'!T119</f>
        <v/>
      </c>
      <c r="H222" s="75">
        <f>'Data Input'!S119</f>
        <v/>
      </c>
      <c r="I222" s="57" t="n"/>
      <c r="J222" s="76" t="inlineStr">
        <is>
          <t>P</t>
        </is>
      </c>
      <c r="K222" s="77" t="n"/>
      <c r="L222" s="77" t="n"/>
      <c r="M222" s="77" t="n"/>
      <c r="N222" s="77" t="n"/>
      <c r="O222" s="77" t="n"/>
      <c r="P222" s="77" t="n"/>
      <c r="Q222" s="77" t="n"/>
      <c r="R222" s="77" t="n"/>
      <c r="S222" s="77" t="n"/>
      <c r="T222" s="77" t="n"/>
      <c r="U222" s="77" t="n"/>
      <c r="V222" s="77" t="n"/>
      <c r="W222" s="77" t="n"/>
      <c r="X222" s="77" t="n"/>
      <c r="Y222" s="77" t="n"/>
      <c r="Z222" s="77" t="n"/>
      <c r="AA222" s="77" t="n"/>
      <c r="AB222" s="77" t="n"/>
      <c r="AC222" s="77" t="n"/>
      <c r="AD222" s="77" t="n"/>
      <c r="AE222" s="77" t="n"/>
      <c r="AF222" s="77" t="n"/>
      <c r="AG222" s="77" t="n"/>
      <c r="AH222" s="77" t="n"/>
      <c r="AI222" s="77" t="n"/>
      <c r="AJ222" s="77" t="n"/>
      <c r="AK222" s="77" t="n"/>
      <c r="AL222" s="77" t="n"/>
      <c r="AM222" s="77" t="n"/>
      <c r="AN222" s="77" t="n"/>
      <c r="AO222" s="77" t="n"/>
      <c r="AP222" s="77" t="n"/>
      <c r="AQ222" s="77" t="n"/>
      <c r="AR222" s="77" t="n"/>
      <c r="AS222" s="77" t="n"/>
      <c r="AT222" s="77" t="n"/>
      <c r="AU222" s="77" t="n"/>
      <c r="AV222" s="77" t="n"/>
      <c r="AW222" s="77" t="n"/>
      <c r="AX222" s="77" t="n"/>
      <c r="AY222" s="77" t="n"/>
      <c r="AZ222" s="77" t="n"/>
      <c r="BA222" s="77" t="n"/>
      <c r="BB222" s="77" t="n"/>
      <c r="BC222" s="77" t="n"/>
      <c r="BD222" s="77" t="n"/>
      <c r="BE222" s="77" t="n"/>
      <c r="BF222" s="77" t="n"/>
      <c r="BH222">
        <f>('Data Input'!C119-$A$1)*24</f>
        <v/>
      </c>
      <c r="BI222">
        <f>('Data Input'!D119-$A$1)*24</f>
        <v/>
      </c>
      <c r="BJ222" t="n">
        <v>1</v>
      </c>
      <c r="BO222" t="n">
        <v>-999</v>
      </c>
      <c r="BP222" t="n">
        <v>-999</v>
      </c>
    </row>
    <row r="223" ht="11.5" customHeight="1">
      <c r="A223" s="78" t="n"/>
      <c r="B223" s="78" t="n"/>
      <c r="C223" s="78" t="n"/>
      <c r="D223" s="78" t="n"/>
      <c r="E223" s="78" t="n"/>
      <c r="F223" s="78" t="n"/>
      <c r="G223" s="78" t="n"/>
      <c r="H223" s="78" t="n"/>
      <c r="I223" s="78" t="n"/>
      <c r="J223" s="76" t="inlineStr">
        <is>
          <t>A</t>
        </is>
      </c>
      <c r="K223" s="79" t="n"/>
      <c r="L223" s="79" t="n"/>
      <c r="M223" s="79" t="n"/>
      <c r="N223" s="79" t="n"/>
      <c r="O223" s="79" t="n"/>
      <c r="P223" s="79" t="n"/>
      <c r="Q223" s="79" t="n"/>
      <c r="R223" s="79" t="n"/>
      <c r="S223" s="79" t="n"/>
      <c r="T223" s="79" t="n"/>
      <c r="U223" s="79" t="n"/>
      <c r="V223" s="79" t="n"/>
      <c r="W223" s="79" t="n"/>
      <c r="X223" s="79" t="n"/>
      <c r="Y223" s="79" t="n"/>
      <c r="Z223" s="79" t="n"/>
      <c r="AA223" s="79" t="n"/>
      <c r="AB223" s="79" t="n"/>
      <c r="AC223" s="79" t="n"/>
      <c r="AD223" s="79" t="n"/>
      <c r="AE223" s="79" t="n"/>
      <c r="AF223" s="79" t="n"/>
      <c r="AG223" s="79" t="n"/>
      <c r="AH223" s="79" t="n"/>
      <c r="AI223" s="79" t="n"/>
      <c r="AJ223" s="79" t="n"/>
      <c r="AK223" s="79" t="n"/>
      <c r="AL223" s="79" t="n"/>
      <c r="AM223" s="79" t="n"/>
      <c r="AN223" s="79" t="n"/>
      <c r="AO223" s="79" t="n"/>
      <c r="AP223" s="79" t="n"/>
      <c r="AQ223" s="79" t="n"/>
      <c r="AR223" s="79" t="n"/>
      <c r="AS223" s="79" t="n"/>
      <c r="AT223" s="79" t="n"/>
      <c r="AU223" s="79" t="n"/>
      <c r="AV223" s="79" t="n"/>
      <c r="AW223" s="79" t="n"/>
      <c r="AX223" s="79" t="n"/>
      <c r="AY223" s="79" t="n"/>
      <c r="AZ223" s="79" t="n"/>
      <c r="BA223" s="79" t="n"/>
      <c r="BB223" s="79" t="n"/>
      <c r="BC223" s="79" t="n"/>
      <c r="BD223" s="79" t="n"/>
      <c r="BE223" s="79" t="n"/>
      <c r="BF223" s="79" t="n"/>
      <c r="BH223">
        <f>IF($BK223="",-999,($BK223-$A$1)*24)</f>
        <v/>
      </c>
      <c r="BI223">
        <f>IF($BK223="",-999,(IF($BL223&lt;&gt;"",$BL223,IF($C$1&gt;$BK223,$C$1,$BK223+MAX('Data Input'!E119*$BM223,0.5)/24))-$A$1)*24)</f>
        <v/>
      </c>
      <c r="BJ223">
        <f>IF($BK223="",0,IF($BM223&gt;=1,IF($BN223&lt;=0,2,3),IF($BN223&lt;=0,4,5)))</f>
        <v/>
      </c>
      <c r="BK223">
        <f>IF('Data Input'!Q119="","",'Data Input'!Q119)</f>
        <v/>
      </c>
      <c r="BL223">
        <f>IF('Data Input'!R119="","",'Data Input'!R119)</f>
        <v/>
      </c>
      <c r="BM223">
        <f>'Data Input'!S119</f>
        <v/>
      </c>
      <c r="BN223">
        <f>'Data Input'!Y119</f>
        <v/>
      </c>
      <c r="BO223">
        <f>IF($BM223&gt;=1,-999,MAX(($C$1-$A$1)*24,IF($BK223&lt;&gt;"",$BI223,$BP223-'Data Input'!E119)))</f>
        <v/>
      </c>
      <c r="BP223">
        <f>('Data Input'!D119+'Data Input'!Y119/24-$A$1)*24</f>
        <v/>
      </c>
    </row>
    <row r="224" ht="11.5" customHeight="1">
      <c r="A224" s="68">
        <f>'Data Input'!A120</f>
        <v/>
      </c>
      <c r="B224" s="69">
        <f>'Data Input'!B120</f>
        <v/>
      </c>
      <c r="C224" s="70">
        <f>'Data Input'!O120</f>
        <v/>
      </c>
      <c r="D224" s="71">
        <f>'Data Input'!D120</f>
        <v/>
      </c>
      <c r="E224" s="72">
        <f>'Data Input'!D120+'Data Input'!Y120/24</f>
        <v/>
      </c>
      <c r="F224" s="73">
        <f>'Data Input'!Y120</f>
        <v/>
      </c>
      <c r="G224" s="74">
        <f>'Data Input'!T120</f>
        <v/>
      </c>
      <c r="H224" s="75">
        <f>'Data Input'!S120</f>
        <v/>
      </c>
      <c r="I224" s="57" t="n"/>
      <c r="J224" s="76" t="inlineStr">
        <is>
          <t>P</t>
        </is>
      </c>
      <c r="K224" s="77" t="n"/>
      <c r="L224" s="77" t="n"/>
      <c r="M224" s="77" t="n"/>
      <c r="N224" s="77" t="n"/>
      <c r="O224" s="77" t="n"/>
      <c r="P224" s="77" t="n"/>
      <c r="Q224" s="77" t="n"/>
      <c r="R224" s="77" t="n"/>
      <c r="S224" s="77" t="n"/>
      <c r="T224" s="77" t="n"/>
      <c r="U224" s="77" t="n"/>
      <c r="V224" s="77" t="n"/>
      <c r="W224" s="77" t="n"/>
      <c r="X224" s="77" t="n"/>
      <c r="Y224" s="77" t="n"/>
      <c r="Z224" s="77" t="n"/>
      <c r="AA224" s="77" t="n"/>
      <c r="AB224" s="77" t="n"/>
      <c r="AC224" s="77" t="n"/>
      <c r="AD224" s="77" t="n"/>
      <c r="AE224" s="77" t="n"/>
      <c r="AF224" s="77" t="n"/>
      <c r="AG224" s="77" t="n"/>
      <c r="AH224" s="77" t="n"/>
      <c r="AI224" s="77" t="n"/>
      <c r="AJ224" s="77" t="n"/>
      <c r="AK224" s="77" t="n"/>
      <c r="AL224" s="77" t="n"/>
      <c r="AM224" s="77" t="n"/>
      <c r="AN224" s="77" t="n"/>
      <c r="AO224" s="77" t="n"/>
      <c r="AP224" s="77" t="n"/>
      <c r="AQ224" s="77" t="n"/>
      <c r="AR224" s="77" t="n"/>
      <c r="AS224" s="77" t="n"/>
      <c r="AT224" s="77" t="n"/>
      <c r="AU224" s="77" t="n"/>
      <c r="AV224" s="77" t="n"/>
      <c r="AW224" s="77" t="n"/>
      <c r="AX224" s="77" t="n"/>
      <c r="AY224" s="77" t="n"/>
      <c r="AZ224" s="77" t="n"/>
      <c r="BA224" s="77" t="n"/>
      <c r="BB224" s="77" t="n"/>
      <c r="BC224" s="77" t="n"/>
      <c r="BD224" s="77" t="n"/>
      <c r="BE224" s="77" t="n"/>
      <c r="BF224" s="77" t="n"/>
      <c r="BH224">
        <f>('Data Input'!C120-$A$1)*24</f>
        <v/>
      </c>
      <c r="BI224">
        <f>('Data Input'!D120-$A$1)*24</f>
        <v/>
      </c>
      <c r="BJ224" t="n">
        <v>1</v>
      </c>
      <c r="BO224" t="n">
        <v>-999</v>
      </c>
      <c r="BP224" t="n">
        <v>-999</v>
      </c>
    </row>
    <row r="225" ht="11.5" customHeight="1">
      <c r="A225" s="78" t="n"/>
      <c r="B225" s="78" t="n"/>
      <c r="C225" s="78" t="n"/>
      <c r="D225" s="78" t="n"/>
      <c r="E225" s="78" t="n"/>
      <c r="F225" s="78" t="n"/>
      <c r="G225" s="78" t="n"/>
      <c r="H225" s="78" t="n"/>
      <c r="I225" s="78" t="n"/>
      <c r="J225" s="76" t="inlineStr">
        <is>
          <t>A</t>
        </is>
      </c>
      <c r="K225" s="79" t="n"/>
      <c r="L225" s="79" t="n"/>
      <c r="M225" s="79" t="n"/>
      <c r="N225" s="79" t="n"/>
      <c r="O225" s="79" t="n"/>
      <c r="P225" s="79" t="n"/>
      <c r="Q225" s="79" t="n"/>
      <c r="R225" s="79" t="n"/>
      <c r="S225" s="79" t="n"/>
      <c r="T225" s="79" t="n"/>
      <c r="U225" s="79" t="n"/>
      <c r="V225" s="79" t="n"/>
      <c r="W225" s="79" t="n"/>
      <c r="X225" s="79" t="n"/>
      <c r="Y225" s="79" t="n"/>
      <c r="Z225" s="79" t="n"/>
      <c r="AA225" s="79" t="n"/>
      <c r="AB225" s="79" t="n"/>
      <c r="AC225" s="79" t="n"/>
      <c r="AD225" s="79" t="n"/>
      <c r="AE225" s="79" t="n"/>
      <c r="AF225" s="79" t="n"/>
      <c r="AG225" s="79" t="n"/>
      <c r="AH225" s="79" t="n"/>
      <c r="AI225" s="79" t="n"/>
      <c r="AJ225" s="79" t="n"/>
      <c r="AK225" s="79" t="n"/>
      <c r="AL225" s="79" t="n"/>
      <c r="AM225" s="79" t="n"/>
      <c r="AN225" s="79" t="n"/>
      <c r="AO225" s="79" t="n"/>
      <c r="AP225" s="79" t="n"/>
      <c r="AQ225" s="79" t="n"/>
      <c r="AR225" s="79" t="n"/>
      <c r="AS225" s="79" t="n"/>
      <c r="AT225" s="79" t="n"/>
      <c r="AU225" s="79" t="n"/>
      <c r="AV225" s="79" t="n"/>
      <c r="AW225" s="79" t="n"/>
      <c r="AX225" s="79" t="n"/>
      <c r="AY225" s="79" t="n"/>
      <c r="AZ225" s="79" t="n"/>
      <c r="BA225" s="79" t="n"/>
      <c r="BB225" s="79" t="n"/>
      <c r="BC225" s="79" t="n"/>
      <c r="BD225" s="79" t="n"/>
      <c r="BE225" s="79" t="n"/>
      <c r="BF225" s="79" t="n"/>
      <c r="BH225">
        <f>IF($BK225="",-999,($BK225-$A$1)*24)</f>
        <v/>
      </c>
      <c r="BI225">
        <f>IF($BK225="",-999,(IF($BL225&lt;&gt;"",$BL225,IF($C$1&gt;$BK225,$C$1,$BK225+MAX('Data Input'!E120*$BM225,0.5)/24))-$A$1)*24)</f>
        <v/>
      </c>
      <c r="BJ225">
        <f>IF($BK225="",0,IF($BM225&gt;=1,IF($BN225&lt;=0,2,3),IF($BN225&lt;=0,4,5)))</f>
        <v/>
      </c>
      <c r="BK225">
        <f>IF('Data Input'!Q120="","",'Data Input'!Q120)</f>
        <v/>
      </c>
      <c r="BL225">
        <f>IF('Data Input'!R120="","",'Data Input'!R120)</f>
        <v/>
      </c>
      <c r="BM225">
        <f>'Data Input'!S120</f>
        <v/>
      </c>
      <c r="BN225">
        <f>'Data Input'!Y120</f>
        <v/>
      </c>
      <c r="BO225">
        <f>IF($BM225&gt;=1,-999,MAX(($C$1-$A$1)*24,IF($BK225&lt;&gt;"",$BI225,$BP225-'Data Input'!E120)))</f>
        <v/>
      </c>
      <c r="BP225">
        <f>('Data Input'!D120+'Data Input'!Y120/24-$A$1)*24</f>
        <v/>
      </c>
    </row>
    <row r="226" ht="11.5" customHeight="1">
      <c r="A226" s="68">
        <f>'Data Input'!A121</f>
        <v/>
      </c>
      <c r="B226" s="69">
        <f>'Data Input'!B121</f>
        <v/>
      </c>
      <c r="C226" s="70">
        <f>'Data Input'!O121</f>
        <v/>
      </c>
      <c r="D226" s="71">
        <f>'Data Input'!D121</f>
        <v/>
      </c>
      <c r="E226" s="72">
        <f>'Data Input'!D121+'Data Input'!Y121/24</f>
        <v/>
      </c>
      <c r="F226" s="73">
        <f>'Data Input'!Y121</f>
        <v/>
      </c>
      <c r="G226" s="74">
        <f>'Data Input'!T121</f>
        <v/>
      </c>
      <c r="H226" s="75">
        <f>'Data Input'!S121</f>
        <v/>
      </c>
      <c r="I226" s="57" t="n"/>
      <c r="J226" s="76" t="inlineStr">
        <is>
          <t>P</t>
        </is>
      </c>
      <c r="K226" s="77" t="n"/>
      <c r="L226" s="77" t="n"/>
      <c r="M226" s="77" t="n"/>
      <c r="N226" s="77" t="n"/>
      <c r="O226" s="77" t="n"/>
      <c r="P226" s="77" t="n"/>
      <c r="Q226" s="77" t="n"/>
      <c r="R226" s="77" t="n"/>
      <c r="S226" s="77" t="n"/>
      <c r="T226" s="77" t="n"/>
      <c r="U226" s="77" t="n"/>
      <c r="V226" s="77" t="n"/>
      <c r="W226" s="77" t="n"/>
      <c r="X226" s="77" t="n"/>
      <c r="Y226" s="77" t="n"/>
      <c r="Z226" s="77" t="n"/>
      <c r="AA226" s="77" t="n"/>
      <c r="AB226" s="77" t="n"/>
      <c r="AC226" s="77" t="n"/>
      <c r="AD226" s="77" t="n"/>
      <c r="AE226" s="77" t="n"/>
      <c r="AF226" s="77" t="n"/>
      <c r="AG226" s="77" t="n"/>
      <c r="AH226" s="77" t="n"/>
      <c r="AI226" s="77" t="n"/>
      <c r="AJ226" s="77" t="n"/>
      <c r="AK226" s="77" t="n"/>
      <c r="AL226" s="77" t="n"/>
      <c r="AM226" s="77" t="n"/>
      <c r="AN226" s="77" t="n"/>
      <c r="AO226" s="77" t="n"/>
      <c r="AP226" s="77" t="n"/>
      <c r="AQ226" s="77" t="n"/>
      <c r="AR226" s="77" t="n"/>
      <c r="AS226" s="77" t="n"/>
      <c r="AT226" s="77" t="n"/>
      <c r="AU226" s="77" t="n"/>
      <c r="AV226" s="77" t="n"/>
      <c r="AW226" s="77" t="n"/>
      <c r="AX226" s="77" t="n"/>
      <c r="AY226" s="77" t="n"/>
      <c r="AZ226" s="77" t="n"/>
      <c r="BA226" s="77" t="n"/>
      <c r="BB226" s="77" t="n"/>
      <c r="BC226" s="77" t="n"/>
      <c r="BD226" s="77" t="n"/>
      <c r="BE226" s="77" t="n"/>
      <c r="BF226" s="77" t="n"/>
      <c r="BH226">
        <f>('Data Input'!C121-$A$1)*24</f>
        <v/>
      </c>
      <c r="BI226">
        <f>('Data Input'!D121-$A$1)*24</f>
        <v/>
      </c>
      <c r="BJ226" t="n">
        <v>1</v>
      </c>
      <c r="BO226" t="n">
        <v>-999</v>
      </c>
      <c r="BP226" t="n">
        <v>-999</v>
      </c>
    </row>
    <row r="227" ht="11.5" customHeight="1">
      <c r="A227" s="78" t="n"/>
      <c r="B227" s="78" t="n"/>
      <c r="C227" s="78" t="n"/>
      <c r="D227" s="78" t="n"/>
      <c r="E227" s="78" t="n"/>
      <c r="F227" s="78" t="n"/>
      <c r="G227" s="78" t="n"/>
      <c r="H227" s="78" t="n"/>
      <c r="I227" s="78" t="n"/>
      <c r="J227" s="76" t="inlineStr">
        <is>
          <t>A</t>
        </is>
      </c>
      <c r="K227" s="79" t="n"/>
      <c r="L227" s="79" t="n"/>
      <c r="M227" s="79" t="n"/>
      <c r="N227" s="79" t="n"/>
      <c r="O227" s="79" t="n"/>
      <c r="P227" s="79" t="n"/>
      <c r="Q227" s="79" t="n"/>
      <c r="R227" s="79" t="n"/>
      <c r="S227" s="79" t="n"/>
      <c r="T227" s="79" t="n"/>
      <c r="U227" s="79" t="n"/>
      <c r="V227" s="79" t="n"/>
      <c r="W227" s="79" t="n"/>
      <c r="X227" s="79" t="n"/>
      <c r="Y227" s="79" t="n"/>
      <c r="Z227" s="79" t="n"/>
      <c r="AA227" s="79" t="n"/>
      <c r="AB227" s="79" t="n"/>
      <c r="AC227" s="79" t="n"/>
      <c r="AD227" s="79" t="n"/>
      <c r="AE227" s="79" t="n"/>
      <c r="AF227" s="79" t="n"/>
      <c r="AG227" s="79" t="n"/>
      <c r="AH227" s="79" t="n"/>
      <c r="AI227" s="79" t="n"/>
      <c r="AJ227" s="79" t="n"/>
      <c r="AK227" s="79" t="n"/>
      <c r="AL227" s="79" t="n"/>
      <c r="AM227" s="79" t="n"/>
      <c r="AN227" s="79" t="n"/>
      <c r="AO227" s="79" t="n"/>
      <c r="AP227" s="79" t="n"/>
      <c r="AQ227" s="79" t="n"/>
      <c r="AR227" s="79" t="n"/>
      <c r="AS227" s="79" t="n"/>
      <c r="AT227" s="79" t="n"/>
      <c r="AU227" s="79" t="n"/>
      <c r="AV227" s="79" t="n"/>
      <c r="AW227" s="79" t="n"/>
      <c r="AX227" s="79" t="n"/>
      <c r="AY227" s="79" t="n"/>
      <c r="AZ227" s="79" t="n"/>
      <c r="BA227" s="79" t="n"/>
      <c r="BB227" s="79" t="n"/>
      <c r="BC227" s="79" t="n"/>
      <c r="BD227" s="79" t="n"/>
      <c r="BE227" s="79" t="n"/>
      <c r="BF227" s="79" t="n"/>
      <c r="BH227">
        <f>IF($BK227="",-999,($BK227-$A$1)*24)</f>
        <v/>
      </c>
      <c r="BI227">
        <f>IF($BK227="",-999,(IF($BL227&lt;&gt;"",$BL227,IF($C$1&gt;$BK227,$C$1,$BK227+MAX('Data Input'!E121*$BM227,0.5)/24))-$A$1)*24)</f>
        <v/>
      </c>
      <c r="BJ227">
        <f>IF($BK227="",0,IF($BM227&gt;=1,IF($BN227&lt;=0,2,3),IF($BN227&lt;=0,4,5)))</f>
        <v/>
      </c>
      <c r="BK227">
        <f>IF('Data Input'!Q121="","",'Data Input'!Q121)</f>
        <v/>
      </c>
      <c r="BL227">
        <f>IF('Data Input'!R121="","",'Data Input'!R121)</f>
        <v/>
      </c>
      <c r="BM227">
        <f>'Data Input'!S121</f>
        <v/>
      </c>
      <c r="BN227">
        <f>'Data Input'!Y121</f>
        <v/>
      </c>
      <c r="BO227">
        <f>IF($BM227&gt;=1,-999,MAX(($C$1-$A$1)*24,IF($BK227&lt;&gt;"",$BI227,$BP227-'Data Input'!E121)))</f>
        <v/>
      </c>
      <c r="BP227">
        <f>('Data Input'!D121+'Data Input'!Y121/24-$A$1)*24</f>
        <v/>
      </c>
    </row>
    <row r="228" ht="11.5" customHeight="1">
      <c r="A228" s="68">
        <f>'Data Input'!A122</f>
        <v/>
      </c>
      <c r="B228" s="69">
        <f>'Data Input'!B122</f>
        <v/>
      </c>
      <c r="C228" s="70">
        <f>'Data Input'!O122</f>
        <v/>
      </c>
      <c r="D228" s="71">
        <f>'Data Input'!D122</f>
        <v/>
      </c>
      <c r="E228" s="72">
        <f>'Data Input'!D122+'Data Input'!Y122/24</f>
        <v/>
      </c>
      <c r="F228" s="73">
        <f>'Data Input'!Y122</f>
        <v/>
      </c>
      <c r="G228" s="74">
        <f>'Data Input'!T122</f>
        <v/>
      </c>
      <c r="H228" s="75">
        <f>'Data Input'!S122</f>
        <v/>
      </c>
      <c r="I228" s="57" t="n"/>
      <c r="J228" s="76" t="inlineStr">
        <is>
          <t>P</t>
        </is>
      </c>
      <c r="K228" s="77" t="n"/>
      <c r="L228" s="77" t="n"/>
      <c r="M228" s="77" t="n"/>
      <c r="N228" s="77" t="n"/>
      <c r="O228" s="77" t="n"/>
      <c r="P228" s="77" t="n"/>
      <c r="Q228" s="77" t="n"/>
      <c r="R228" s="77" t="n"/>
      <c r="S228" s="77" t="n"/>
      <c r="T228" s="77" t="n"/>
      <c r="U228" s="77" t="n"/>
      <c r="V228" s="77" t="n"/>
      <c r="W228" s="77" t="n"/>
      <c r="X228" s="77" t="n"/>
      <c r="Y228" s="77" t="n"/>
      <c r="Z228" s="77" t="n"/>
      <c r="AA228" s="77" t="n"/>
      <c r="AB228" s="77" t="n"/>
      <c r="AC228" s="77" t="n"/>
      <c r="AD228" s="77" t="n"/>
      <c r="AE228" s="77" t="n"/>
      <c r="AF228" s="77" t="n"/>
      <c r="AG228" s="77" t="n"/>
      <c r="AH228" s="77" t="n"/>
      <c r="AI228" s="77" t="n"/>
      <c r="AJ228" s="77" t="n"/>
      <c r="AK228" s="77" t="n"/>
      <c r="AL228" s="77" t="n"/>
      <c r="AM228" s="77" t="n"/>
      <c r="AN228" s="77" t="n"/>
      <c r="AO228" s="77" t="n"/>
      <c r="AP228" s="77" t="n"/>
      <c r="AQ228" s="77" t="n"/>
      <c r="AR228" s="77" t="n"/>
      <c r="AS228" s="77" t="n"/>
      <c r="AT228" s="77" t="n"/>
      <c r="AU228" s="77" t="n"/>
      <c r="AV228" s="77" t="n"/>
      <c r="AW228" s="77" t="n"/>
      <c r="AX228" s="77" t="n"/>
      <c r="AY228" s="77" t="n"/>
      <c r="AZ228" s="77" t="n"/>
      <c r="BA228" s="77" t="n"/>
      <c r="BB228" s="77" t="n"/>
      <c r="BC228" s="77" t="n"/>
      <c r="BD228" s="77" t="n"/>
      <c r="BE228" s="77" t="n"/>
      <c r="BF228" s="77" t="n"/>
      <c r="BH228">
        <f>('Data Input'!C122-$A$1)*24</f>
        <v/>
      </c>
      <c r="BI228">
        <f>('Data Input'!D122-$A$1)*24</f>
        <v/>
      </c>
      <c r="BJ228" t="n">
        <v>1</v>
      </c>
      <c r="BO228" t="n">
        <v>-999</v>
      </c>
      <c r="BP228" t="n">
        <v>-999</v>
      </c>
    </row>
    <row r="229" ht="11.5" customHeight="1">
      <c r="A229" s="78" t="n"/>
      <c r="B229" s="78" t="n"/>
      <c r="C229" s="78" t="n"/>
      <c r="D229" s="78" t="n"/>
      <c r="E229" s="78" t="n"/>
      <c r="F229" s="78" t="n"/>
      <c r="G229" s="78" t="n"/>
      <c r="H229" s="78" t="n"/>
      <c r="I229" s="78" t="n"/>
      <c r="J229" s="76" t="inlineStr">
        <is>
          <t>A</t>
        </is>
      </c>
      <c r="K229" s="79" t="n"/>
      <c r="L229" s="79" t="n"/>
      <c r="M229" s="79" t="n"/>
      <c r="N229" s="79" t="n"/>
      <c r="O229" s="79" t="n"/>
      <c r="P229" s="79" t="n"/>
      <c r="Q229" s="79" t="n"/>
      <c r="R229" s="79" t="n"/>
      <c r="S229" s="79" t="n"/>
      <c r="T229" s="79" t="n"/>
      <c r="U229" s="79" t="n"/>
      <c r="V229" s="79" t="n"/>
      <c r="W229" s="79" t="n"/>
      <c r="X229" s="79" t="n"/>
      <c r="Y229" s="79" t="n"/>
      <c r="Z229" s="79" t="n"/>
      <c r="AA229" s="79" t="n"/>
      <c r="AB229" s="79" t="n"/>
      <c r="AC229" s="79" t="n"/>
      <c r="AD229" s="79" t="n"/>
      <c r="AE229" s="79" t="n"/>
      <c r="AF229" s="79" t="n"/>
      <c r="AG229" s="79" t="n"/>
      <c r="AH229" s="79" t="n"/>
      <c r="AI229" s="79" t="n"/>
      <c r="AJ229" s="79" t="n"/>
      <c r="AK229" s="79" t="n"/>
      <c r="AL229" s="79" t="n"/>
      <c r="AM229" s="79" t="n"/>
      <c r="AN229" s="79" t="n"/>
      <c r="AO229" s="79" t="n"/>
      <c r="AP229" s="79" t="n"/>
      <c r="AQ229" s="79" t="n"/>
      <c r="AR229" s="79" t="n"/>
      <c r="AS229" s="79" t="n"/>
      <c r="AT229" s="79" t="n"/>
      <c r="AU229" s="79" t="n"/>
      <c r="AV229" s="79" t="n"/>
      <c r="AW229" s="79" t="n"/>
      <c r="AX229" s="79" t="n"/>
      <c r="AY229" s="79" t="n"/>
      <c r="AZ229" s="79" t="n"/>
      <c r="BA229" s="79" t="n"/>
      <c r="BB229" s="79" t="n"/>
      <c r="BC229" s="79" t="n"/>
      <c r="BD229" s="79" t="n"/>
      <c r="BE229" s="79" t="n"/>
      <c r="BF229" s="79" t="n"/>
      <c r="BH229">
        <f>IF($BK229="",-999,($BK229-$A$1)*24)</f>
        <v/>
      </c>
      <c r="BI229">
        <f>IF($BK229="",-999,(IF($BL229&lt;&gt;"",$BL229,IF($C$1&gt;$BK229,$C$1,$BK229+MAX('Data Input'!E122*$BM229,0.5)/24))-$A$1)*24)</f>
        <v/>
      </c>
      <c r="BJ229">
        <f>IF($BK229="",0,IF($BM229&gt;=1,IF($BN229&lt;=0,2,3),IF($BN229&lt;=0,4,5)))</f>
        <v/>
      </c>
      <c r="BK229">
        <f>IF('Data Input'!Q122="","",'Data Input'!Q122)</f>
        <v/>
      </c>
      <c r="BL229">
        <f>IF('Data Input'!R122="","",'Data Input'!R122)</f>
        <v/>
      </c>
      <c r="BM229">
        <f>'Data Input'!S122</f>
        <v/>
      </c>
      <c r="BN229">
        <f>'Data Input'!Y122</f>
        <v/>
      </c>
      <c r="BO229">
        <f>IF($BM229&gt;=1,-999,MAX(($C$1-$A$1)*24,IF($BK229&lt;&gt;"",$BI229,$BP229-'Data Input'!E122)))</f>
        <v/>
      </c>
      <c r="BP229">
        <f>('Data Input'!D122+'Data Input'!Y122/24-$A$1)*24</f>
        <v/>
      </c>
    </row>
    <row r="230" ht="11.5" customHeight="1">
      <c r="A230" s="68">
        <f>'Data Input'!A123</f>
        <v/>
      </c>
      <c r="B230" s="69">
        <f>'Data Input'!B123</f>
        <v/>
      </c>
      <c r="C230" s="70">
        <f>'Data Input'!O123</f>
        <v/>
      </c>
      <c r="D230" s="71">
        <f>'Data Input'!D123</f>
        <v/>
      </c>
      <c r="E230" s="72">
        <f>'Data Input'!D123+'Data Input'!Y123/24</f>
        <v/>
      </c>
      <c r="F230" s="73">
        <f>'Data Input'!Y123</f>
        <v/>
      </c>
      <c r="G230" s="74">
        <f>'Data Input'!T123</f>
        <v/>
      </c>
      <c r="H230" s="75">
        <f>'Data Input'!S123</f>
        <v/>
      </c>
      <c r="I230" s="57" t="n"/>
      <c r="J230" s="76" t="inlineStr">
        <is>
          <t>P</t>
        </is>
      </c>
      <c r="K230" s="77" t="n"/>
      <c r="L230" s="77" t="n"/>
      <c r="M230" s="77" t="n"/>
      <c r="N230" s="77" t="n"/>
      <c r="O230" s="77" t="n"/>
      <c r="P230" s="77" t="n"/>
      <c r="Q230" s="77" t="n"/>
      <c r="R230" s="77" t="n"/>
      <c r="S230" s="77" t="n"/>
      <c r="T230" s="77" t="n"/>
      <c r="U230" s="77" t="n"/>
      <c r="V230" s="77" t="n"/>
      <c r="W230" s="77" t="n"/>
      <c r="X230" s="77" t="n"/>
      <c r="Y230" s="77" t="n"/>
      <c r="Z230" s="77" t="n"/>
      <c r="AA230" s="77" t="n"/>
      <c r="AB230" s="77" t="n"/>
      <c r="AC230" s="77" t="n"/>
      <c r="AD230" s="77" t="n"/>
      <c r="AE230" s="77" t="n"/>
      <c r="AF230" s="77" t="n"/>
      <c r="AG230" s="77" t="n"/>
      <c r="AH230" s="77" t="n"/>
      <c r="AI230" s="77" t="n"/>
      <c r="AJ230" s="77" t="n"/>
      <c r="AK230" s="77" t="n"/>
      <c r="AL230" s="77" t="n"/>
      <c r="AM230" s="77" t="n"/>
      <c r="AN230" s="77" t="n"/>
      <c r="AO230" s="77" t="n"/>
      <c r="AP230" s="77" t="n"/>
      <c r="AQ230" s="77" t="n"/>
      <c r="AR230" s="77" t="n"/>
      <c r="AS230" s="77" t="n"/>
      <c r="AT230" s="77" t="n"/>
      <c r="AU230" s="77" t="n"/>
      <c r="AV230" s="77" t="n"/>
      <c r="AW230" s="77" t="n"/>
      <c r="AX230" s="77" t="n"/>
      <c r="AY230" s="77" t="n"/>
      <c r="AZ230" s="77" t="n"/>
      <c r="BA230" s="77" t="n"/>
      <c r="BB230" s="77" t="n"/>
      <c r="BC230" s="77" t="n"/>
      <c r="BD230" s="77" t="n"/>
      <c r="BE230" s="77" t="n"/>
      <c r="BF230" s="77" t="n"/>
      <c r="BH230">
        <f>('Data Input'!C123-$A$1)*24</f>
        <v/>
      </c>
      <c r="BI230">
        <f>('Data Input'!D123-$A$1)*24</f>
        <v/>
      </c>
      <c r="BJ230" t="n">
        <v>1</v>
      </c>
      <c r="BO230" t="n">
        <v>-999</v>
      </c>
      <c r="BP230" t="n">
        <v>-999</v>
      </c>
    </row>
    <row r="231" ht="11.5" customHeight="1">
      <c r="A231" s="78" t="n"/>
      <c r="B231" s="78" t="n"/>
      <c r="C231" s="78" t="n"/>
      <c r="D231" s="78" t="n"/>
      <c r="E231" s="78" t="n"/>
      <c r="F231" s="78" t="n"/>
      <c r="G231" s="78" t="n"/>
      <c r="H231" s="78" t="n"/>
      <c r="I231" s="78" t="n"/>
      <c r="J231" s="76" t="inlineStr">
        <is>
          <t>A</t>
        </is>
      </c>
      <c r="K231" s="79" t="n"/>
      <c r="L231" s="79" t="n"/>
      <c r="M231" s="79" t="n"/>
      <c r="N231" s="79" t="n"/>
      <c r="O231" s="79" t="n"/>
      <c r="P231" s="79" t="n"/>
      <c r="Q231" s="79" t="n"/>
      <c r="R231" s="79" t="n"/>
      <c r="S231" s="79" t="n"/>
      <c r="T231" s="79" t="n"/>
      <c r="U231" s="79" t="n"/>
      <c r="V231" s="79" t="n"/>
      <c r="W231" s="79" t="n"/>
      <c r="X231" s="79" t="n"/>
      <c r="Y231" s="79" t="n"/>
      <c r="Z231" s="79" t="n"/>
      <c r="AA231" s="79" t="n"/>
      <c r="AB231" s="79" t="n"/>
      <c r="AC231" s="79" t="n"/>
      <c r="AD231" s="79" t="n"/>
      <c r="AE231" s="79" t="n"/>
      <c r="AF231" s="79" t="n"/>
      <c r="AG231" s="79" t="n"/>
      <c r="AH231" s="79" t="n"/>
      <c r="AI231" s="79" t="n"/>
      <c r="AJ231" s="79" t="n"/>
      <c r="AK231" s="79" t="n"/>
      <c r="AL231" s="79" t="n"/>
      <c r="AM231" s="79" t="n"/>
      <c r="AN231" s="79" t="n"/>
      <c r="AO231" s="79" t="n"/>
      <c r="AP231" s="79" t="n"/>
      <c r="AQ231" s="79" t="n"/>
      <c r="AR231" s="79" t="n"/>
      <c r="AS231" s="79" t="n"/>
      <c r="AT231" s="79" t="n"/>
      <c r="AU231" s="79" t="n"/>
      <c r="AV231" s="79" t="n"/>
      <c r="AW231" s="79" t="n"/>
      <c r="AX231" s="79" t="n"/>
      <c r="AY231" s="79" t="n"/>
      <c r="AZ231" s="79" t="n"/>
      <c r="BA231" s="79" t="n"/>
      <c r="BB231" s="79" t="n"/>
      <c r="BC231" s="79" t="n"/>
      <c r="BD231" s="79" t="n"/>
      <c r="BE231" s="79" t="n"/>
      <c r="BF231" s="79" t="n"/>
      <c r="BH231">
        <f>IF($BK231="",-999,($BK231-$A$1)*24)</f>
        <v/>
      </c>
      <c r="BI231">
        <f>IF($BK231="",-999,(IF($BL231&lt;&gt;"",$BL231,IF($C$1&gt;$BK231,$C$1,$BK231+MAX('Data Input'!E123*$BM231,0.5)/24))-$A$1)*24)</f>
        <v/>
      </c>
      <c r="BJ231">
        <f>IF($BK231="",0,IF($BM231&gt;=1,IF($BN231&lt;=0,2,3),IF($BN231&lt;=0,4,5)))</f>
        <v/>
      </c>
      <c r="BK231">
        <f>IF('Data Input'!Q123="","",'Data Input'!Q123)</f>
        <v/>
      </c>
      <c r="BL231">
        <f>IF('Data Input'!R123="","",'Data Input'!R123)</f>
        <v/>
      </c>
      <c r="BM231">
        <f>'Data Input'!S123</f>
        <v/>
      </c>
      <c r="BN231">
        <f>'Data Input'!Y123</f>
        <v/>
      </c>
      <c r="BO231">
        <f>IF($BM231&gt;=1,-999,MAX(($C$1-$A$1)*24,IF($BK231&lt;&gt;"",$BI231,$BP231-'Data Input'!E123)))</f>
        <v/>
      </c>
      <c r="BP231">
        <f>('Data Input'!D123+'Data Input'!Y123/24-$A$1)*24</f>
        <v/>
      </c>
    </row>
    <row r="232" ht="11.5" customHeight="1">
      <c r="A232" s="68">
        <f>'Data Input'!A124</f>
        <v/>
      </c>
      <c r="B232" s="69">
        <f>'Data Input'!B124</f>
        <v/>
      </c>
      <c r="C232" s="70">
        <f>'Data Input'!O124</f>
        <v/>
      </c>
      <c r="D232" s="71">
        <f>'Data Input'!D124</f>
        <v/>
      </c>
      <c r="E232" s="72">
        <f>'Data Input'!D124+'Data Input'!Y124/24</f>
        <v/>
      </c>
      <c r="F232" s="73">
        <f>'Data Input'!Y124</f>
        <v/>
      </c>
      <c r="G232" s="74">
        <f>'Data Input'!T124</f>
        <v/>
      </c>
      <c r="H232" s="75">
        <f>'Data Input'!S124</f>
        <v/>
      </c>
      <c r="I232" s="57" t="n"/>
      <c r="J232" s="76" t="inlineStr">
        <is>
          <t>P</t>
        </is>
      </c>
      <c r="K232" s="77" t="n"/>
      <c r="L232" s="77" t="n"/>
      <c r="M232" s="77" t="n"/>
      <c r="N232" s="77" t="n"/>
      <c r="O232" s="77" t="n"/>
      <c r="P232" s="77" t="n"/>
      <c r="Q232" s="77" t="n"/>
      <c r="R232" s="77" t="n"/>
      <c r="S232" s="77" t="n"/>
      <c r="T232" s="77" t="n"/>
      <c r="U232" s="77" t="n"/>
      <c r="V232" s="77" t="n"/>
      <c r="W232" s="77" t="n"/>
      <c r="X232" s="77" t="n"/>
      <c r="Y232" s="77" t="n"/>
      <c r="Z232" s="77" t="n"/>
      <c r="AA232" s="77" t="n"/>
      <c r="AB232" s="77" t="n"/>
      <c r="AC232" s="77" t="n"/>
      <c r="AD232" s="77" t="n"/>
      <c r="AE232" s="77" t="n"/>
      <c r="AF232" s="77" t="n"/>
      <c r="AG232" s="77" t="n"/>
      <c r="AH232" s="77" t="n"/>
      <c r="AI232" s="77" t="n"/>
      <c r="AJ232" s="77" t="n"/>
      <c r="AK232" s="77" t="n"/>
      <c r="AL232" s="77" t="n"/>
      <c r="AM232" s="77" t="n"/>
      <c r="AN232" s="77" t="n"/>
      <c r="AO232" s="77" t="n"/>
      <c r="AP232" s="77" t="n"/>
      <c r="AQ232" s="77" t="n"/>
      <c r="AR232" s="77" t="n"/>
      <c r="AS232" s="77" t="n"/>
      <c r="AT232" s="77" t="n"/>
      <c r="AU232" s="77" t="n"/>
      <c r="AV232" s="77" t="n"/>
      <c r="AW232" s="77" t="n"/>
      <c r="AX232" s="77" t="n"/>
      <c r="AY232" s="77" t="n"/>
      <c r="AZ232" s="77" t="n"/>
      <c r="BA232" s="77" t="n"/>
      <c r="BB232" s="77" t="n"/>
      <c r="BC232" s="77" t="n"/>
      <c r="BD232" s="77" t="n"/>
      <c r="BE232" s="77" t="n"/>
      <c r="BF232" s="77" t="n"/>
      <c r="BH232">
        <f>('Data Input'!C124-$A$1)*24</f>
        <v/>
      </c>
      <c r="BI232">
        <f>('Data Input'!D124-$A$1)*24</f>
        <v/>
      </c>
      <c r="BJ232" t="n">
        <v>1</v>
      </c>
      <c r="BO232" t="n">
        <v>-999</v>
      </c>
      <c r="BP232" t="n">
        <v>-999</v>
      </c>
    </row>
    <row r="233" ht="11.5" customHeight="1">
      <c r="A233" s="78" t="n"/>
      <c r="B233" s="78" t="n"/>
      <c r="C233" s="78" t="n"/>
      <c r="D233" s="78" t="n"/>
      <c r="E233" s="78" t="n"/>
      <c r="F233" s="78" t="n"/>
      <c r="G233" s="78" t="n"/>
      <c r="H233" s="78" t="n"/>
      <c r="I233" s="78" t="n"/>
      <c r="J233" s="76" t="inlineStr">
        <is>
          <t>A</t>
        </is>
      </c>
      <c r="K233" s="79" t="n"/>
      <c r="L233" s="79" t="n"/>
      <c r="M233" s="79" t="n"/>
      <c r="N233" s="79" t="n"/>
      <c r="O233" s="79" t="n"/>
      <c r="P233" s="79" t="n"/>
      <c r="Q233" s="79" t="n"/>
      <c r="R233" s="79" t="n"/>
      <c r="S233" s="79" t="n"/>
      <c r="T233" s="79" t="n"/>
      <c r="U233" s="79" t="n"/>
      <c r="V233" s="79" t="n"/>
      <c r="W233" s="79" t="n"/>
      <c r="X233" s="79" t="n"/>
      <c r="Y233" s="79" t="n"/>
      <c r="Z233" s="79" t="n"/>
      <c r="AA233" s="79" t="n"/>
      <c r="AB233" s="79" t="n"/>
      <c r="AC233" s="79" t="n"/>
      <c r="AD233" s="79" t="n"/>
      <c r="AE233" s="79" t="n"/>
      <c r="AF233" s="79" t="n"/>
      <c r="AG233" s="79" t="n"/>
      <c r="AH233" s="79" t="n"/>
      <c r="AI233" s="79" t="n"/>
      <c r="AJ233" s="79" t="n"/>
      <c r="AK233" s="79" t="n"/>
      <c r="AL233" s="79" t="n"/>
      <c r="AM233" s="79" t="n"/>
      <c r="AN233" s="79" t="n"/>
      <c r="AO233" s="79" t="n"/>
      <c r="AP233" s="79" t="n"/>
      <c r="AQ233" s="79" t="n"/>
      <c r="AR233" s="79" t="n"/>
      <c r="AS233" s="79" t="n"/>
      <c r="AT233" s="79" t="n"/>
      <c r="AU233" s="79" t="n"/>
      <c r="AV233" s="79" t="n"/>
      <c r="AW233" s="79" t="n"/>
      <c r="AX233" s="79" t="n"/>
      <c r="AY233" s="79" t="n"/>
      <c r="AZ233" s="79" t="n"/>
      <c r="BA233" s="79" t="n"/>
      <c r="BB233" s="79" t="n"/>
      <c r="BC233" s="79" t="n"/>
      <c r="BD233" s="79" t="n"/>
      <c r="BE233" s="79" t="n"/>
      <c r="BF233" s="79" t="n"/>
      <c r="BH233">
        <f>IF($BK233="",-999,($BK233-$A$1)*24)</f>
        <v/>
      </c>
      <c r="BI233">
        <f>IF($BK233="",-999,(IF($BL233&lt;&gt;"",$BL233,IF($C$1&gt;$BK233,$C$1,$BK233+MAX('Data Input'!E124*$BM233,0.5)/24))-$A$1)*24)</f>
        <v/>
      </c>
      <c r="BJ233">
        <f>IF($BK233="",0,IF($BM233&gt;=1,IF($BN233&lt;=0,2,3),IF($BN233&lt;=0,4,5)))</f>
        <v/>
      </c>
      <c r="BK233">
        <f>IF('Data Input'!Q124="","",'Data Input'!Q124)</f>
        <v/>
      </c>
      <c r="BL233">
        <f>IF('Data Input'!R124="","",'Data Input'!R124)</f>
        <v/>
      </c>
      <c r="BM233">
        <f>'Data Input'!S124</f>
        <v/>
      </c>
      <c r="BN233">
        <f>'Data Input'!Y124</f>
        <v/>
      </c>
      <c r="BO233">
        <f>IF($BM233&gt;=1,-999,MAX(($C$1-$A$1)*24,IF($BK233&lt;&gt;"",$BI233,$BP233-'Data Input'!E124)))</f>
        <v/>
      </c>
      <c r="BP233">
        <f>('Data Input'!D124+'Data Input'!Y124/24-$A$1)*24</f>
        <v/>
      </c>
    </row>
    <row r="234" ht="11.5" customHeight="1">
      <c r="A234" s="68">
        <f>'Data Input'!A125</f>
        <v/>
      </c>
      <c r="B234" s="69">
        <f>'Data Input'!B125</f>
        <v/>
      </c>
      <c r="C234" s="70">
        <f>'Data Input'!O125</f>
        <v/>
      </c>
      <c r="D234" s="71">
        <f>'Data Input'!D125</f>
        <v/>
      </c>
      <c r="E234" s="72">
        <f>'Data Input'!D125+'Data Input'!Y125/24</f>
        <v/>
      </c>
      <c r="F234" s="73">
        <f>'Data Input'!Y125</f>
        <v/>
      </c>
      <c r="G234" s="74">
        <f>'Data Input'!T125</f>
        <v/>
      </c>
      <c r="H234" s="75">
        <f>'Data Input'!S125</f>
        <v/>
      </c>
      <c r="I234" s="57" t="n"/>
      <c r="J234" s="76" t="inlineStr">
        <is>
          <t>P</t>
        </is>
      </c>
      <c r="K234" s="77" t="n"/>
      <c r="L234" s="77" t="n"/>
      <c r="M234" s="77" t="n"/>
      <c r="N234" s="77" t="n"/>
      <c r="O234" s="77" t="n"/>
      <c r="P234" s="77" t="n"/>
      <c r="Q234" s="77" t="n"/>
      <c r="R234" s="77" t="n"/>
      <c r="S234" s="77" t="n"/>
      <c r="T234" s="77" t="n"/>
      <c r="U234" s="77" t="n"/>
      <c r="V234" s="77" t="n"/>
      <c r="W234" s="77" t="n"/>
      <c r="X234" s="77" t="n"/>
      <c r="Y234" s="77" t="n"/>
      <c r="Z234" s="77" t="n"/>
      <c r="AA234" s="77" t="n"/>
      <c r="AB234" s="77" t="n"/>
      <c r="AC234" s="77" t="n"/>
      <c r="AD234" s="77" t="n"/>
      <c r="AE234" s="77" t="n"/>
      <c r="AF234" s="77" t="n"/>
      <c r="AG234" s="77" t="n"/>
      <c r="AH234" s="77" t="n"/>
      <c r="AI234" s="77" t="n"/>
      <c r="AJ234" s="77" t="n"/>
      <c r="AK234" s="77" t="n"/>
      <c r="AL234" s="77" t="n"/>
      <c r="AM234" s="77" t="n"/>
      <c r="AN234" s="77" t="n"/>
      <c r="AO234" s="77" t="n"/>
      <c r="AP234" s="77" t="n"/>
      <c r="AQ234" s="77" t="n"/>
      <c r="AR234" s="77" t="n"/>
      <c r="AS234" s="77" t="n"/>
      <c r="AT234" s="77" t="n"/>
      <c r="AU234" s="77" t="n"/>
      <c r="AV234" s="77" t="n"/>
      <c r="AW234" s="77" t="n"/>
      <c r="AX234" s="77" t="n"/>
      <c r="AY234" s="77" t="n"/>
      <c r="AZ234" s="77" t="n"/>
      <c r="BA234" s="77" t="n"/>
      <c r="BB234" s="77" t="n"/>
      <c r="BC234" s="77" t="n"/>
      <c r="BD234" s="77" t="n"/>
      <c r="BE234" s="77" t="n"/>
      <c r="BF234" s="77" t="n"/>
      <c r="BH234">
        <f>('Data Input'!C125-$A$1)*24</f>
        <v/>
      </c>
      <c r="BI234">
        <f>('Data Input'!D125-$A$1)*24</f>
        <v/>
      </c>
      <c r="BJ234" t="n">
        <v>1</v>
      </c>
      <c r="BO234" t="n">
        <v>-999</v>
      </c>
      <c r="BP234" t="n">
        <v>-999</v>
      </c>
    </row>
    <row r="235" ht="11.5" customHeight="1">
      <c r="A235" s="78" t="n"/>
      <c r="B235" s="78" t="n"/>
      <c r="C235" s="78" t="n"/>
      <c r="D235" s="78" t="n"/>
      <c r="E235" s="78" t="n"/>
      <c r="F235" s="78" t="n"/>
      <c r="G235" s="78" t="n"/>
      <c r="H235" s="78" t="n"/>
      <c r="I235" s="78" t="n"/>
      <c r="J235" s="76" t="inlineStr">
        <is>
          <t>A</t>
        </is>
      </c>
      <c r="K235" s="79" t="n"/>
      <c r="L235" s="79" t="n"/>
      <c r="M235" s="79" t="n"/>
      <c r="N235" s="79" t="n"/>
      <c r="O235" s="79" t="n"/>
      <c r="P235" s="79" t="n"/>
      <c r="Q235" s="79" t="n"/>
      <c r="R235" s="79" t="n"/>
      <c r="S235" s="79" t="n"/>
      <c r="T235" s="79" t="n"/>
      <c r="U235" s="79" t="n"/>
      <c r="V235" s="79" t="n"/>
      <c r="W235" s="79" t="n"/>
      <c r="X235" s="79" t="n"/>
      <c r="Y235" s="79" t="n"/>
      <c r="Z235" s="79" t="n"/>
      <c r="AA235" s="79" t="n"/>
      <c r="AB235" s="79" t="n"/>
      <c r="AC235" s="79" t="n"/>
      <c r="AD235" s="79" t="n"/>
      <c r="AE235" s="79" t="n"/>
      <c r="AF235" s="79" t="n"/>
      <c r="AG235" s="79" t="n"/>
      <c r="AH235" s="79" t="n"/>
      <c r="AI235" s="79" t="n"/>
      <c r="AJ235" s="79" t="n"/>
      <c r="AK235" s="79" t="n"/>
      <c r="AL235" s="79" t="n"/>
      <c r="AM235" s="79" t="n"/>
      <c r="AN235" s="79" t="n"/>
      <c r="AO235" s="79" t="n"/>
      <c r="AP235" s="79" t="n"/>
      <c r="AQ235" s="79" t="n"/>
      <c r="AR235" s="79" t="n"/>
      <c r="AS235" s="79" t="n"/>
      <c r="AT235" s="79" t="n"/>
      <c r="AU235" s="79" t="n"/>
      <c r="AV235" s="79" t="n"/>
      <c r="AW235" s="79" t="n"/>
      <c r="AX235" s="79" t="n"/>
      <c r="AY235" s="79" t="n"/>
      <c r="AZ235" s="79" t="n"/>
      <c r="BA235" s="79" t="n"/>
      <c r="BB235" s="79" t="n"/>
      <c r="BC235" s="79" t="n"/>
      <c r="BD235" s="79" t="n"/>
      <c r="BE235" s="79" t="n"/>
      <c r="BF235" s="79" t="n"/>
      <c r="BH235">
        <f>IF($BK235="",-999,($BK235-$A$1)*24)</f>
        <v/>
      </c>
      <c r="BI235">
        <f>IF($BK235="",-999,(IF($BL235&lt;&gt;"",$BL235,IF($C$1&gt;$BK235,$C$1,$BK235+MAX('Data Input'!E125*$BM235,0.5)/24))-$A$1)*24)</f>
        <v/>
      </c>
      <c r="BJ235">
        <f>IF($BK235="",0,IF($BM235&gt;=1,IF($BN235&lt;=0,2,3),IF($BN235&lt;=0,4,5)))</f>
        <v/>
      </c>
      <c r="BK235">
        <f>IF('Data Input'!Q125="","",'Data Input'!Q125)</f>
        <v/>
      </c>
      <c r="BL235">
        <f>IF('Data Input'!R125="","",'Data Input'!R125)</f>
        <v/>
      </c>
      <c r="BM235">
        <f>'Data Input'!S125</f>
        <v/>
      </c>
      <c r="BN235">
        <f>'Data Input'!Y125</f>
        <v/>
      </c>
      <c r="BO235">
        <f>IF($BM235&gt;=1,-999,MAX(($C$1-$A$1)*24,IF($BK235&lt;&gt;"",$BI235,$BP235-'Data Input'!E125)))</f>
        <v/>
      </c>
      <c r="BP235">
        <f>('Data Input'!D125+'Data Input'!Y125/24-$A$1)*24</f>
        <v/>
      </c>
    </row>
    <row r="236" ht="11.5" customHeight="1">
      <c r="A236" s="68">
        <f>'Data Input'!A126</f>
        <v/>
      </c>
      <c r="B236" s="69">
        <f>'Data Input'!B126</f>
        <v/>
      </c>
      <c r="C236" s="70">
        <f>'Data Input'!O126</f>
        <v/>
      </c>
      <c r="D236" s="71">
        <f>'Data Input'!D126</f>
        <v/>
      </c>
      <c r="E236" s="72">
        <f>'Data Input'!D126+'Data Input'!Y126/24</f>
        <v/>
      </c>
      <c r="F236" s="73">
        <f>'Data Input'!Y126</f>
        <v/>
      </c>
      <c r="G236" s="74">
        <f>'Data Input'!T126</f>
        <v/>
      </c>
      <c r="H236" s="75">
        <f>'Data Input'!S126</f>
        <v/>
      </c>
      <c r="I236" s="57" t="n"/>
      <c r="J236" s="76" t="inlineStr">
        <is>
          <t>P</t>
        </is>
      </c>
      <c r="K236" s="77" t="n"/>
      <c r="L236" s="77" t="n"/>
      <c r="M236" s="77" t="n"/>
      <c r="N236" s="77" t="n"/>
      <c r="O236" s="77" t="n"/>
      <c r="P236" s="77" t="n"/>
      <c r="Q236" s="77" t="n"/>
      <c r="R236" s="77" t="n"/>
      <c r="S236" s="77" t="n"/>
      <c r="T236" s="77" t="n"/>
      <c r="U236" s="77" t="n"/>
      <c r="V236" s="77" t="n"/>
      <c r="W236" s="77" t="n"/>
      <c r="X236" s="77" t="n"/>
      <c r="Y236" s="77" t="n"/>
      <c r="Z236" s="77" t="n"/>
      <c r="AA236" s="77" t="n"/>
      <c r="AB236" s="77" t="n"/>
      <c r="AC236" s="77" t="n"/>
      <c r="AD236" s="77" t="n"/>
      <c r="AE236" s="77" t="n"/>
      <c r="AF236" s="77" t="n"/>
      <c r="AG236" s="77" t="n"/>
      <c r="AH236" s="77" t="n"/>
      <c r="AI236" s="77" t="n"/>
      <c r="AJ236" s="77" t="n"/>
      <c r="AK236" s="77" t="n"/>
      <c r="AL236" s="77" t="n"/>
      <c r="AM236" s="77" t="n"/>
      <c r="AN236" s="77" t="n"/>
      <c r="AO236" s="77" t="n"/>
      <c r="AP236" s="77" t="n"/>
      <c r="AQ236" s="77" t="n"/>
      <c r="AR236" s="77" t="n"/>
      <c r="AS236" s="77" t="n"/>
      <c r="AT236" s="77" t="n"/>
      <c r="AU236" s="77" t="n"/>
      <c r="AV236" s="77" t="n"/>
      <c r="AW236" s="77" t="n"/>
      <c r="AX236" s="77" t="n"/>
      <c r="AY236" s="77" t="n"/>
      <c r="AZ236" s="77" t="n"/>
      <c r="BA236" s="77" t="n"/>
      <c r="BB236" s="77" t="n"/>
      <c r="BC236" s="77" t="n"/>
      <c r="BD236" s="77" t="n"/>
      <c r="BE236" s="77" t="n"/>
      <c r="BF236" s="77" t="n"/>
      <c r="BH236">
        <f>('Data Input'!C126-$A$1)*24</f>
        <v/>
      </c>
      <c r="BI236">
        <f>('Data Input'!D126-$A$1)*24</f>
        <v/>
      </c>
      <c r="BJ236" t="n">
        <v>1</v>
      </c>
      <c r="BO236" t="n">
        <v>-999</v>
      </c>
      <c r="BP236" t="n">
        <v>-999</v>
      </c>
    </row>
    <row r="237" ht="11.5" customHeight="1">
      <c r="A237" s="78" t="n"/>
      <c r="B237" s="78" t="n"/>
      <c r="C237" s="78" t="n"/>
      <c r="D237" s="78" t="n"/>
      <c r="E237" s="78" t="n"/>
      <c r="F237" s="78" t="n"/>
      <c r="G237" s="78" t="n"/>
      <c r="H237" s="78" t="n"/>
      <c r="I237" s="78" t="n"/>
      <c r="J237" s="76" t="inlineStr">
        <is>
          <t>A</t>
        </is>
      </c>
      <c r="K237" s="79" t="n"/>
      <c r="L237" s="79" t="n"/>
      <c r="M237" s="79" t="n"/>
      <c r="N237" s="79" t="n"/>
      <c r="O237" s="79" t="n"/>
      <c r="P237" s="79" t="n"/>
      <c r="Q237" s="79" t="n"/>
      <c r="R237" s="79" t="n"/>
      <c r="S237" s="79" t="n"/>
      <c r="T237" s="79" t="n"/>
      <c r="U237" s="79" t="n"/>
      <c r="V237" s="79" t="n"/>
      <c r="W237" s="79" t="n"/>
      <c r="X237" s="79" t="n"/>
      <c r="Y237" s="79" t="n"/>
      <c r="Z237" s="79" t="n"/>
      <c r="AA237" s="79" t="n"/>
      <c r="AB237" s="79" t="n"/>
      <c r="AC237" s="79" t="n"/>
      <c r="AD237" s="79" t="n"/>
      <c r="AE237" s="79" t="n"/>
      <c r="AF237" s="79" t="n"/>
      <c r="AG237" s="79" t="n"/>
      <c r="AH237" s="79" t="n"/>
      <c r="AI237" s="79" t="n"/>
      <c r="AJ237" s="79" t="n"/>
      <c r="AK237" s="79" t="n"/>
      <c r="AL237" s="79" t="n"/>
      <c r="AM237" s="79" t="n"/>
      <c r="AN237" s="79" t="n"/>
      <c r="AO237" s="79" t="n"/>
      <c r="AP237" s="79" t="n"/>
      <c r="AQ237" s="79" t="n"/>
      <c r="AR237" s="79" t="n"/>
      <c r="AS237" s="79" t="n"/>
      <c r="AT237" s="79" t="n"/>
      <c r="AU237" s="79" t="n"/>
      <c r="AV237" s="79" t="n"/>
      <c r="AW237" s="79" t="n"/>
      <c r="AX237" s="79" t="n"/>
      <c r="AY237" s="79" t="n"/>
      <c r="AZ237" s="79" t="n"/>
      <c r="BA237" s="79" t="n"/>
      <c r="BB237" s="79" t="n"/>
      <c r="BC237" s="79" t="n"/>
      <c r="BD237" s="79" t="n"/>
      <c r="BE237" s="79" t="n"/>
      <c r="BF237" s="79" t="n"/>
      <c r="BH237">
        <f>IF($BK237="",-999,($BK237-$A$1)*24)</f>
        <v/>
      </c>
      <c r="BI237">
        <f>IF($BK237="",-999,(IF($BL237&lt;&gt;"",$BL237,IF($C$1&gt;$BK237,$C$1,$BK237+MAX('Data Input'!E126*$BM237,0.5)/24))-$A$1)*24)</f>
        <v/>
      </c>
      <c r="BJ237">
        <f>IF($BK237="",0,IF($BM237&gt;=1,IF($BN237&lt;=0,2,3),IF($BN237&lt;=0,4,5)))</f>
        <v/>
      </c>
      <c r="BK237">
        <f>IF('Data Input'!Q126="","",'Data Input'!Q126)</f>
        <v/>
      </c>
      <c r="BL237">
        <f>IF('Data Input'!R126="","",'Data Input'!R126)</f>
        <v/>
      </c>
      <c r="BM237">
        <f>'Data Input'!S126</f>
        <v/>
      </c>
      <c r="BN237">
        <f>'Data Input'!Y126</f>
        <v/>
      </c>
      <c r="BO237">
        <f>IF($BM237&gt;=1,-999,MAX(($C$1-$A$1)*24,IF($BK237&lt;&gt;"",$BI237,$BP237-'Data Input'!E126)))</f>
        <v/>
      </c>
      <c r="BP237">
        <f>('Data Input'!D126+'Data Input'!Y126/24-$A$1)*24</f>
        <v/>
      </c>
    </row>
    <row r="238" ht="11.5" customHeight="1">
      <c r="A238" s="68">
        <f>'Data Input'!A127</f>
        <v/>
      </c>
      <c r="B238" s="69">
        <f>'Data Input'!B127</f>
        <v/>
      </c>
      <c r="C238" s="70">
        <f>'Data Input'!O127</f>
        <v/>
      </c>
      <c r="D238" s="71">
        <f>'Data Input'!D127</f>
        <v/>
      </c>
      <c r="E238" s="72">
        <f>'Data Input'!D127+'Data Input'!Y127/24</f>
        <v/>
      </c>
      <c r="F238" s="73">
        <f>'Data Input'!Y127</f>
        <v/>
      </c>
      <c r="G238" s="74">
        <f>'Data Input'!T127</f>
        <v/>
      </c>
      <c r="H238" s="75">
        <f>'Data Input'!S127</f>
        <v/>
      </c>
      <c r="I238" s="57" t="n"/>
      <c r="J238" s="76" t="inlineStr">
        <is>
          <t>P</t>
        </is>
      </c>
      <c r="K238" s="77" t="n"/>
      <c r="L238" s="77" t="n"/>
      <c r="M238" s="77" t="n"/>
      <c r="N238" s="77" t="n"/>
      <c r="O238" s="77" t="n"/>
      <c r="P238" s="77" t="n"/>
      <c r="Q238" s="77" t="n"/>
      <c r="R238" s="77" t="n"/>
      <c r="S238" s="77" t="n"/>
      <c r="T238" s="77" t="n"/>
      <c r="U238" s="77" t="n"/>
      <c r="V238" s="77" t="n"/>
      <c r="W238" s="77" t="n"/>
      <c r="X238" s="77" t="n"/>
      <c r="Y238" s="77" t="n"/>
      <c r="Z238" s="77" t="n"/>
      <c r="AA238" s="77" t="n"/>
      <c r="AB238" s="77" t="n"/>
      <c r="AC238" s="77" t="n"/>
      <c r="AD238" s="77" t="n"/>
      <c r="AE238" s="77" t="n"/>
      <c r="AF238" s="77" t="n"/>
      <c r="AG238" s="77" t="n"/>
      <c r="AH238" s="77" t="n"/>
      <c r="AI238" s="77" t="n"/>
      <c r="AJ238" s="77" t="n"/>
      <c r="AK238" s="77" t="n"/>
      <c r="AL238" s="77" t="n"/>
      <c r="AM238" s="77" t="n"/>
      <c r="AN238" s="77" t="n"/>
      <c r="AO238" s="77" t="n"/>
      <c r="AP238" s="77" t="n"/>
      <c r="AQ238" s="77" t="n"/>
      <c r="AR238" s="77" t="n"/>
      <c r="AS238" s="77" t="n"/>
      <c r="AT238" s="77" t="n"/>
      <c r="AU238" s="77" t="n"/>
      <c r="AV238" s="77" t="n"/>
      <c r="AW238" s="77" t="n"/>
      <c r="AX238" s="77" t="n"/>
      <c r="AY238" s="77" t="n"/>
      <c r="AZ238" s="77" t="n"/>
      <c r="BA238" s="77" t="n"/>
      <c r="BB238" s="77" t="n"/>
      <c r="BC238" s="77" t="n"/>
      <c r="BD238" s="77" t="n"/>
      <c r="BE238" s="77" t="n"/>
      <c r="BF238" s="77" t="n"/>
      <c r="BH238">
        <f>('Data Input'!C127-$A$1)*24</f>
        <v/>
      </c>
      <c r="BI238">
        <f>('Data Input'!D127-$A$1)*24</f>
        <v/>
      </c>
      <c r="BJ238" t="n">
        <v>1</v>
      </c>
      <c r="BO238" t="n">
        <v>-999</v>
      </c>
      <c r="BP238" t="n">
        <v>-999</v>
      </c>
    </row>
    <row r="239" ht="11.5" customHeight="1">
      <c r="A239" s="78" t="n"/>
      <c r="B239" s="78" t="n"/>
      <c r="C239" s="78" t="n"/>
      <c r="D239" s="78" t="n"/>
      <c r="E239" s="78" t="n"/>
      <c r="F239" s="78" t="n"/>
      <c r="G239" s="78" t="n"/>
      <c r="H239" s="78" t="n"/>
      <c r="I239" s="78" t="n"/>
      <c r="J239" s="76" t="inlineStr">
        <is>
          <t>A</t>
        </is>
      </c>
      <c r="K239" s="79" t="n"/>
      <c r="L239" s="79" t="n"/>
      <c r="M239" s="79" t="n"/>
      <c r="N239" s="79" t="n"/>
      <c r="O239" s="79" t="n"/>
      <c r="P239" s="79" t="n"/>
      <c r="Q239" s="79" t="n"/>
      <c r="R239" s="79" t="n"/>
      <c r="S239" s="79" t="n"/>
      <c r="T239" s="79" t="n"/>
      <c r="U239" s="79" t="n"/>
      <c r="V239" s="79" t="n"/>
      <c r="W239" s="79" t="n"/>
      <c r="X239" s="79" t="n"/>
      <c r="Y239" s="79" t="n"/>
      <c r="Z239" s="79" t="n"/>
      <c r="AA239" s="79" t="n"/>
      <c r="AB239" s="79" t="n"/>
      <c r="AC239" s="79" t="n"/>
      <c r="AD239" s="79" t="n"/>
      <c r="AE239" s="79" t="n"/>
      <c r="AF239" s="79" t="n"/>
      <c r="AG239" s="79" t="n"/>
      <c r="AH239" s="79" t="n"/>
      <c r="AI239" s="79" t="n"/>
      <c r="AJ239" s="79" t="n"/>
      <c r="AK239" s="79" t="n"/>
      <c r="AL239" s="79" t="n"/>
      <c r="AM239" s="79" t="n"/>
      <c r="AN239" s="79" t="n"/>
      <c r="AO239" s="79" t="n"/>
      <c r="AP239" s="79" t="n"/>
      <c r="AQ239" s="79" t="n"/>
      <c r="AR239" s="79" t="n"/>
      <c r="AS239" s="79" t="n"/>
      <c r="AT239" s="79" t="n"/>
      <c r="AU239" s="79" t="n"/>
      <c r="AV239" s="79" t="n"/>
      <c r="AW239" s="79" t="n"/>
      <c r="AX239" s="79" t="n"/>
      <c r="AY239" s="79" t="n"/>
      <c r="AZ239" s="79" t="n"/>
      <c r="BA239" s="79" t="n"/>
      <c r="BB239" s="79" t="n"/>
      <c r="BC239" s="79" t="n"/>
      <c r="BD239" s="79" t="n"/>
      <c r="BE239" s="79" t="n"/>
      <c r="BF239" s="79" t="n"/>
      <c r="BH239">
        <f>IF($BK239="",-999,($BK239-$A$1)*24)</f>
        <v/>
      </c>
      <c r="BI239">
        <f>IF($BK239="",-999,(IF($BL239&lt;&gt;"",$BL239,IF($C$1&gt;$BK239,$C$1,$BK239+MAX('Data Input'!E127*$BM239,0.5)/24))-$A$1)*24)</f>
        <v/>
      </c>
      <c r="BJ239">
        <f>IF($BK239="",0,IF($BM239&gt;=1,IF($BN239&lt;=0,2,3),IF($BN239&lt;=0,4,5)))</f>
        <v/>
      </c>
      <c r="BK239">
        <f>IF('Data Input'!Q127="","",'Data Input'!Q127)</f>
        <v/>
      </c>
      <c r="BL239">
        <f>IF('Data Input'!R127="","",'Data Input'!R127)</f>
        <v/>
      </c>
      <c r="BM239">
        <f>'Data Input'!S127</f>
        <v/>
      </c>
      <c r="BN239">
        <f>'Data Input'!Y127</f>
        <v/>
      </c>
      <c r="BO239">
        <f>IF($BM239&gt;=1,-999,MAX(($C$1-$A$1)*24,IF($BK239&lt;&gt;"",$BI239,$BP239-'Data Input'!E127)))</f>
        <v/>
      </c>
      <c r="BP239">
        <f>('Data Input'!D127+'Data Input'!Y127/24-$A$1)*24</f>
        <v/>
      </c>
    </row>
    <row r="240" ht="11.5" customHeight="1">
      <c r="A240" s="68">
        <f>'Data Input'!A128</f>
        <v/>
      </c>
      <c r="B240" s="69">
        <f>'Data Input'!B128</f>
        <v/>
      </c>
      <c r="C240" s="70">
        <f>'Data Input'!O128</f>
        <v/>
      </c>
      <c r="D240" s="71">
        <f>'Data Input'!D128</f>
        <v/>
      </c>
      <c r="E240" s="72">
        <f>'Data Input'!D128+'Data Input'!Y128/24</f>
        <v/>
      </c>
      <c r="F240" s="73">
        <f>'Data Input'!Y128</f>
        <v/>
      </c>
      <c r="G240" s="74">
        <f>'Data Input'!T128</f>
        <v/>
      </c>
      <c r="H240" s="75">
        <f>'Data Input'!S128</f>
        <v/>
      </c>
      <c r="I240" s="57" t="n"/>
      <c r="J240" s="76" t="inlineStr">
        <is>
          <t>P</t>
        </is>
      </c>
      <c r="K240" s="77" t="n"/>
      <c r="L240" s="77" t="n"/>
      <c r="M240" s="77" t="n"/>
      <c r="N240" s="77" t="n"/>
      <c r="O240" s="77" t="n"/>
      <c r="P240" s="77" t="n"/>
      <c r="Q240" s="77" t="n"/>
      <c r="R240" s="77" t="n"/>
      <c r="S240" s="77" t="n"/>
      <c r="T240" s="77" t="n"/>
      <c r="U240" s="77" t="n"/>
      <c r="V240" s="77" t="n"/>
      <c r="W240" s="77" t="n"/>
      <c r="X240" s="77" t="n"/>
      <c r="Y240" s="77" t="n"/>
      <c r="Z240" s="77" t="n"/>
      <c r="AA240" s="77" t="n"/>
      <c r="AB240" s="77" t="n"/>
      <c r="AC240" s="77" t="n"/>
      <c r="AD240" s="77" t="n"/>
      <c r="AE240" s="77" t="n"/>
      <c r="AF240" s="77" t="n"/>
      <c r="AG240" s="77" t="n"/>
      <c r="AH240" s="77" t="n"/>
      <c r="AI240" s="77" t="n"/>
      <c r="AJ240" s="77" t="n"/>
      <c r="AK240" s="77" t="n"/>
      <c r="AL240" s="77" t="n"/>
      <c r="AM240" s="77" t="n"/>
      <c r="AN240" s="77" t="n"/>
      <c r="AO240" s="77" t="n"/>
      <c r="AP240" s="77" t="n"/>
      <c r="AQ240" s="77" t="n"/>
      <c r="AR240" s="77" t="n"/>
      <c r="AS240" s="77" t="n"/>
      <c r="AT240" s="77" t="n"/>
      <c r="AU240" s="77" t="n"/>
      <c r="AV240" s="77" t="n"/>
      <c r="AW240" s="77" t="n"/>
      <c r="AX240" s="77" t="n"/>
      <c r="AY240" s="77" t="n"/>
      <c r="AZ240" s="77" t="n"/>
      <c r="BA240" s="77" t="n"/>
      <c r="BB240" s="77" t="n"/>
      <c r="BC240" s="77" t="n"/>
      <c r="BD240" s="77" t="n"/>
      <c r="BE240" s="77" t="n"/>
      <c r="BF240" s="77" t="n"/>
      <c r="BH240">
        <f>('Data Input'!C128-$A$1)*24</f>
        <v/>
      </c>
      <c r="BI240">
        <f>('Data Input'!D128-$A$1)*24</f>
        <v/>
      </c>
      <c r="BJ240" t="n">
        <v>1</v>
      </c>
      <c r="BO240" t="n">
        <v>-999</v>
      </c>
      <c r="BP240" t="n">
        <v>-999</v>
      </c>
    </row>
    <row r="241" ht="11.5" customHeight="1">
      <c r="A241" s="78" t="n"/>
      <c r="B241" s="78" t="n"/>
      <c r="C241" s="78" t="n"/>
      <c r="D241" s="78" t="n"/>
      <c r="E241" s="78" t="n"/>
      <c r="F241" s="78" t="n"/>
      <c r="G241" s="78" t="n"/>
      <c r="H241" s="78" t="n"/>
      <c r="I241" s="78" t="n"/>
      <c r="J241" s="76" t="inlineStr">
        <is>
          <t>A</t>
        </is>
      </c>
      <c r="K241" s="79" t="n"/>
      <c r="L241" s="79" t="n"/>
      <c r="M241" s="79" t="n"/>
      <c r="N241" s="79" t="n"/>
      <c r="O241" s="79" t="n"/>
      <c r="P241" s="79" t="n"/>
      <c r="Q241" s="79" t="n"/>
      <c r="R241" s="79" t="n"/>
      <c r="S241" s="79" t="n"/>
      <c r="T241" s="79" t="n"/>
      <c r="U241" s="79" t="n"/>
      <c r="V241" s="79" t="n"/>
      <c r="W241" s="79" t="n"/>
      <c r="X241" s="79" t="n"/>
      <c r="Y241" s="79" t="n"/>
      <c r="Z241" s="79" t="n"/>
      <c r="AA241" s="79" t="n"/>
      <c r="AB241" s="79" t="n"/>
      <c r="AC241" s="79" t="n"/>
      <c r="AD241" s="79" t="n"/>
      <c r="AE241" s="79" t="n"/>
      <c r="AF241" s="79" t="n"/>
      <c r="AG241" s="79" t="n"/>
      <c r="AH241" s="79" t="n"/>
      <c r="AI241" s="79" t="n"/>
      <c r="AJ241" s="79" t="n"/>
      <c r="AK241" s="79" t="n"/>
      <c r="AL241" s="79" t="n"/>
      <c r="AM241" s="79" t="n"/>
      <c r="AN241" s="79" t="n"/>
      <c r="AO241" s="79" t="n"/>
      <c r="AP241" s="79" t="n"/>
      <c r="AQ241" s="79" t="n"/>
      <c r="AR241" s="79" t="n"/>
      <c r="AS241" s="79" t="n"/>
      <c r="AT241" s="79" t="n"/>
      <c r="AU241" s="79" t="n"/>
      <c r="AV241" s="79" t="n"/>
      <c r="AW241" s="79" t="n"/>
      <c r="AX241" s="79" t="n"/>
      <c r="AY241" s="79" t="n"/>
      <c r="AZ241" s="79" t="n"/>
      <c r="BA241" s="79" t="n"/>
      <c r="BB241" s="79" t="n"/>
      <c r="BC241" s="79" t="n"/>
      <c r="BD241" s="79" t="n"/>
      <c r="BE241" s="79" t="n"/>
      <c r="BF241" s="79" t="n"/>
      <c r="BH241">
        <f>IF($BK241="",-999,($BK241-$A$1)*24)</f>
        <v/>
      </c>
      <c r="BI241">
        <f>IF($BK241="",-999,(IF($BL241&lt;&gt;"",$BL241,IF($C$1&gt;$BK241,$C$1,$BK241+MAX('Data Input'!E128*$BM241,0.5)/24))-$A$1)*24)</f>
        <v/>
      </c>
      <c r="BJ241">
        <f>IF($BK241="",0,IF($BM241&gt;=1,IF($BN241&lt;=0,2,3),IF($BN241&lt;=0,4,5)))</f>
        <v/>
      </c>
      <c r="BK241">
        <f>IF('Data Input'!Q128="","",'Data Input'!Q128)</f>
        <v/>
      </c>
      <c r="BL241">
        <f>IF('Data Input'!R128="","",'Data Input'!R128)</f>
        <v/>
      </c>
      <c r="BM241">
        <f>'Data Input'!S128</f>
        <v/>
      </c>
      <c r="BN241">
        <f>'Data Input'!Y128</f>
        <v/>
      </c>
      <c r="BO241">
        <f>IF($BM241&gt;=1,-999,MAX(($C$1-$A$1)*24,IF($BK241&lt;&gt;"",$BI241,$BP241-'Data Input'!E128)))</f>
        <v/>
      </c>
      <c r="BP241">
        <f>('Data Input'!D128+'Data Input'!Y128/24-$A$1)*24</f>
        <v/>
      </c>
    </row>
    <row r="242" ht="11.5" customHeight="1">
      <c r="A242" s="68">
        <f>'Data Input'!A129</f>
        <v/>
      </c>
      <c r="B242" s="69">
        <f>'Data Input'!B129</f>
        <v/>
      </c>
      <c r="C242" s="70">
        <f>'Data Input'!O129</f>
        <v/>
      </c>
      <c r="D242" s="71">
        <f>'Data Input'!D129</f>
        <v/>
      </c>
      <c r="E242" s="72">
        <f>'Data Input'!D129+'Data Input'!Y129/24</f>
        <v/>
      </c>
      <c r="F242" s="73">
        <f>'Data Input'!Y129</f>
        <v/>
      </c>
      <c r="G242" s="74">
        <f>'Data Input'!T129</f>
        <v/>
      </c>
      <c r="H242" s="75">
        <f>'Data Input'!S129</f>
        <v/>
      </c>
      <c r="I242" s="57" t="n"/>
      <c r="J242" s="76" t="inlineStr">
        <is>
          <t>P</t>
        </is>
      </c>
      <c r="K242" s="77" t="n"/>
      <c r="L242" s="77" t="n"/>
      <c r="M242" s="77" t="n"/>
      <c r="N242" s="77" t="n"/>
      <c r="O242" s="77" t="n"/>
      <c r="P242" s="77" t="n"/>
      <c r="Q242" s="77" t="n"/>
      <c r="R242" s="77" t="n"/>
      <c r="S242" s="77" t="n"/>
      <c r="T242" s="77" t="n"/>
      <c r="U242" s="77" t="n"/>
      <c r="V242" s="77" t="n"/>
      <c r="W242" s="77" t="n"/>
      <c r="X242" s="77" t="n"/>
      <c r="Y242" s="77" t="n"/>
      <c r="Z242" s="77" t="n"/>
      <c r="AA242" s="77" t="n"/>
      <c r="AB242" s="77" t="n"/>
      <c r="AC242" s="77" t="n"/>
      <c r="AD242" s="77" t="n"/>
      <c r="AE242" s="77" t="n"/>
      <c r="AF242" s="77" t="n"/>
      <c r="AG242" s="77" t="n"/>
      <c r="AH242" s="77" t="n"/>
      <c r="AI242" s="77" t="n"/>
      <c r="AJ242" s="77" t="n"/>
      <c r="AK242" s="77" t="n"/>
      <c r="AL242" s="77" t="n"/>
      <c r="AM242" s="77" t="n"/>
      <c r="AN242" s="77" t="n"/>
      <c r="AO242" s="77" t="n"/>
      <c r="AP242" s="77" t="n"/>
      <c r="AQ242" s="77" t="n"/>
      <c r="AR242" s="77" t="n"/>
      <c r="AS242" s="77" t="n"/>
      <c r="AT242" s="77" t="n"/>
      <c r="AU242" s="77" t="n"/>
      <c r="AV242" s="77" t="n"/>
      <c r="AW242" s="77" t="n"/>
      <c r="AX242" s="77" t="n"/>
      <c r="AY242" s="77" t="n"/>
      <c r="AZ242" s="77" t="n"/>
      <c r="BA242" s="77" t="n"/>
      <c r="BB242" s="77" t="n"/>
      <c r="BC242" s="77" t="n"/>
      <c r="BD242" s="77" t="n"/>
      <c r="BE242" s="77" t="n"/>
      <c r="BF242" s="77" t="n"/>
      <c r="BH242">
        <f>('Data Input'!C129-$A$1)*24</f>
        <v/>
      </c>
      <c r="BI242">
        <f>('Data Input'!D129-$A$1)*24</f>
        <v/>
      </c>
      <c r="BJ242" t="n">
        <v>1</v>
      </c>
      <c r="BO242" t="n">
        <v>-999</v>
      </c>
      <c r="BP242" t="n">
        <v>-999</v>
      </c>
    </row>
    <row r="243" ht="11.5" customHeight="1">
      <c r="A243" s="78" t="n"/>
      <c r="B243" s="78" t="n"/>
      <c r="C243" s="78" t="n"/>
      <c r="D243" s="78" t="n"/>
      <c r="E243" s="78" t="n"/>
      <c r="F243" s="78" t="n"/>
      <c r="G243" s="78" t="n"/>
      <c r="H243" s="78" t="n"/>
      <c r="I243" s="78" t="n"/>
      <c r="J243" s="76" t="inlineStr">
        <is>
          <t>A</t>
        </is>
      </c>
      <c r="K243" s="79" t="n"/>
      <c r="L243" s="79" t="n"/>
      <c r="M243" s="79" t="n"/>
      <c r="N243" s="79" t="n"/>
      <c r="O243" s="79" t="n"/>
      <c r="P243" s="79" t="n"/>
      <c r="Q243" s="79" t="n"/>
      <c r="R243" s="79" t="n"/>
      <c r="S243" s="79" t="n"/>
      <c r="T243" s="79" t="n"/>
      <c r="U243" s="79" t="n"/>
      <c r="V243" s="79" t="n"/>
      <c r="W243" s="79" t="n"/>
      <c r="X243" s="79" t="n"/>
      <c r="Y243" s="79" t="n"/>
      <c r="Z243" s="79" t="n"/>
      <c r="AA243" s="79" t="n"/>
      <c r="AB243" s="79" t="n"/>
      <c r="AC243" s="79" t="n"/>
      <c r="AD243" s="79" t="n"/>
      <c r="AE243" s="79" t="n"/>
      <c r="AF243" s="79" t="n"/>
      <c r="AG243" s="79" t="n"/>
      <c r="AH243" s="79" t="n"/>
      <c r="AI243" s="79" t="n"/>
      <c r="AJ243" s="79" t="n"/>
      <c r="AK243" s="79" t="n"/>
      <c r="AL243" s="79" t="n"/>
      <c r="AM243" s="79" t="n"/>
      <c r="AN243" s="79" t="n"/>
      <c r="AO243" s="79" t="n"/>
      <c r="AP243" s="79" t="n"/>
      <c r="AQ243" s="79" t="n"/>
      <c r="AR243" s="79" t="n"/>
      <c r="AS243" s="79" t="n"/>
      <c r="AT243" s="79" t="n"/>
      <c r="AU243" s="79" t="n"/>
      <c r="AV243" s="79" t="n"/>
      <c r="AW243" s="79" t="n"/>
      <c r="AX243" s="79" t="n"/>
      <c r="AY243" s="79" t="n"/>
      <c r="AZ243" s="79" t="n"/>
      <c r="BA243" s="79" t="n"/>
      <c r="BB243" s="79" t="n"/>
      <c r="BC243" s="79" t="n"/>
      <c r="BD243" s="79" t="n"/>
      <c r="BE243" s="79" t="n"/>
      <c r="BF243" s="79" t="n"/>
      <c r="BH243">
        <f>IF($BK243="",-999,($BK243-$A$1)*24)</f>
        <v/>
      </c>
      <c r="BI243">
        <f>IF($BK243="",-999,(IF($BL243&lt;&gt;"",$BL243,IF($C$1&gt;$BK243,$C$1,$BK243+MAX('Data Input'!E129*$BM243,0.5)/24))-$A$1)*24)</f>
        <v/>
      </c>
      <c r="BJ243">
        <f>IF($BK243="",0,IF($BM243&gt;=1,IF($BN243&lt;=0,2,3),IF($BN243&lt;=0,4,5)))</f>
        <v/>
      </c>
      <c r="BK243">
        <f>IF('Data Input'!Q129="","",'Data Input'!Q129)</f>
        <v/>
      </c>
      <c r="BL243">
        <f>IF('Data Input'!R129="","",'Data Input'!R129)</f>
        <v/>
      </c>
      <c r="BM243">
        <f>'Data Input'!S129</f>
        <v/>
      </c>
      <c r="BN243">
        <f>'Data Input'!Y129</f>
        <v/>
      </c>
      <c r="BO243">
        <f>IF($BM243&gt;=1,-999,MAX(($C$1-$A$1)*24,IF($BK243&lt;&gt;"",$BI243,$BP243-'Data Input'!E129)))</f>
        <v/>
      </c>
      <c r="BP243">
        <f>('Data Input'!D129+'Data Input'!Y129/24-$A$1)*24</f>
        <v/>
      </c>
    </row>
    <row r="244" ht="11.5" customHeight="1">
      <c r="A244" s="68">
        <f>'Data Input'!A130</f>
        <v/>
      </c>
      <c r="B244" s="69">
        <f>'Data Input'!B130</f>
        <v/>
      </c>
      <c r="C244" s="70">
        <f>'Data Input'!O130</f>
        <v/>
      </c>
      <c r="D244" s="71">
        <f>'Data Input'!D130</f>
        <v/>
      </c>
      <c r="E244" s="72">
        <f>'Data Input'!D130+'Data Input'!Y130/24</f>
        <v/>
      </c>
      <c r="F244" s="73">
        <f>'Data Input'!Y130</f>
        <v/>
      </c>
      <c r="G244" s="74">
        <f>'Data Input'!T130</f>
        <v/>
      </c>
      <c r="H244" s="75">
        <f>'Data Input'!S130</f>
        <v/>
      </c>
      <c r="I244" s="57" t="n"/>
      <c r="J244" s="76" t="inlineStr">
        <is>
          <t>P</t>
        </is>
      </c>
      <c r="K244" s="77" t="n"/>
      <c r="L244" s="77" t="n"/>
      <c r="M244" s="77" t="n"/>
      <c r="N244" s="77" t="n"/>
      <c r="O244" s="77" t="n"/>
      <c r="P244" s="77" t="n"/>
      <c r="Q244" s="77" t="n"/>
      <c r="R244" s="77" t="n"/>
      <c r="S244" s="77" t="n"/>
      <c r="T244" s="77" t="n"/>
      <c r="U244" s="77" t="n"/>
      <c r="V244" s="77" t="n"/>
      <c r="W244" s="77" t="n"/>
      <c r="X244" s="77" t="n"/>
      <c r="Y244" s="77" t="n"/>
      <c r="Z244" s="77" t="n"/>
      <c r="AA244" s="77" t="n"/>
      <c r="AB244" s="77" t="n"/>
      <c r="AC244" s="77" t="n"/>
      <c r="AD244" s="77" t="n"/>
      <c r="AE244" s="77" t="n"/>
      <c r="AF244" s="77" t="n"/>
      <c r="AG244" s="77" t="n"/>
      <c r="AH244" s="77" t="n"/>
      <c r="AI244" s="77" t="n"/>
      <c r="AJ244" s="77" t="n"/>
      <c r="AK244" s="77" t="n"/>
      <c r="AL244" s="77" t="n"/>
      <c r="AM244" s="77" t="n"/>
      <c r="AN244" s="77" t="n"/>
      <c r="AO244" s="77" t="n"/>
      <c r="AP244" s="77" t="n"/>
      <c r="AQ244" s="77" t="n"/>
      <c r="AR244" s="77" t="n"/>
      <c r="AS244" s="77" t="n"/>
      <c r="AT244" s="77" t="n"/>
      <c r="AU244" s="77" t="n"/>
      <c r="AV244" s="77" t="n"/>
      <c r="AW244" s="77" t="n"/>
      <c r="AX244" s="77" t="n"/>
      <c r="AY244" s="77" t="n"/>
      <c r="AZ244" s="77" t="n"/>
      <c r="BA244" s="77" t="n"/>
      <c r="BB244" s="77" t="n"/>
      <c r="BC244" s="77" t="n"/>
      <c r="BD244" s="77" t="n"/>
      <c r="BE244" s="77" t="n"/>
      <c r="BF244" s="77" t="n"/>
      <c r="BH244">
        <f>('Data Input'!C130-$A$1)*24</f>
        <v/>
      </c>
      <c r="BI244">
        <f>('Data Input'!D130-$A$1)*24</f>
        <v/>
      </c>
      <c r="BJ244" t="n">
        <v>1</v>
      </c>
      <c r="BO244" t="n">
        <v>-999</v>
      </c>
      <c r="BP244" t="n">
        <v>-999</v>
      </c>
    </row>
    <row r="245" ht="11.5" customHeight="1">
      <c r="A245" s="78" t="n"/>
      <c r="B245" s="78" t="n"/>
      <c r="C245" s="78" t="n"/>
      <c r="D245" s="78" t="n"/>
      <c r="E245" s="78" t="n"/>
      <c r="F245" s="78" t="n"/>
      <c r="G245" s="78" t="n"/>
      <c r="H245" s="78" t="n"/>
      <c r="I245" s="78" t="n"/>
      <c r="J245" s="76" t="inlineStr">
        <is>
          <t>A</t>
        </is>
      </c>
      <c r="K245" s="79" t="n"/>
      <c r="L245" s="79" t="n"/>
      <c r="M245" s="79" t="n"/>
      <c r="N245" s="79" t="n"/>
      <c r="O245" s="79" t="n"/>
      <c r="P245" s="79" t="n"/>
      <c r="Q245" s="79" t="n"/>
      <c r="R245" s="79" t="n"/>
      <c r="S245" s="79" t="n"/>
      <c r="T245" s="79" t="n"/>
      <c r="U245" s="79" t="n"/>
      <c r="V245" s="79" t="n"/>
      <c r="W245" s="79" t="n"/>
      <c r="X245" s="79" t="n"/>
      <c r="Y245" s="79" t="n"/>
      <c r="Z245" s="79" t="n"/>
      <c r="AA245" s="79" t="n"/>
      <c r="AB245" s="79" t="n"/>
      <c r="AC245" s="79" t="n"/>
      <c r="AD245" s="79" t="n"/>
      <c r="AE245" s="79" t="n"/>
      <c r="AF245" s="79" t="n"/>
      <c r="AG245" s="79" t="n"/>
      <c r="AH245" s="79" t="n"/>
      <c r="AI245" s="79" t="n"/>
      <c r="AJ245" s="79" t="n"/>
      <c r="AK245" s="79" t="n"/>
      <c r="AL245" s="79" t="n"/>
      <c r="AM245" s="79" t="n"/>
      <c r="AN245" s="79" t="n"/>
      <c r="AO245" s="79" t="n"/>
      <c r="AP245" s="79" t="n"/>
      <c r="AQ245" s="79" t="n"/>
      <c r="AR245" s="79" t="n"/>
      <c r="AS245" s="79" t="n"/>
      <c r="AT245" s="79" t="n"/>
      <c r="AU245" s="79" t="n"/>
      <c r="AV245" s="79" t="n"/>
      <c r="AW245" s="79" t="n"/>
      <c r="AX245" s="79" t="n"/>
      <c r="AY245" s="79" t="n"/>
      <c r="AZ245" s="79" t="n"/>
      <c r="BA245" s="79" t="n"/>
      <c r="BB245" s="79" t="n"/>
      <c r="BC245" s="79" t="n"/>
      <c r="BD245" s="79" t="n"/>
      <c r="BE245" s="79" t="n"/>
      <c r="BF245" s="79" t="n"/>
      <c r="BH245">
        <f>IF($BK245="",-999,($BK245-$A$1)*24)</f>
        <v/>
      </c>
      <c r="BI245">
        <f>IF($BK245="",-999,(IF($BL245&lt;&gt;"",$BL245,IF($C$1&gt;$BK245,$C$1,$BK245+MAX('Data Input'!E130*$BM245,0.5)/24))-$A$1)*24)</f>
        <v/>
      </c>
      <c r="BJ245">
        <f>IF($BK245="",0,IF($BM245&gt;=1,IF($BN245&lt;=0,2,3),IF($BN245&lt;=0,4,5)))</f>
        <v/>
      </c>
      <c r="BK245">
        <f>IF('Data Input'!Q130="","",'Data Input'!Q130)</f>
        <v/>
      </c>
      <c r="BL245">
        <f>IF('Data Input'!R130="","",'Data Input'!R130)</f>
        <v/>
      </c>
      <c r="BM245">
        <f>'Data Input'!S130</f>
        <v/>
      </c>
      <c r="BN245">
        <f>'Data Input'!Y130</f>
        <v/>
      </c>
      <c r="BO245">
        <f>IF($BM245&gt;=1,-999,MAX(($C$1-$A$1)*24,IF($BK245&lt;&gt;"",$BI245,$BP245-'Data Input'!E130)))</f>
        <v/>
      </c>
      <c r="BP245">
        <f>('Data Input'!D130+'Data Input'!Y130/24-$A$1)*24</f>
        <v/>
      </c>
    </row>
    <row r="246" ht="11.5" customHeight="1">
      <c r="A246" s="68">
        <f>'Data Input'!A131</f>
        <v/>
      </c>
      <c r="B246" s="69">
        <f>'Data Input'!B131</f>
        <v/>
      </c>
      <c r="C246" s="70">
        <f>'Data Input'!O131</f>
        <v/>
      </c>
      <c r="D246" s="71">
        <f>'Data Input'!D131</f>
        <v/>
      </c>
      <c r="E246" s="72">
        <f>'Data Input'!D131+'Data Input'!Y131/24</f>
        <v/>
      </c>
      <c r="F246" s="73">
        <f>'Data Input'!Y131</f>
        <v/>
      </c>
      <c r="G246" s="74">
        <f>'Data Input'!T131</f>
        <v/>
      </c>
      <c r="H246" s="75">
        <f>'Data Input'!S131</f>
        <v/>
      </c>
      <c r="I246" s="57" t="n"/>
      <c r="J246" s="76" t="inlineStr">
        <is>
          <t>P</t>
        </is>
      </c>
      <c r="K246" s="77" t="n"/>
      <c r="L246" s="77" t="n"/>
      <c r="M246" s="77" t="n"/>
      <c r="N246" s="77" t="n"/>
      <c r="O246" s="77" t="n"/>
      <c r="P246" s="77" t="n"/>
      <c r="Q246" s="77" t="n"/>
      <c r="R246" s="77" t="n"/>
      <c r="S246" s="77" t="n"/>
      <c r="T246" s="77" t="n"/>
      <c r="U246" s="77" t="n"/>
      <c r="V246" s="77" t="n"/>
      <c r="W246" s="77" t="n"/>
      <c r="X246" s="77" t="n"/>
      <c r="Y246" s="77" t="n"/>
      <c r="Z246" s="77" t="n"/>
      <c r="AA246" s="77" t="n"/>
      <c r="AB246" s="77" t="n"/>
      <c r="AC246" s="77" t="n"/>
      <c r="AD246" s="77" t="n"/>
      <c r="AE246" s="77" t="n"/>
      <c r="AF246" s="77" t="n"/>
      <c r="AG246" s="77" t="n"/>
      <c r="AH246" s="77" t="n"/>
      <c r="AI246" s="77" t="n"/>
      <c r="AJ246" s="77" t="n"/>
      <c r="AK246" s="77" t="n"/>
      <c r="AL246" s="77" t="n"/>
      <c r="AM246" s="77" t="n"/>
      <c r="AN246" s="77" t="n"/>
      <c r="AO246" s="77" t="n"/>
      <c r="AP246" s="77" t="n"/>
      <c r="AQ246" s="77" t="n"/>
      <c r="AR246" s="77" t="n"/>
      <c r="AS246" s="77" t="n"/>
      <c r="AT246" s="77" t="n"/>
      <c r="AU246" s="77" t="n"/>
      <c r="AV246" s="77" t="n"/>
      <c r="AW246" s="77" t="n"/>
      <c r="AX246" s="77" t="n"/>
      <c r="AY246" s="77" t="n"/>
      <c r="AZ246" s="77" t="n"/>
      <c r="BA246" s="77" t="n"/>
      <c r="BB246" s="77" t="n"/>
      <c r="BC246" s="77" t="n"/>
      <c r="BD246" s="77" t="n"/>
      <c r="BE246" s="77" t="n"/>
      <c r="BF246" s="77" t="n"/>
      <c r="BH246">
        <f>('Data Input'!C131-$A$1)*24</f>
        <v/>
      </c>
      <c r="BI246">
        <f>('Data Input'!D131-$A$1)*24</f>
        <v/>
      </c>
      <c r="BJ246" t="n">
        <v>1</v>
      </c>
      <c r="BO246" t="n">
        <v>-999</v>
      </c>
      <c r="BP246" t="n">
        <v>-999</v>
      </c>
    </row>
    <row r="247" ht="11.5" customHeight="1">
      <c r="A247" s="78" t="n"/>
      <c r="B247" s="78" t="n"/>
      <c r="C247" s="78" t="n"/>
      <c r="D247" s="78" t="n"/>
      <c r="E247" s="78" t="n"/>
      <c r="F247" s="78" t="n"/>
      <c r="G247" s="78" t="n"/>
      <c r="H247" s="78" t="n"/>
      <c r="I247" s="78" t="n"/>
      <c r="J247" s="76" t="inlineStr">
        <is>
          <t>A</t>
        </is>
      </c>
      <c r="K247" s="79" t="n"/>
      <c r="L247" s="79" t="n"/>
      <c r="M247" s="79" t="n"/>
      <c r="N247" s="79" t="n"/>
      <c r="O247" s="79" t="n"/>
      <c r="P247" s="79" t="n"/>
      <c r="Q247" s="79" t="n"/>
      <c r="R247" s="79" t="n"/>
      <c r="S247" s="79" t="n"/>
      <c r="T247" s="79" t="n"/>
      <c r="U247" s="79" t="n"/>
      <c r="V247" s="79" t="n"/>
      <c r="W247" s="79" t="n"/>
      <c r="X247" s="79" t="n"/>
      <c r="Y247" s="79" t="n"/>
      <c r="Z247" s="79" t="n"/>
      <c r="AA247" s="79" t="n"/>
      <c r="AB247" s="79" t="n"/>
      <c r="AC247" s="79" t="n"/>
      <c r="AD247" s="79" t="n"/>
      <c r="AE247" s="79" t="n"/>
      <c r="AF247" s="79" t="n"/>
      <c r="AG247" s="79" t="n"/>
      <c r="AH247" s="79" t="n"/>
      <c r="AI247" s="79" t="n"/>
      <c r="AJ247" s="79" t="n"/>
      <c r="AK247" s="79" t="n"/>
      <c r="AL247" s="79" t="n"/>
      <c r="AM247" s="79" t="n"/>
      <c r="AN247" s="79" t="n"/>
      <c r="AO247" s="79" t="n"/>
      <c r="AP247" s="79" t="n"/>
      <c r="AQ247" s="79" t="n"/>
      <c r="AR247" s="79" t="n"/>
      <c r="AS247" s="79" t="n"/>
      <c r="AT247" s="79" t="n"/>
      <c r="AU247" s="79" t="n"/>
      <c r="AV247" s="79" t="n"/>
      <c r="AW247" s="79" t="n"/>
      <c r="AX247" s="79" t="n"/>
      <c r="AY247" s="79" t="n"/>
      <c r="AZ247" s="79" t="n"/>
      <c r="BA247" s="79" t="n"/>
      <c r="BB247" s="79" t="n"/>
      <c r="BC247" s="79" t="n"/>
      <c r="BD247" s="79" t="n"/>
      <c r="BE247" s="79" t="n"/>
      <c r="BF247" s="79" t="n"/>
      <c r="BH247">
        <f>IF($BK247="",-999,($BK247-$A$1)*24)</f>
        <v/>
      </c>
      <c r="BI247">
        <f>IF($BK247="",-999,(IF($BL247&lt;&gt;"",$BL247,IF($C$1&gt;$BK247,$C$1,$BK247+MAX('Data Input'!E131*$BM247,0.5)/24))-$A$1)*24)</f>
        <v/>
      </c>
      <c r="BJ247">
        <f>IF($BK247="",0,IF($BM247&gt;=1,IF($BN247&lt;=0,2,3),IF($BN247&lt;=0,4,5)))</f>
        <v/>
      </c>
      <c r="BK247">
        <f>IF('Data Input'!Q131="","",'Data Input'!Q131)</f>
        <v/>
      </c>
      <c r="BL247">
        <f>IF('Data Input'!R131="","",'Data Input'!R131)</f>
        <v/>
      </c>
      <c r="BM247">
        <f>'Data Input'!S131</f>
        <v/>
      </c>
      <c r="BN247">
        <f>'Data Input'!Y131</f>
        <v/>
      </c>
      <c r="BO247">
        <f>IF($BM247&gt;=1,-999,MAX(($C$1-$A$1)*24,IF($BK247&lt;&gt;"",$BI247,$BP247-'Data Input'!E131)))</f>
        <v/>
      </c>
      <c r="BP247">
        <f>('Data Input'!D131+'Data Input'!Y131/24-$A$1)*24</f>
        <v/>
      </c>
    </row>
    <row r="248" ht="11.5" customHeight="1">
      <c r="A248" s="68">
        <f>'Data Input'!A132</f>
        <v/>
      </c>
      <c r="B248" s="69">
        <f>'Data Input'!B132</f>
        <v/>
      </c>
      <c r="C248" s="70">
        <f>'Data Input'!O132</f>
        <v/>
      </c>
      <c r="D248" s="71">
        <f>'Data Input'!D132</f>
        <v/>
      </c>
      <c r="E248" s="72">
        <f>'Data Input'!D132+'Data Input'!Y132/24</f>
        <v/>
      </c>
      <c r="F248" s="73">
        <f>'Data Input'!Y132</f>
        <v/>
      </c>
      <c r="G248" s="74">
        <f>'Data Input'!T132</f>
        <v/>
      </c>
      <c r="H248" s="75">
        <f>'Data Input'!S132</f>
        <v/>
      </c>
      <c r="I248" s="57" t="n"/>
      <c r="J248" s="76" t="inlineStr">
        <is>
          <t>P</t>
        </is>
      </c>
      <c r="K248" s="77" t="n"/>
      <c r="L248" s="77" t="n"/>
      <c r="M248" s="77" t="n"/>
      <c r="N248" s="77" t="n"/>
      <c r="O248" s="77" t="n"/>
      <c r="P248" s="77" t="n"/>
      <c r="Q248" s="77" t="n"/>
      <c r="R248" s="77" t="n"/>
      <c r="S248" s="77" t="n"/>
      <c r="T248" s="77" t="n"/>
      <c r="U248" s="77" t="n"/>
      <c r="V248" s="77" t="n"/>
      <c r="W248" s="77" t="n"/>
      <c r="X248" s="77" t="n"/>
      <c r="Y248" s="77" t="n"/>
      <c r="Z248" s="77" t="n"/>
      <c r="AA248" s="77" t="n"/>
      <c r="AB248" s="77" t="n"/>
      <c r="AC248" s="77" t="n"/>
      <c r="AD248" s="77" t="n"/>
      <c r="AE248" s="77" t="n"/>
      <c r="AF248" s="77" t="n"/>
      <c r="AG248" s="77" t="n"/>
      <c r="AH248" s="77" t="n"/>
      <c r="AI248" s="77" t="n"/>
      <c r="AJ248" s="77" t="n"/>
      <c r="AK248" s="77" t="n"/>
      <c r="AL248" s="77" t="n"/>
      <c r="AM248" s="77" t="n"/>
      <c r="AN248" s="77" t="n"/>
      <c r="AO248" s="77" t="n"/>
      <c r="AP248" s="77" t="n"/>
      <c r="AQ248" s="77" t="n"/>
      <c r="AR248" s="77" t="n"/>
      <c r="AS248" s="77" t="n"/>
      <c r="AT248" s="77" t="n"/>
      <c r="AU248" s="77" t="n"/>
      <c r="AV248" s="77" t="n"/>
      <c r="AW248" s="77" t="n"/>
      <c r="AX248" s="77" t="n"/>
      <c r="AY248" s="77" t="n"/>
      <c r="AZ248" s="77" t="n"/>
      <c r="BA248" s="77" t="n"/>
      <c r="BB248" s="77" t="n"/>
      <c r="BC248" s="77" t="n"/>
      <c r="BD248" s="77" t="n"/>
      <c r="BE248" s="77" t="n"/>
      <c r="BF248" s="77" t="n"/>
      <c r="BH248">
        <f>('Data Input'!C132-$A$1)*24</f>
        <v/>
      </c>
      <c r="BI248">
        <f>('Data Input'!D132-$A$1)*24</f>
        <v/>
      </c>
      <c r="BJ248" t="n">
        <v>1</v>
      </c>
      <c r="BO248" t="n">
        <v>-999</v>
      </c>
      <c r="BP248" t="n">
        <v>-999</v>
      </c>
    </row>
    <row r="249" ht="11.5" customHeight="1">
      <c r="A249" s="78" t="n"/>
      <c r="B249" s="78" t="n"/>
      <c r="C249" s="78" t="n"/>
      <c r="D249" s="78" t="n"/>
      <c r="E249" s="78" t="n"/>
      <c r="F249" s="78" t="n"/>
      <c r="G249" s="78" t="n"/>
      <c r="H249" s="78" t="n"/>
      <c r="I249" s="78" t="n"/>
      <c r="J249" s="76" t="inlineStr">
        <is>
          <t>A</t>
        </is>
      </c>
      <c r="K249" s="79" t="n"/>
      <c r="L249" s="79" t="n"/>
      <c r="M249" s="79" t="n"/>
      <c r="N249" s="79" t="n"/>
      <c r="O249" s="79" t="n"/>
      <c r="P249" s="79" t="n"/>
      <c r="Q249" s="79" t="n"/>
      <c r="R249" s="79" t="n"/>
      <c r="S249" s="79" t="n"/>
      <c r="T249" s="79" t="n"/>
      <c r="U249" s="79" t="n"/>
      <c r="V249" s="79" t="n"/>
      <c r="W249" s="79" t="n"/>
      <c r="X249" s="79" t="n"/>
      <c r="Y249" s="79" t="n"/>
      <c r="Z249" s="79" t="n"/>
      <c r="AA249" s="79" t="n"/>
      <c r="AB249" s="79" t="n"/>
      <c r="AC249" s="79" t="n"/>
      <c r="AD249" s="79" t="n"/>
      <c r="AE249" s="79" t="n"/>
      <c r="AF249" s="79" t="n"/>
      <c r="AG249" s="79" t="n"/>
      <c r="AH249" s="79" t="n"/>
      <c r="AI249" s="79" t="n"/>
      <c r="AJ249" s="79" t="n"/>
      <c r="AK249" s="79" t="n"/>
      <c r="AL249" s="79" t="n"/>
      <c r="AM249" s="79" t="n"/>
      <c r="AN249" s="79" t="n"/>
      <c r="AO249" s="79" t="n"/>
      <c r="AP249" s="79" t="n"/>
      <c r="AQ249" s="79" t="n"/>
      <c r="AR249" s="79" t="n"/>
      <c r="AS249" s="79" t="n"/>
      <c r="AT249" s="79" t="n"/>
      <c r="AU249" s="79" t="n"/>
      <c r="AV249" s="79" t="n"/>
      <c r="AW249" s="79" t="n"/>
      <c r="AX249" s="79" t="n"/>
      <c r="AY249" s="79" t="n"/>
      <c r="AZ249" s="79" t="n"/>
      <c r="BA249" s="79" t="n"/>
      <c r="BB249" s="79" t="n"/>
      <c r="BC249" s="79" t="n"/>
      <c r="BD249" s="79" t="n"/>
      <c r="BE249" s="79" t="n"/>
      <c r="BF249" s="79" t="n"/>
      <c r="BH249">
        <f>IF($BK249="",-999,($BK249-$A$1)*24)</f>
        <v/>
      </c>
      <c r="BI249">
        <f>IF($BK249="",-999,(IF($BL249&lt;&gt;"",$BL249,IF($C$1&gt;$BK249,$C$1,$BK249+MAX('Data Input'!E132*$BM249,0.5)/24))-$A$1)*24)</f>
        <v/>
      </c>
      <c r="BJ249">
        <f>IF($BK249="",0,IF($BM249&gt;=1,IF($BN249&lt;=0,2,3),IF($BN249&lt;=0,4,5)))</f>
        <v/>
      </c>
      <c r="BK249">
        <f>IF('Data Input'!Q132="","",'Data Input'!Q132)</f>
        <v/>
      </c>
      <c r="BL249">
        <f>IF('Data Input'!R132="","",'Data Input'!R132)</f>
        <v/>
      </c>
      <c r="BM249">
        <f>'Data Input'!S132</f>
        <v/>
      </c>
      <c r="BN249">
        <f>'Data Input'!Y132</f>
        <v/>
      </c>
      <c r="BO249">
        <f>IF($BM249&gt;=1,-999,MAX(($C$1-$A$1)*24,IF($BK249&lt;&gt;"",$BI249,$BP249-'Data Input'!E132)))</f>
        <v/>
      </c>
      <c r="BP249">
        <f>('Data Input'!D132+'Data Input'!Y132/24-$A$1)*24</f>
        <v/>
      </c>
    </row>
    <row r="250" ht="11.5" customHeight="1">
      <c r="A250" s="68">
        <f>'Data Input'!A133</f>
        <v/>
      </c>
      <c r="B250" s="69">
        <f>'Data Input'!B133</f>
        <v/>
      </c>
      <c r="C250" s="70">
        <f>'Data Input'!O133</f>
        <v/>
      </c>
      <c r="D250" s="71">
        <f>'Data Input'!D133</f>
        <v/>
      </c>
      <c r="E250" s="72">
        <f>'Data Input'!D133+'Data Input'!Y133/24</f>
        <v/>
      </c>
      <c r="F250" s="73">
        <f>'Data Input'!Y133</f>
        <v/>
      </c>
      <c r="G250" s="74">
        <f>'Data Input'!T133</f>
        <v/>
      </c>
      <c r="H250" s="75">
        <f>'Data Input'!S133</f>
        <v/>
      </c>
      <c r="I250" s="57" t="n"/>
      <c r="J250" s="76" t="inlineStr">
        <is>
          <t>P</t>
        </is>
      </c>
      <c r="K250" s="77" t="n"/>
      <c r="L250" s="77" t="n"/>
      <c r="M250" s="77" t="n"/>
      <c r="N250" s="77" t="n"/>
      <c r="O250" s="77" t="n"/>
      <c r="P250" s="77" t="n"/>
      <c r="Q250" s="77" t="n"/>
      <c r="R250" s="77" t="n"/>
      <c r="S250" s="77" t="n"/>
      <c r="T250" s="77" t="n"/>
      <c r="U250" s="77" t="n"/>
      <c r="V250" s="77" t="n"/>
      <c r="W250" s="77" t="n"/>
      <c r="X250" s="77" t="n"/>
      <c r="Y250" s="77" t="n"/>
      <c r="Z250" s="77" t="n"/>
      <c r="AA250" s="77" t="n"/>
      <c r="AB250" s="77" t="n"/>
      <c r="AC250" s="77" t="n"/>
      <c r="AD250" s="77" t="n"/>
      <c r="AE250" s="77" t="n"/>
      <c r="AF250" s="77" t="n"/>
      <c r="AG250" s="77" t="n"/>
      <c r="AH250" s="77" t="n"/>
      <c r="AI250" s="77" t="n"/>
      <c r="AJ250" s="77" t="n"/>
      <c r="AK250" s="77" t="n"/>
      <c r="AL250" s="77" t="n"/>
      <c r="AM250" s="77" t="n"/>
      <c r="AN250" s="77" t="n"/>
      <c r="AO250" s="77" t="n"/>
      <c r="AP250" s="77" t="n"/>
      <c r="AQ250" s="77" t="n"/>
      <c r="AR250" s="77" t="n"/>
      <c r="AS250" s="77" t="n"/>
      <c r="AT250" s="77" t="n"/>
      <c r="AU250" s="77" t="n"/>
      <c r="AV250" s="77" t="n"/>
      <c r="AW250" s="77" t="n"/>
      <c r="AX250" s="77" t="n"/>
      <c r="AY250" s="77" t="n"/>
      <c r="AZ250" s="77" t="n"/>
      <c r="BA250" s="77" t="n"/>
      <c r="BB250" s="77" t="n"/>
      <c r="BC250" s="77" t="n"/>
      <c r="BD250" s="77" t="n"/>
      <c r="BE250" s="77" t="n"/>
      <c r="BF250" s="77" t="n"/>
      <c r="BH250">
        <f>('Data Input'!C133-$A$1)*24</f>
        <v/>
      </c>
      <c r="BI250">
        <f>('Data Input'!D133-$A$1)*24</f>
        <v/>
      </c>
      <c r="BJ250" t="n">
        <v>1</v>
      </c>
      <c r="BO250" t="n">
        <v>-999</v>
      </c>
      <c r="BP250" t="n">
        <v>-999</v>
      </c>
    </row>
    <row r="251" ht="11.5" customHeight="1">
      <c r="A251" s="78" t="n"/>
      <c r="B251" s="78" t="n"/>
      <c r="C251" s="78" t="n"/>
      <c r="D251" s="78" t="n"/>
      <c r="E251" s="78" t="n"/>
      <c r="F251" s="78" t="n"/>
      <c r="G251" s="78" t="n"/>
      <c r="H251" s="78" t="n"/>
      <c r="I251" s="78" t="n"/>
      <c r="J251" s="76" t="inlineStr">
        <is>
          <t>A</t>
        </is>
      </c>
      <c r="K251" s="79" t="n"/>
      <c r="L251" s="79" t="n"/>
      <c r="M251" s="79" t="n"/>
      <c r="N251" s="79" t="n"/>
      <c r="O251" s="79" t="n"/>
      <c r="P251" s="79" t="n"/>
      <c r="Q251" s="79" t="n"/>
      <c r="R251" s="79" t="n"/>
      <c r="S251" s="79" t="n"/>
      <c r="T251" s="79" t="n"/>
      <c r="U251" s="79" t="n"/>
      <c r="V251" s="79" t="n"/>
      <c r="W251" s="79" t="n"/>
      <c r="X251" s="79" t="n"/>
      <c r="Y251" s="79" t="n"/>
      <c r="Z251" s="79" t="n"/>
      <c r="AA251" s="79" t="n"/>
      <c r="AB251" s="79" t="n"/>
      <c r="AC251" s="79" t="n"/>
      <c r="AD251" s="79" t="n"/>
      <c r="AE251" s="79" t="n"/>
      <c r="AF251" s="79" t="n"/>
      <c r="AG251" s="79" t="n"/>
      <c r="AH251" s="79" t="n"/>
      <c r="AI251" s="79" t="n"/>
      <c r="AJ251" s="79" t="n"/>
      <c r="AK251" s="79" t="n"/>
      <c r="AL251" s="79" t="n"/>
      <c r="AM251" s="79" t="n"/>
      <c r="AN251" s="79" t="n"/>
      <c r="AO251" s="79" t="n"/>
      <c r="AP251" s="79" t="n"/>
      <c r="AQ251" s="79" t="n"/>
      <c r="AR251" s="79" t="n"/>
      <c r="AS251" s="79" t="n"/>
      <c r="AT251" s="79" t="n"/>
      <c r="AU251" s="79" t="n"/>
      <c r="AV251" s="79" t="n"/>
      <c r="AW251" s="79" t="n"/>
      <c r="AX251" s="79" t="n"/>
      <c r="AY251" s="79" t="n"/>
      <c r="AZ251" s="79" t="n"/>
      <c r="BA251" s="79" t="n"/>
      <c r="BB251" s="79" t="n"/>
      <c r="BC251" s="79" t="n"/>
      <c r="BD251" s="79" t="n"/>
      <c r="BE251" s="79" t="n"/>
      <c r="BF251" s="79" t="n"/>
      <c r="BH251">
        <f>IF($BK251="",-999,($BK251-$A$1)*24)</f>
        <v/>
      </c>
      <c r="BI251">
        <f>IF($BK251="",-999,(IF($BL251&lt;&gt;"",$BL251,IF($C$1&gt;$BK251,$C$1,$BK251+MAX('Data Input'!E133*$BM251,0.5)/24))-$A$1)*24)</f>
        <v/>
      </c>
      <c r="BJ251">
        <f>IF($BK251="",0,IF($BM251&gt;=1,IF($BN251&lt;=0,2,3),IF($BN251&lt;=0,4,5)))</f>
        <v/>
      </c>
      <c r="BK251">
        <f>IF('Data Input'!Q133="","",'Data Input'!Q133)</f>
        <v/>
      </c>
      <c r="BL251">
        <f>IF('Data Input'!R133="","",'Data Input'!R133)</f>
        <v/>
      </c>
      <c r="BM251">
        <f>'Data Input'!S133</f>
        <v/>
      </c>
      <c r="BN251">
        <f>'Data Input'!Y133</f>
        <v/>
      </c>
      <c r="BO251">
        <f>IF($BM251&gt;=1,-999,MAX(($C$1-$A$1)*24,IF($BK251&lt;&gt;"",$BI251,$BP251-'Data Input'!E133)))</f>
        <v/>
      </c>
      <c r="BP251">
        <f>('Data Input'!D133+'Data Input'!Y133/24-$A$1)*24</f>
        <v/>
      </c>
    </row>
    <row r="252" ht="11.5" customHeight="1">
      <c r="A252" s="68">
        <f>'Data Input'!A134</f>
        <v/>
      </c>
      <c r="B252" s="69">
        <f>'Data Input'!B134</f>
        <v/>
      </c>
      <c r="C252" s="70">
        <f>'Data Input'!O134</f>
        <v/>
      </c>
      <c r="D252" s="71">
        <f>'Data Input'!D134</f>
        <v/>
      </c>
      <c r="E252" s="72">
        <f>'Data Input'!D134+'Data Input'!Y134/24</f>
        <v/>
      </c>
      <c r="F252" s="73">
        <f>'Data Input'!Y134</f>
        <v/>
      </c>
      <c r="G252" s="74">
        <f>'Data Input'!T134</f>
        <v/>
      </c>
      <c r="H252" s="75">
        <f>'Data Input'!S134</f>
        <v/>
      </c>
      <c r="I252" s="57" t="n"/>
      <c r="J252" s="76" t="inlineStr">
        <is>
          <t>P</t>
        </is>
      </c>
      <c r="K252" s="77" t="n"/>
      <c r="L252" s="77" t="n"/>
      <c r="M252" s="77" t="n"/>
      <c r="N252" s="77" t="n"/>
      <c r="O252" s="77" t="n"/>
      <c r="P252" s="77" t="n"/>
      <c r="Q252" s="77" t="n"/>
      <c r="R252" s="77" t="n"/>
      <c r="S252" s="77" t="n"/>
      <c r="T252" s="77" t="n"/>
      <c r="U252" s="77" t="n"/>
      <c r="V252" s="77" t="n"/>
      <c r="W252" s="77" t="n"/>
      <c r="X252" s="77" t="n"/>
      <c r="Y252" s="77" t="n"/>
      <c r="Z252" s="77" t="n"/>
      <c r="AA252" s="77" t="n"/>
      <c r="AB252" s="77" t="n"/>
      <c r="AC252" s="77" t="n"/>
      <c r="AD252" s="77" t="n"/>
      <c r="AE252" s="77" t="n"/>
      <c r="AF252" s="77" t="n"/>
      <c r="AG252" s="77" t="n"/>
      <c r="AH252" s="77" t="n"/>
      <c r="AI252" s="77" t="n"/>
      <c r="AJ252" s="77" t="n"/>
      <c r="AK252" s="77" t="n"/>
      <c r="AL252" s="77" t="n"/>
      <c r="AM252" s="77" t="n"/>
      <c r="AN252" s="77" t="n"/>
      <c r="AO252" s="77" t="n"/>
      <c r="AP252" s="77" t="n"/>
      <c r="AQ252" s="77" t="n"/>
      <c r="AR252" s="77" t="n"/>
      <c r="AS252" s="77" t="n"/>
      <c r="AT252" s="77" t="n"/>
      <c r="AU252" s="77" t="n"/>
      <c r="AV252" s="77" t="n"/>
      <c r="AW252" s="77" t="n"/>
      <c r="AX252" s="77" t="n"/>
      <c r="AY252" s="77" t="n"/>
      <c r="AZ252" s="77" t="n"/>
      <c r="BA252" s="77" t="n"/>
      <c r="BB252" s="77" t="n"/>
      <c r="BC252" s="77" t="n"/>
      <c r="BD252" s="77" t="n"/>
      <c r="BE252" s="77" t="n"/>
      <c r="BF252" s="77" t="n"/>
      <c r="BH252">
        <f>('Data Input'!C134-$A$1)*24</f>
        <v/>
      </c>
      <c r="BI252">
        <f>('Data Input'!D134-$A$1)*24</f>
        <v/>
      </c>
      <c r="BJ252" t="n">
        <v>1</v>
      </c>
      <c r="BO252" t="n">
        <v>-999</v>
      </c>
      <c r="BP252" t="n">
        <v>-999</v>
      </c>
    </row>
    <row r="253" ht="11.5" customHeight="1">
      <c r="A253" s="78" t="n"/>
      <c r="B253" s="78" t="n"/>
      <c r="C253" s="78" t="n"/>
      <c r="D253" s="78" t="n"/>
      <c r="E253" s="78" t="n"/>
      <c r="F253" s="78" t="n"/>
      <c r="G253" s="78" t="n"/>
      <c r="H253" s="78" t="n"/>
      <c r="I253" s="78" t="n"/>
      <c r="J253" s="76" t="inlineStr">
        <is>
          <t>A</t>
        </is>
      </c>
      <c r="K253" s="79" t="n"/>
      <c r="L253" s="79" t="n"/>
      <c r="M253" s="79" t="n"/>
      <c r="N253" s="79" t="n"/>
      <c r="O253" s="79" t="n"/>
      <c r="P253" s="79" t="n"/>
      <c r="Q253" s="79" t="n"/>
      <c r="R253" s="79" t="n"/>
      <c r="S253" s="79" t="n"/>
      <c r="T253" s="79" t="n"/>
      <c r="U253" s="79" t="n"/>
      <c r="V253" s="79" t="n"/>
      <c r="W253" s="79" t="n"/>
      <c r="X253" s="79" t="n"/>
      <c r="Y253" s="79" t="n"/>
      <c r="Z253" s="79" t="n"/>
      <c r="AA253" s="79" t="n"/>
      <c r="AB253" s="79" t="n"/>
      <c r="AC253" s="79" t="n"/>
      <c r="AD253" s="79" t="n"/>
      <c r="AE253" s="79" t="n"/>
      <c r="AF253" s="79" t="n"/>
      <c r="AG253" s="79" t="n"/>
      <c r="AH253" s="79" t="n"/>
      <c r="AI253" s="79" t="n"/>
      <c r="AJ253" s="79" t="n"/>
      <c r="AK253" s="79" t="n"/>
      <c r="AL253" s="79" t="n"/>
      <c r="AM253" s="79" t="n"/>
      <c r="AN253" s="79" t="n"/>
      <c r="AO253" s="79" t="n"/>
      <c r="AP253" s="79" t="n"/>
      <c r="AQ253" s="79" t="n"/>
      <c r="AR253" s="79" t="n"/>
      <c r="AS253" s="79" t="n"/>
      <c r="AT253" s="79" t="n"/>
      <c r="AU253" s="79" t="n"/>
      <c r="AV253" s="79" t="n"/>
      <c r="AW253" s="79" t="n"/>
      <c r="AX253" s="79" t="n"/>
      <c r="AY253" s="79" t="n"/>
      <c r="AZ253" s="79" t="n"/>
      <c r="BA253" s="79" t="n"/>
      <c r="BB253" s="79" t="n"/>
      <c r="BC253" s="79" t="n"/>
      <c r="BD253" s="79" t="n"/>
      <c r="BE253" s="79" t="n"/>
      <c r="BF253" s="79" t="n"/>
      <c r="BH253">
        <f>IF($BK253="",-999,($BK253-$A$1)*24)</f>
        <v/>
      </c>
      <c r="BI253">
        <f>IF($BK253="",-999,(IF($BL253&lt;&gt;"",$BL253,IF($C$1&gt;$BK253,$C$1,$BK253+MAX('Data Input'!E134*$BM253,0.5)/24))-$A$1)*24)</f>
        <v/>
      </c>
      <c r="BJ253">
        <f>IF($BK253="",0,IF($BM253&gt;=1,IF($BN253&lt;=0,2,3),IF($BN253&lt;=0,4,5)))</f>
        <v/>
      </c>
      <c r="BK253">
        <f>IF('Data Input'!Q134="","",'Data Input'!Q134)</f>
        <v/>
      </c>
      <c r="BL253">
        <f>IF('Data Input'!R134="","",'Data Input'!R134)</f>
        <v/>
      </c>
      <c r="BM253">
        <f>'Data Input'!S134</f>
        <v/>
      </c>
      <c r="BN253">
        <f>'Data Input'!Y134</f>
        <v/>
      </c>
      <c r="BO253">
        <f>IF($BM253&gt;=1,-999,MAX(($C$1-$A$1)*24,IF($BK253&lt;&gt;"",$BI253,$BP253-'Data Input'!E134)))</f>
        <v/>
      </c>
      <c r="BP253">
        <f>('Data Input'!D134+'Data Input'!Y134/24-$A$1)*24</f>
        <v/>
      </c>
    </row>
    <row r="254" ht="11.5" customHeight="1">
      <c r="A254" s="68">
        <f>'Data Input'!A135</f>
        <v/>
      </c>
      <c r="B254" s="69">
        <f>'Data Input'!B135</f>
        <v/>
      </c>
      <c r="C254" s="70">
        <f>'Data Input'!O135</f>
        <v/>
      </c>
      <c r="D254" s="71">
        <f>'Data Input'!D135</f>
        <v/>
      </c>
      <c r="E254" s="72">
        <f>'Data Input'!D135+'Data Input'!Y135/24</f>
        <v/>
      </c>
      <c r="F254" s="73">
        <f>'Data Input'!Y135</f>
        <v/>
      </c>
      <c r="G254" s="74">
        <f>'Data Input'!T135</f>
        <v/>
      </c>
      <c r="H254" s="75">
        <f>'Data Input'!S135</f>
        <v/>
      </c>
      <c r="I254" s="57" t="n"/>
      <c r="J254" s="76" t="inlineStr">
        <is>
          <t>P</t>
        </is>
      </c>
      <c r="K254" s="77" t="n"/>
      <c r="L254" s="77" t="n"/>
      <c r="M254" s="77" t="n"/>
      <c r="N254" s="77" t="n"/>
      <c r="O254" s="77" t="n"/>
      <c r="P254" s="77" t="n"/>
      <c r="Q254" s="77" t="n"/>
      <c r="R254" s="77" t="n"/>
      <c r="S254" s="77" t="n"/>
      <c r="T254" s="77" t="n"/>
      <c r="U254" s="77" t="n"/>
      <c r="V254" s="77" t="n"/>
      <c r="W254" s="77" t="n"/>
      <c r="X254" s="77" t="n"/>
      <c r="Y254" s="77" t="n"/>
      <c r="Z254" s="77" t="n"/>
      <c r="AA254" s="77" t="n"/>
      <c r="AB254" s="77" t="n"/>
      <c r="AC254" s="77" t="n"/>
      <c r="AD254" s="77" t="n"/>
      <c r="AE254" s="77" t="n"/>
      <c r="AF254" s="77" t="n"/>
      <c r="AG254" s="77" t="n"/>
      <c r="AH254" s="77" t="n"/>
      <c r="AI254" s="77" t="n"/>
      <c r="AJ254" s="77" t="n"/>
      <c r="AK254" s="77" t="n"/>
      <c r="AL254" s="77" t="n"/>
      <c r="AM254" s="77" t="n"/>
      <c r="AN254" s="77" t="n"/>
      <c r="AO254" s="77" t="n"/>
      <c r="AP254" s="77" t="n"/>
      <c r="AQ254" s="77" t="n"/>
      <c r="AR254" s="77" t="n"/>
      <c r="AS254" s="77" t="n"/>
      <c r="AT254" s="77" t="n"/>
      <c r="AU254" s="77" t="n"/>
      <c r="AV254" s="77" t="n"/>
      <c r="AW254" s="77" t="n"/>
      <c r="AX254" s="77" t="n"/>
      <c r="AY254" s="77" t="n"/>
      <c r="AZ254" s="77" t="n"/>
      <c r="BA254" s="77" t="n"/>
      <c r="BB254" s="77" t="n"/>
      <c r="BC254" s="77" t="n"/>
      <c r="BD254" s="77" t="n"/>
      <c r="BE254" s="77" t="n"/>
      <c r="BF254" s="77" t="n"/>
      <c r="BH254">
        <f>('Data Input'!C135-$A$1)*24</f>
        <v/>
      </c>
      <c r="BI254">
        <f>('Data Input'!D135-$A$1)*24</f>
        <v/>
      </c>
      <c r="BJ254" t="n">
        <v>1</v>
      </c>
      <c r="BO254" t="n">
        <v>-999</v>
      </c>
      <c r="BP254" t="n">
        <v>-999</v>
      </c>
    </row>
    <row r="255" ht="11.5" customHeight="1">
      <c r="A255" s="78" t="n"/>
      <c r="B255" s="78" t="n"/>
      <c r="C255" s="78" t="n"/>
      <c r="D255" s="78" t="n"/>
      <c r="E255" s="78" t="n"/>
      <c r="F255" s="78" t="n"/>
      <c r="G255" s="78" t="n"/>
      <c r="H255" s="78" t="n"/>
      <c r="I255" s="78" t="n"/>
      <c r="J255" s="76" t="inlineStr">
        <is>
          <t>A</t>
        </is>
      </c>
      <c r="K255" s="79" t="n"/>
      <c r="L255" s="79" t="n"/>
      <c r="M255" s="79" t="n"/>
      <c r="N255" s="79" t="n"/>
      <c r="O255" s="79" t="n"/>
      <c r="P255" s="79" t="n"/>
      <c r="Q255" s="79" t="n"/>
      <c r="R255" s="79" t="n"/>
      <c r="S255" s="79" t="n"/>
      <c r="T255" s="79" t="n"/>
      <c r="U255" s="79" t="n"/>
      <c r="V255" s="79" t="n"/>
      <c r="W255" s="79" t="n"/>
      <c r="X255" s="79" t="n"/>
      <c r="Y255" s="79" t="n"/>
      <c r="Z255" s="79" t="n"/>
      <c r="AA255" s="79" t="n"/>
      <c r="AB255" s="79" t="n"/>
      <c r="AC255" s="79" t="n"/>
      <c r="AD255" s="79" t="n"/>
      <c r="AE255" s="79" t="n"/>
      <c r="AF255" s="79" t="n"/>
      <c r="AG255" s="79" t="n"/>
      <c r="AH255" s="79" t="n"/>
      <c r="AI255" s="79" t="n"/>
      <c r="AJ255" s="79" t="n"/>
      <c r="AK255" s="79" t="n"/>
      <c r="AL255" s="79" t="n"/>
      <c r="AM255" s="79" t="n"/>
      <c r="AN255" s="79" t="n"/>
      <c r="AO255" s="79" t="n"/>
      <c r="AP255" s="79" t="n"/>
      <c r="AQ255" s="79" t="n"/>
      <c r="AR255" s="79" t="n"/>
      <c r="AS255" s="79" t="n"/>
      <c r="AT255" s="79" t="n"/>
      <c r="AU255" s="79" t="n"/>
      <c r="AV255" s="79" t="n"/>
      <c r="AW255" s="79" t="n"/>
      <c r="AX255" s="79" t="n"/>
      <c r="AY255" s="79" t="n"/>
      <c r="AZ255" s="79" t="n"/>
      <c r="BA255" s="79" t="n"/>
      <c r="BB255" s="79" t="n"/>
      <c r="BC255" s="79" t="n"/>
      <c r="BD255" s="79" t="n"/>
      <c r="BE255" s="79" t="n"/>
      <c r="BF255" s="79" t="n"/>
      <c r="BH255">
        <f>IF($BK255="",-999,($BK255-$A$1)*24)</f>
        <v/>
      </c>
      <c r="BI255">
        <f>IF($BK255="",-999,(IF($BL255&lt;&gt;"",$BL255,IF($C$1&gt;$BK255,$C$1,$BK255+MAX('Data Input'!E135*$BM255,0.5)/24))-$A$1)*24)</f>
        <v/>
      </c>
      <c r="BJ255">
        <f>IF($BK255="",0,IF($BM255&gt;=1,IF($BN255&lt;=0,2,3),IF($BN255&lt;=0,4,5)))</f>
        <v/>
      </c>
      <c r="BK255">
        <f>IF('Data Input'!Q135="","",'Data Input'!Q135)</f>
        <v/>
      </c>
      <c r="BL255">
        <f>IF('Data Input'!R135="","",'Data Input'!R135)</f>
        <v/>
      </c>
      <c r="BM255">
        <f>'Data Input'!S135</f>
        <v/>
      </c>
      <c r="BN255">
        <f>'Data Input'!Y135</f>
        <v/>
      </c>
      <c r="BO255">
        <f>IF($BM255&gt;=1,-999,MAX(($C$1-$A$1)*24,IF($BK255&lt;&gt;"",$BI255,$BP255-'Data Input'!E135)))</f>
        <v/>
      </c>
      <c r="BP255">
        <f>('Data Input'!D135+'Data Input'!Y135/24-$A$1)*24</f>
        <v/>
      </c>
    </row>
    <row r="256" ht="11.5" customHeight="1">
      <c r="A256" s="68">
        <f>'Data Input'!A136</f>
        <v/>
      </c>
      <c r="B256" s="69">
        <f>'Data Input'!B136</f>
        <v/>
      </c>
      <c r="C256" s="70">
        <f>'Data Input'!O136</f>
        <v/>
      </c>
      <c r="D256" s="71">
        <f>'Data Input'!D136</f>
        <v/>
      </c>
      <c r="E256" s="72">
        <f>'Data Input'!D136+'Data Input'!Y136/24</f>
        <v/>
      </c>
      <c r="F256" s="73">
        <f>'Data Input'!Y136</f>
        <v/>
      </c>
      <c r="G256" s="74">
        <f>'Data Input'!T136</f>
        <v/>
      </c>
      <c r="H256" s="75">
        <f>'Data Input'!S136</f>
        <v/>
      </c>
      <c r="I256" s="57" t="n"/>
      <c r="J256" s="76" t="inlineStr">
        <is>
          <t>P</t>
        </is>
      </c>
      <c r="K256" s="77" t="n"/>
      <c r="L256" s="77" t="n"/>
      <c r="M256" s="77" t="n"/>
      <c r="N256" s="77" t="n"/>
      <c r="O256" s="77" t="n"/>
      <c r="P256" s="77" t="n"/>
      <c r="Q256" s="77" t="n"/>
      <c r="R256" s="77" t="n"/>
      <c r="S256" s="77" t="n"/>
      <c r="T256" s="77" t="n"/>
      <c r="U256" s="77" t="n"/>
      <c r="V256" s="77" t="n"/>
      <c r="W256" s="77" t="n"/>
      <c r="X256" s="77" t="n"/>
      <c r="Y256" s="77" t="n"/>
      <c r="Z256" s="77" t="n"/>
      <c r="AA256" s="77" t="n"/>
      <c r="AB256" s="77" t="n"/>
      <c r="AC256" s="77" t="n"/>
      <c r="AD256" s="77" t="n"/>
      <c r="AE256" s="77" t="n"/>
      <c r="AF256" s="77" t="n"/>
      <c r="AG256" s="77" t="n"/>
      <c r="AH256" s="77" t="n"/>
      <c r="AI256" s="77" t="n"/>
      <c r="AJ256" s="77" t="n"/>
      <c r="AK256" s="77" t="n"/>
      <c r="AL256" s="77" t="n"/>
      <c r="AM256" s="77" t="n"/>
      <c r="AN256" s="77" t="n"/>
      <c r="AO256" s="77" t="n"/>
      <c r="AP256" s="77" t="n"/>
      <c r="AQ256" s="77" t="n"/>
      <c r="AR256" s="77" t="n"/>
      <c r="AS256" s="77" t="n"/>
      <c r="AT256" s="77" t="n"/>
      <c r="AU256" s="77" t="n"/>
      <c r="AV256" s="77" t="n"/>
      <c r="AW256" s="77" t="n"/>
      <c r="AX256" s="77" t="n"/>
      <c r="AY256" s="77" t="n"/>
      <c r="AZ256" s="77" t="n"/>
      <c r="BA256" s="77" t="n"/>
      <c r="BB256" s="77" t="n"/>
      <c r="BC256" s="77" t="n"/>
      <c r="BD256" s="77" t="n"/>
      <c r="BE256" s="77" t="n"/>
      <c r="BF256" s="77" t="n"/>
      <c r="BH256">
        <f>('Data Input'!C136-$A$1)*24</f>
        <v/>
      </c>
      <c r="BI256">
        <f>('Data Input'!D136-$A$1)*24</f>
        <v/>
      </c>
      <c r="BJ256" t="n">
        <v>1</v>
      </c>
      <c r="BO256" t="n">
        <v>-999</v>
      </c>
      <c r="BP256" t="n">
        <v>-999</v>
      </c>
    </row>
    <row r="257" ht="11.5" customHeight="1">
      <c r="A257" s="78" t="n"/>
      <c r="B257" s="78" t="n"/>
      <c r="C257" s="78" t="n"/>
      <c r="D257" s="78" t="n"/>
      <c r="E257" s="78" t="n"/>
      <c r="F257" s="78" t="n"/>
      <c r="G257" s="78" t="n"/>
      <c r="H257" s="78" t="n"/>
      <c r="I257" s="78" t="n"/>
      <c r="J257" s="76" t="inlineStr">
        <is>
          <t>A</t>
        </is>
      </c>
      <c r="K257" s="79" t="n"/>
      <c r="L257" s="79" t="n"/>
      <c r="M257" s="79" t="n"/>
      <c r="N257" s="79" t="n"/>
      <c r="O257" s="79" t="n"/>
      <c r="P257" s="79" t="n"/>
      <c r="Q257" s="79" t="n"/>
      <c r="R257" s="79" t="n"/>
      <c r="S257" s="79" t="n"/>
      <c r="T257" s="79" t="n"/>
      <c r="U257" s="79" t="n"/>
      <c r="V257" s="79" t="n"/>
      <c r="W257" s="79" t="n"/>
      <c r="X257" s="79" t="n"/>
      <c r="Y257" s="79" t="n"/>
      <c r="Z257" s="79" t="n"/>
      <c r="AA257" s="79" t="n"/>
      <c r="AB257" s="79" t="n"/>
      <c r="AC257" s="79" t="n"/>
      <c r="AD257" s="79" t="n"/>
      <c r="AE257" s="79" t="n"/>
      <c r="AF257" s="79" t="n"/>
      <c r="AG257" s="79" t="n"/>
      <c r="AH257" s="79" t="n"/>
      <c r="AI257" s="79" t="n"/>
      <c r="AJ257" s="79" t="n"/>
      <c r="AK257" s="79" t="n"/>
      <c r="AL257" s="79" t="n"/>
      <c r="AM257" s="79" t="n"/>
      <c r="AN257" s="79" t="n"/>
      <c r="AO257" s="79" t="n"/>
      <c r="AP257" s="79" t="n"/>
      <c r="AQ257" s="79" t="n"/>
      <c r="AR257" s="79" t="n"/>
      <c r="AS257" s="79" t="n"/>
      <c r="AT257" s="79" t="n"/>
      <c r="AU257" s="79" t="n"/>
      <c r="AV257" s="79" t="n"/>
      <c r="AW257" s="79" t="n"/>
      <c r="AX257" s="79" t="n"/>
      <c r="AY257" s="79" t="n"/>
      <c r="AZ257" s="79" t="n"/>
      <c r="BA257" s="79" t="n"/>
      <c r="BB257" s="79" t="n"/>
      <c r="BC257" s="79" t="n"/>
      <c r="BD257" s="79" t="n"/>
      <c r="BE257" s="79" t="n"/>
      <c r="BF257" s="79" t="n"/>
      <c r="BH257">
        <f>IF($BK257="",-999,($BK257-$A$1)*24)</f>
        <v/>
      </c>
      <c r="BI257">
        <f>IF($BK257="",-999,(IF($BL257&lt;&gt;"",$BL257,IF($C$1&gt;$BK257,$C$1,$BK257+MAX('Data Input'!E136*$BM257,0.5)/24))-$A$1)*24)</f>
        <v/>
      </c>
      <c r="BJ257">
        <f>IF($BK257="",0,IF($BM257&gt;=1,IF($BN257&lt;=0,2,3),IF($BN257&lt;=0,4,5)))</f>
        <v/>
      </c>
      <c r="BK257">
        <f>IF('Data Input'!Q136="","",'Data Input'!Q136)</f>
        <v/>
      </c>
      <c r="BL257">
        <f>IF('Data Input'!R136="","",'Data Input'!R136)</f>
        <v/>
      </c>
      <c r="BM257">
        <f>'Data Input'!S136</f>
        <v/>
      </c>
      <c r="BN257">
        <f>'Data Input'!Y136</f>
        <v/>
      </c>
      <c r="BO257">
        <f>IF($BM257&gt;=1,-999,MAX(($C$1-$A$1)*24,IF($BK257&lt;&gt;"",$BI257,$BP257-'Data Input'!E136)))</f>
        <v/>
      </c>
      <c r="BP257">
        <f>('Data Input'!D136+'Data Input'!Y136/24-$A$1)*24</f>
        <v/>
      </c>
    </row>
    <row r="258" ht="11.5" customHeight="1">
      <c r="A258" s="68">
        <f>'Data Input'!A137</f>
        <v/>
      </c>
      <c r="B258" s="69">
        <f>'Data Input'!B137</f>
        <v/>
      </c>
      <c r="C258" s="70">
        <f>'Data Input'!O137</f>
        <v/>
      </c>
      <c r="D258" s="71">
        <f>'Data Input'!D137</f>
        <v/>
      </c>
      <c r="E258" s="72">
        <f>'Data Input'!D137+'Data Input'!Y137/24</f>
        <v/>
      </c>
      <c r="F258" s="73">
        <f>'Data Input'!Y137</f>
        <v/>
      </c>
      <c r="G258" s="74">
        <f>'Data Input'!T137</f>
        <v/>
      </c>
      <c r="H258" s="75">
        <f>'Data Input'!S137</f>
        <v/>
      </c>
      <c r="I258" s="57" t="n"/>
      <c r="J258" s="76" t="inlineStr">
        <is>
          <t>P</t>
        </is>
      </c>
      <c r="K258" s="77" t="n"/>
      <c r="L258" s="77" t="n"/>
      <c r="M258" s="77" t="n"/>
      <c r="N258" s="77" t="n"/>
      <c r="O258" s="77" t="n"/>
      <c r="P258" s="77" t="n"/>
      <c r="Q258" s="77" t="n"/>
      <c r="R258" s="77" t="n"/>
      <c r="S258" s="77" t="n"/>
      <c r="T258" s="77" t="n"/>
      <c r="U258" s="77" t="n"/>
      <c r="V258" s="77" t="n"/>
      <c r="W258" s="77" t="n"/>
      <c r="X258" s="77" t="n"/>
      <c r="Y258" s="77" t="n"/>
      <c r="Z258" s="77" t="n"/>
      <c r="AA258" s="77" t="n"/>
      <c r="AB258" s="77" t="n"/>
      <c r="AC258" s="77" t="n"/>
      <c r="AD258" s="77" t="n"/>
      <c r="AE258" s="77" t="n"/>
      <c r="AF258" s="77" t="n"/>
      <c r="AG258" s="77" t="n"/>
      <c r="AH258" s="77" t="n"/>
      <c r="AI258" s="77" t="n"/>
      <c r="AJ258" s="77" t="n"/>
      <c r="AK258" s="77" t="n"/>
      <c r="AL258" s="77" t="n"/>
      <c r="AM258" s="77" t="n"/>
      <c r="AN258" s="77" t="n"/>
      <c r="AO258" s="77" t="n"/>
      <c r="AP258" s="77" t="n"/>
      <c r="AQ258" s="77" t="n"/>
      <c r="AR258" s="77" t="n"/>
      <c r="AS258" s="77" t="n"/>
      <c r="AT258" s="77" t="n"/>
      <c r="AU258" s="77" t="n"/>
      <c r="AV258" s="77" t="n"/>
      <c r="AW258" s="77" t="n"/>
      <c r="AX258" s="77" t="n"/>
      <c r="AY258" s="77" t="n"/>
      <c r="AZ258" s="77" t="n"/>
      <c r="BA258" s="77" t="n"/>
      <c r="BB258" s="77" t="n"/>
      <c r="BC258" s="77" t="n"/>
      <c r="BD258" s="77" t="n"/>
      <c r="BE258" s="77" t="n"/>
      <c r="BF258" s="77" t="n"/>
      <c r="BH258">
        <f>('Data Input'!C137-$A$1)*24</f>
        <v/>
      </c>
      <c r="BI258">
        <f>('Data Input'!D137-$A$1)*24</f>
        <v/>
      </c>
      <c r="BJ258" t="n">
        <v>1</v>
      </c>
      <c r="BO258" t="n">
        <v>-999</v>
      </c>
      <c r="BP258" t="n">
        <v>-999</v>
      </c>
    </row>
    <row r="259" ht="11.5" customHeight="1">
      <c r="A259" s="78" t="n"/>
      <c r="B259" s="78" t="n"/>
      <c r="C259" s="78" t="n"/>
      <c r="D259" s="78" t="n"/>
      <c r="E259" s="78" t="n"/>
      <c r="F259" s="78" t="n"/>
      <c r="G259" s="78" t="n"/>
      <c r="H259" s="78" t="n"/>
      <c r="I259" s="78" t="n"/>
      <c r="J259" s="76" t="inlineStr">
        <is>
          <t>A</t>
        </is>
      </c>
      <c r="K259" s="79" t="n"/>
      <c r="L259" s="79" t="n"/>
      <c r="M259" s="79" t="n"/>
      <c r="N259" s="79" t="n"/>
      <c r="O259" s="79" t="n"/>
      <c r="P259" s="79" t="n"/>
      <c r="Q259" s="79" t="n"/>
      <c r="R259" s="79" t="n"/>
      <c r="S259" s="79" t="n"/>
      <c r="T259" s="79" t="n"/>
      <c r="U259" s="79" t="n"/>
      <c r="V259" s="79" t="n"/>
      <c r="W259" s="79" t="n"/>
      <c r="X259" s="79" t="n"/>
      <c r="Y259" s="79" t="n"/>
      <c r="Z259" s="79" t="n"/>
      <c r="AA259" s="79" t="n"/>
      <c r="AB259" s="79" t="n"/>
      <c r="AC259" s="79" t="n"/>
      <c r="AD259" s="79" t="n"/>
      <c r="AE259" s="79" t="n"/>
      <c r="AF259" s="79" t="n"/>
      <c r="AG259" s="79" t="n"/>
      <c r="AH259" s="79" t="n"/>
      <c r="AI259" s="79" t="n"/>
      <c r="AJ259" s="79" t="n"/>
      <c r="AK259" s="79" t="n"/>
      <c r="AL259" s="79" t="n"/>
      <c r="AM259" s="79" t="n"/>
      <c r="AN259" s="79" t="n"/>
      <c r="AO259" s="79" t="n"/>
      <c r="AP259" s="79" t="n"/>
      <c r="AQ259" s="79" t="n"/>
      <c r="AR259" s="79" t="n"/>
      <c r="AS259" s="79" t="n"/>
      <c r="AT259" s="79" t="n"/>
      <c r="AU259" s="79" t="n"/>
      <c r="AV259" s="79" t="n"/>
      <c r="AW259" s="79" t="n"/>
      <c r="AX259" s="79" t="n"/>
      <c r="AY259" s="79" t="n"/>
      <c r="AZ259" s="79" t="n"/>
      <c r="BA259" s="79" t="n"/>
      <c r="BB259" s="79" t="n"/>
      <c r="BC259" s="79" t="n"/>
      <c r="BD259" s="79" t="n"/>
      <c r="BE259" s="79" t="n"/>
      <c r="BF259" s="79" t="n"/>
      <c r="BH259">
        <f>IF($BK259="",-999,($BK259-$A$1)*24)</f>
        <v/>
      </c>
      <c r="BI259">
        <f>IF($BK259="",-999,(IF($BL259&lt;&gt;"",$BL259,IF($C$1&gt;$BK259,$C$1,$BK259+MAX('Data Input'!E137*$BM259,0.5)/24))-$A$1)*24)</f>
        <v/>
      </c>
      <c r="BJ259">
        <f>IF($BK259="",0,IF($BM259&gt;=1,IF($BN259&lt;=0,2,3),IF($BN259&lt;=0,4,5)))</f>
        <v/>
      </c>
      <c r="BK259">
        <f>IF('Data Input'!Q137="","",'Data Input'!Q137)</f>
        <v/>
      </c>
      <c r="BL259">
        <f>IF('Data Input'!R137="","",'Data Input'!R137)</f>
        <v/>
      </c>
      <c r="BM259">
        <f>'Data Input'!S137</f>
        <v/>
      </c>
      <c r="BN259">
        <f>'Data Input'!Y137</f>
        <v/>
      </c>
      <c r="BO259">
        <f>IF($BM259&gt;=1,-999,MAX(($C$1-$A$1)*24,IF($BK259&lt;&gt;"",$BI259,$BP259-'Data Input'!E137)))</f>
        <v/>
      </c>
      <c r="BP259">
        <f>('Data Input'!D137+'Data Input'!Y137/24-$A$1)*24</f>
        <v/>
      </c>
    </row>
    <row r="260" ht="11.5" customHeight="1">
      <c r="A260" s="68">
        <f>'Data Input'!A138</f>
        <v/>
      </c>
      <c r="B260" s="69">
        <f>'Data Input'!B138</f>
        <v/>
      </c>
      <c r="C260" s="70">
        <f>'Data Input'!O138</f>
        <v/>
      </c>
      <c r="D260" s="71">
        <f>'Data Input'!D138</f>
        <v/>
      </c>
      <c r="E260" s="72">
        <f>'Data Input'!D138+'Data Input'!Y138/24</f>
        <v/>
      </c>
      <c r="F260" s="73">
        <f>'Data Input'!Y138</f>
        <v/>
      </c>
      <c r="G260" s="74">
        <f>'Data Input'!T138</f>
        <v/>
      </c>
      <c r="H260" s="75">
        <f>'Data Input'!S138</f>
        <v/>
      </c>
      <c r="I260" s="57" t="n"/>
      <c r="J260" s="76" t="inlineStr">
        <is>
          <t>P</t>
        </is>
      </c>
      <c r="K260" s="77" t="n"/>
      <c r="L260" s="77" t="n"/>
      <c r="M260" s="77" t="n"/>
      <c r="N260" s="77" t="n"/>
      <c r="O260" s="77" t="n"/>
      <c r="P260" s="77" t="n"/>
      <c r="Q260" s="77" t="n"/>
      <c r="R260" s="77" t="n"/>
      <c r="S260" s="77" t="n"/>
      <c r="T260" s="77" t="n"/>
      <c r="U260" s="77" t="n"/>
      <c r="V260" s="77" t="n"/>
      <c r="W260" s="77" t="n"/>
      <c r="X260" s="77" t="n"/>
      <c r="Y260" s="77" t="n"/>
      <c r="Z260" s="77" t="n"/>
      <c r="AA260" s="77" t="n"/>
      <c r="AB260" s="77" t="n"/>
      <c r="AC260" s="77" t="n"/>
      <c r="AD260" s="77" t="n"/>
      <c r="AE260" s="77" t="n"/>
      <c r="AF260" s="77" t="n"/>
      <c r="AG260" s="77" t="n"/>
      <c r="AH260" s="77" t="n"/>
      <c r="AI260" s="77" t="n"/>
      <c r="AJ260" s="77" t="n"/>
      <c r="AK260" s="77" t="n"/>
      <c r="AL260" s="77" t="n"/>
      <c r="AM260" s="77" t="n"/>
      <c r="AN260" s="77" t="n"/>
      <c r="AO260" s="77" t="n"/>
      <c r="AP260" s="77" t="n"/>
      <c r="AQ260" s="77" t="n"/>
      <c r="AR260" s="77" t="n"/>
      <c r="AS260" s="77" t="n"/>
      <c r="AT260" s="77" t="n"/>
      <c r="AU260" s="77" t="n"/>
      <c r="AV260" s="77" t="n"/>
      <c r="AW260" s="77" t="n"/>
      <c r="AX260" s="77" t="n"/>
      <c r="AY260" s="77" t="n"/>
      <c r="AZ260" s="77" t="n"/>
      <c r="BA260" s="77" t="n"/>
      <c r="BB260" s="77" t="n"/>
      <c r="BC260" s="77" t="n"/>
      <c r="BD260" s="77" t="n"/>
      <c r="BE260" s="77" t="n"/>
      <c r="BF260" s="77" t="n"/>
      <c r="BH260">
        <f>('Data Input'!C138-$A$1)*24</f>
        <v/>
      </c>
      <c r="BI260">
        <f>('Data Input'!D138-$A$1)*24</f>
        <v/>
      </c>
      <c r="BJ260" t="n">
        <v>1</v>
      </c>
      <c r="BO260" t="n">
        <v>-999</v>
      </c>
      <c r="BP260" t="n">
        <v>-999</v>
      </c>
    </row>
    <row r="261" ht="11.5" customHeight="1">
      <c r="A261" s="78" t="n"/>
      <c r="B261" s="78" t="n"/>
      <c r="C261" s="78" t="n"/>
      <c r="D261" s="78" t="n"/>
      <c r="E261" s="78" t="n"/>
      <c r="F261" s="78" t="n"/>
      <c r="G261" s="78" t="n"/>
      <c r="H261" s="78" t="n"/>
      <c r="I261" s="78" t="n"/>
      <c r="J261" s="76" t="inlineStr">
        <is>
          <t>A</t>
        </is>
      </c>
      <c r="K261" s="79" t="n"/>
      <c r="L261" s="79" t="n"/>
      <c r="M261" s="79" t="n"/>
      <c r="N261" s="79" t="n"/>
      <c r="O261" s="79" t="n"/>
      <c r="P261" s="79" t="n"/>
      <c r="Q261" s="79" t="n"/>
      <c r="R261" s="79" t="n"/>
      <c r="S261" s="79" t="n"/>
      <c r="T261" s="79" t="n"/>
      <c r="U261" s="79" t="n"/>
      <c r="V261" s="79" t="n"/>
      <c r="W261" s="79" t="n"/>
      <c r="X261" s="79" t="n"/>
      <c r="Y261" s="79" t="n"/>
      <c r="Z261" s="79" t="n"/>
      <c r="AA261" s="79" t="n"/>
      <c r="AB261" s="79" t="n"/>
      <c r="AC261" s="79" t="n"/>
      <c r="AD261" s="79" t="n"/>
      <c r="AE261" s="79" t="n"/>
      <c r="AF261" s="79" t="n"/>
      <c r="AG261" s="79" t="n"/>
      <c r="AH261" s="79" t="n"/>
      <c r="AI261" s="79" t="n"/>
      <c r="AJ261" s="79" t="n"/>
      <c r="AK261" s="79" t="n"/>
      <c r="AL261" s="79" t="n"/>
      <c r="AM261" s="79" t="n"/>
      <c r="AN261" s="79" t="n"/>
      <c r="AO261" s="79" t="n"/>
      <c r="AP261" s="79" t="n"/>
      <c r="AQ261" s="79" t="n"/>
      <c r="AR261" s="79" t="n"/>
      <c r="AS261" s="79" t="n"/>
      <c r="AT261" s="79" t="n"/>
      <c r="AU261" s="79" t="n"/>
      <c r="AV261" s="79" t="n"/>
      <c r="AW261" s="79" t="n"/>
      <c r="AX261" s="79" t="n"/>
      <c r="AY261" s="79" t="n"/>
      <c r="AZ261" s="79" t="n"/>
      <c r="BA261" s="79" t="n"/>
      <c r="BB261" s="79" t="n"/>
      <c r="BC261" s="79" t="n"/>
      <c r="BD261" s="79" t="n"/>
      <c r="BE261" s="79" t="n"/>
      <c r="BF261" s="79" t="n"/>
      <c r="BH261">
        <f>IF($BK261="",-999,($BK261-$A$1)*24)</f>
        <v/>
      </c>
      <c r="BI261">
        <f>IF($BK261="",-999,(IF($BL261&lt;&gt;"",$BL261,IF($C$1&gt;$BK261,$C$1,$BK261+MAX('Data Input'!E138*$BM261,0.5)/24))-$A$1)*24)</f>
        <v/>
      </c>
      <c r="BJ261">
        <f>IF($BK261="",0,IF($BM261&gt;=1,IF($BN261&lt;=0,2,3),IF($BN261&lt;=0,4,5)))</f>
        <v/>
      </c>
      <c r="BK261">
        <f>IF('Data Input'!Q138="","",'Data Input'!Q138)</f>
        <v/>
      </c>
      <c r="BL261">
        <f>IF('Data Input'!R138="","",'Data Input'!R138)</f>
        <v/>
      </c>
      <c r="BM261">
        <f>'Data Input'!S138</f>
        <v/>
      </c>
      <c r="BN261">
        <f>'Data Input'!Y138</f>
        <v/>
      </c>
      <c r="BO261">
        <f>IF($BM261&gt;=1,-999,MAX(($C$1-$A$1)*24,IF($BK261&lt;&gt;"",$BI261,$BP261-'Data Input'!E138)))</f>
        <v/>
      </c>
      <c r="BP261">
        <f>('Data Input'!D138+'Data Input'!Y138/24-$A$1)*24</f>
        <v/>
      </c>
    </row>
    <row r="262" ht="11.5" customHeight="1">
      <c r="A262" s="68">
        <f>'Data Input'!A139</f>
        <v/>
      </c>
      <c r="B262" s="69">
        <f>'Data Input'!B139</f>
        <v/>
      </c>
      <c r="C262" s="70">
        <f>'Data Input'!O139</f>
        <v/>
      </c>
      <c r="D262" s="71">
        <f>'Data Input'!D139</f>
        <v/>
      </c>
      <c r="E262" s="72">
        <f>'Data Input'!D139+'Data Input'!Y139/24</f>
        <v/>
      </c>
      <c r="F262" s="73">
        <f>'Data Input'!Y139</f>
        <v/>
      </c>
      <c r="G262" s="74">
        <f>'Data Input'!T139</f>
        <v/>
      </c>
      <c r="H262" s="75">
        <f>'Data Input'!S139</f>
        <v/>
      </c>
      <c r="I262" s="57" t="n"/>
      <c r="J262" s="76" t="inlineStr">
        <is>
          <t>P</t>
        </is>
      </c>
      <c r="K262" s="77" t="n"/>
      <c r="L262" s="77" t="n"/>
      <c r="M262" s="77" t="n"/>
      <c r="N262" s="77" t="n"/>
      <c r="O262" s="77" t="n"/>
      <c r="P262" s="77" t="n"/>
      <c r="Q262" s="77" t="n"/>
      <c r="R262" s="77" t="n"/>
      <c r="S262" s="77" t="n"/>
      <c r="T262" s="77" t="n"/>
      <c r="U262" s="77" t="n"/>
      <c r="V262" s="77" t="n"/>
      <c r="W262" s="77" t="n"/>
      <c r="X262" s="77" t="n"/>
      <c r="Y262" s="77" t="n"/>
      <c r="Z262" s="77" t="n"/>
      <c r="AA262" s="77" t="n"/>
      <c r="AB262" s="77" t="n"/>
      <c r="AC262" s="77" t="n"/>
      <c r="AD262" s="77" t="n"/>
      <c r="AE262" s="77" t="n"/>
      <c r="AF262" s="77" t="n"/>
      <c r="AG262" s="77" t="n"/>
      <c r="AH262" s="77" t="n"/>
      <c r="AI262" s="77" t="n"/>
      <c r="AJ262" s="77" t="n"/>
      <c r="AK262" s="77" t="n"/>
      <c r="AL262" s="77" t="n"/>
      <c r="AM262" s="77" t="n"/>
      <c r="AN262" s="77" t="n"/>
      <c r="AO262" s="77" t="n"/>
      <c r="AP262" s="77" t="n"/>
      <c r="AQ262" s="77" t="n"/>
      <c r="AR262" s="77" t="n"/>
      <c r="AS262" s="77" t="n"/>
      <c r="AT262" s="77" t="n"/>
      <c r="AU262" s="77" t="n"/>
      <c r="AV262" s="77" t="n"/>
      <c r="AW262" s="77" t="n"/>
      <c r="AX262" s="77" t="n"/>
      <c r="AY262" s="77" t="n"/>
      <c r="AZ262" s="77" t="n"/>
      <c r="BA262" s="77" t="n"/>
      <c r="BB262" s="77" t="n"/>
      <c r="BC262" s="77" t="n"/>
      <c r="BD262" s="77" t="n"/>
      <c r="BE262" s="77" t="n"/>
      <c r="BF262" s="77" t="n"/>
      <c r="BH262">
        <f>('Data Input'!C139-$A$1)*24</f>
        <v/>
      </c>
      <c r="BI262">
        <f>('Data Input'!D139-$A$1)*24</f>
        <v/>
      </c>
      <c r="BJ262" t="n">
        <v>1</v>
      </c>
      <c r="BO262" t="n">
        <v>-999</v>
      </c>
      <c r="BP262" t="n">
        <v>-999</v>
      </c>
    </row>
    <row r="263" ht="11.5" customHeight="1">
      <c r="A263" s="78" t="n"/>
      <c r="B263" s="78" t="n"/>
      <c r="C263" s="78" t="n"/>
      <c r="D263" s="78" t="n"/>
      <c r="E263" s="78" t="n"/>
      <c r="F263" s="78" t="n"/>
      <c r="G263" s="78" t="n"/>
      <c r="H263" s="78" t="n"/>
      <c r="I263" s="78" t="n"/>
      <c r="J263" s="76" t="inlineStr">
        <is>
          <t>A</t>
        </is>
      </c>
      <c r="K263" s="79" t="n"/>
      <c r="L263" s="79" t="n"/>
      <c r="M263" s="79" t="n"/>
      <c r="N263" s="79" t="n"/>
      <c r="O263" s="79" t="n"/>
      <c r="P263" s="79" t="n"/>
      <c r="Q263" s="79" t="n"/>
      <c r="R263" s="79" t="n"/>
      <c r="S263" s="79" t="n"/>
      <c r="T263" s="79" t="n"/>
      <c r="U263" s="79" t="n"/>
      <c r="V263" s="79" t="n"/>
      <c r="W263" s="79" t="n"/>
      <c r="X263" s="79" t="n"/>
      <c r="Y263" s="79" t="n"/>
      <c r="Z263" s="79" t="n"/>
      <c r="AA263" s="79" t="n"/>
      <c r="AB263" s="79" t="n"/>
      <c r="AC263" s="79" t="n"/>
      <c r="AD263" s="79" t="n"/>
      <c r="AE263" s="79" t="n"/>
      <c r="AF263" s="79" t="n"/>
      <c r="AG263" s="79" t="n"/>
      <c r="AH263" s="79" t="n"/>
      <c r="AI263" s="79" t="n"/>
      <c r="AJ263" s="79" t="n"/>
      <c r="AK263" s="79" t="n"/>
      <c r="AL263" s="79" t="n"/>
      <c r="AM263" s="79" t="n"/>
      <c r="AN263" s="79" t="n"/>
      <c r="AO263" s="79" t="n"/>
      <c r="AP263" s="79" t="n"/>
      <c r="AQ263" s="79" t="n"/>
      <c r="AR263" s="79" t="n"/>
      <c r="AS263" s="79" t="n"/>
      <c r="AT263" s="79" t="n"/>
      <c r="AU263" s="79" t="n"/>
      <c r="AV263" s="79" t="n"/>
      <c r="AW263" s="79" t="n"/>
      <c r="AX263" s="79" t="n"/>
      <c r="AY263" s="79" t="n"/>
      <c r="AZ263" s="79" t="n"/>
      <c r="BA263" s="79" t="n"/>
      <c r="BB263" s="79" t="n"/>
      <c r="BC263" s="79" t="n"/>
      <c r="BD263" s="79" t="n"/>
      <c r="BE263" s="79" t="n"/>
      <c r="BF263" s="79" t="n"/>
      <c r="BH263">
        <f>IF($BK263="",-999,($BK263-$A$1)*24)</f>
        <v/>
      </c>
      <c r="BI263">
        <f>IF($BK263="",-999,(IF($BL263&lt;&gt;"",$BL263,IF($C$1&gt;$BK263,$C$1,$BK263+MAX('Data Input'!E139*$BM263,0.5)/24))-$A$1)*24)</f>
        <v/>
      </c>
      <c r="BJ263">
        <f>IF($BK263="",0,IF($BM263&gt;=1,IF($BN263&lt;=0,2,3),IF($BN263&lt;=0,4,5)))</f>
        <v/>
      </c>
      <c r="BK263">
        <f>IF('Data Input'!Q139="","",'Data Input'!Q139)</f>
        <v/>
      </c>
      <c r="BL263">
        <f>IF('Data Input'!R139="","",'Data Input'!R139)</f>
        <v/>
      </c>
      <c r="BM263">
        <f>'Data Input'!S139</f>
        <v/>
      </c>
      <c r="BN263">
        <f>'Data Input'!Y139</f>
        <v/>
      </c>
      <c r="BO263">
        <f>IF($BM263&gt;=1,-999,MAX(($C$1-$A$1)*24,IF($BK263&lt;&gt;"",$BI263,$BP263-'Data Input'!E139)))</f>
        <v/>
      </c>
      <c r="BP263">
        <f>('Data Input'!D139+'Data Input'!Y139/24-$A$1)*24</f>
        <v/>
      </c>
    </row>
    <row r="264" ht="11.5" customHeight="1">
      <c r="A264" s="68">
        <f>'Data Input'!A140</f>
        <v/>
      </c>
      <c r="B264" s="69">
        <f>'Data Input'!B140</f>
        <v/>
      </c>
      <c r="C264" s="70">
        <f>'Data Input'!O140</f>
        <v/>
      </c>
      <c r="D264" s="71">
        <f>'Data Input'!D140</f>
        <v/>
      </c>
      <c r="E264" s="72">
        <f>'Data Input'!D140+'Data Input'!Y140/24</f>
        <v/>
      </c>
      <c r="F264" s="73">
        <f>'Data Input'!Y140</f>
        <v/>
      </c>
      <c r="G264" s="74">
        <f>'Data Input'!T140</f>
        <v/>
      </c>
      <c r="H264" s="75">
        <f>'Data Input'!S140</f>
        <v/>
      </c>
      <c r="I264" s="57" t="n"/>
      <c r="J264" s="76" t="inlineStr">
        <is>
          <t>P</t>
        </is>
      </c>
      <c r="K264" s="77" t="n"/>
      <c r="L264" s="77" t="n"/>
      <c r="M264" s="77" t="n"/>
      <c r="N264" s="77" t="n"/>
      <c r="O264" s="77" t="n"/>
      <c r="P264" s="77" t="n"/>
      <c r="Q264" s="77" t="n"/>
      <c r="R264" s="77" t="n"/>
      <c r="S264" s="77" t="n"/>
      <c r="T264" s="77" t="n"/>
      <c r="U264" s="77" t="n"/>
      <c r="V264" s="77" t="n"/>
      <c r="W264" s="77" t="n"/>
      <c r="X264" s="77" t="n"/>
      <c r="Y264" s="77" t="n"/>
      <c r="Z264" s="77" t="n"/>
      <c r="AA264" s="77" t="n"/>
      <c r="AB264" s="77" t="n"/>
      <c r="AC264" s="77" t="n"/>
      <c r="AD264" s="77" t="n"/>
      <c r="AE264" s="77" t="n"/>
      <c r="AF264" s="77" t="n"/>
      <c r="AG264" s="77" t="n"/>
      <c r="AH264" s="77" t="n"/>
      <c r="AI264" s="77" t="n"/>
      <c r="AJ264" s="77" t="n"/>
      <c r="AK264" s="77" t="n"/>
      <c r="AL264" s="77" t="n"/>
      <c r="AM264" s="77" t="n"/>
      <c r="AN264" s="77" t="n"/>
      <c r="AO264" s="77" t="n"/>
      <c r="AP264" s="77" t="n"/>
      <c r="AQ264" s="77" t="n"/>
      <c r="AR264" s="77" t="n"/>
      <c r="AS264" s="77" t="n"/>
      <c r="AT264" s="77" t="n"/>
      <c r="AU264" s="77" t="n"/>
      <c r="AV264" s="77" t="n"/>
      <c r="AW264" s="77" t="n"/>
      <c r="AX264" s="77" t="n"/>
      <c r="AY264" s="77" t="n"/>
      <c r="AZ264" s="77" t="n"/>
      <c r="BA264" s="77" t="n"/>
      <c r="BB264" s="77" t="n"/>
      <c r="BC264" s="77" t="n"/>
      <c r="BD264" s="77" t="n"/>
      <c r="BE264" s="77" t="n"/>
      <c r="BF264" s="77" t="n"/>
      <c r="BH264">
        <f>('Data Input'!C140-$A$1)*24</f>
        <v/>
      </c>
      <c r="BI264">
        <f>('Data Input'!D140-$A$1)*24</f>
        <v/>
      </c>
      <c r="BJ264" t="n">
        <v>1</v>
      </c>
      <c r="BO264" t="n">
        <v>-999</v>
      </c>
      <c r="BP264" t="n">
        <v>-999</v>
      </c>
    </row>
    <row r="265" ht="11.5" customHeight="1">
      <c r="A265" s="78" t="n"/>
      <c r="B265" s="78" t="n"/>
      <c r="C265" s="78" t="n"/>
      <c r="D265" s="78" t="n"/>
      <c r="E265" s="78" t="n"/>
      <c r="F265" s="78" t="n"/>
      <c r="G265" s="78" t="n"/>
      <c r="H265" s="78" t="n"/>
      <c r="I265" s="78" t="n"/>
      <c r="J265" s="76" t="inlineStr">
        <is>
          <t>A</t>
        </is>
      </c>
      <c r="K265" s="79" t="n"/>
      <c r="L265" s="79" t="n"/>
      <c r="M265" s="79" t="n"/>
      <c r="N265" s="79" t="n"/>
      <c r="O265" s="79" t="n"/>
      <c r="P265" s="79" t="n"/>
      <c r="Q265" s="79" t="n"/>
      <c r="R265" s="79" t="n"/>
      <c r="S265" s="79" t="n"/>
      <c r="T265" s="79" t="n"/>
      <c r="U265" s="79" t="n"/>
      <c r="V265" s="79" t="n"/>
      <c r="W265" s="79" t="n"/>
      <c r="X265" s="79" t="n"/>
      <c r="Y265" s="79" t="n"/>
      <c r="Z265" s="79" t="n"/>
      <c r="AA265" s="79" t="n"/>
      <c r="AB265" s="79" t="n"/>
      <c r="AC265" s="79" t="n"/>
      <c r="AD265" s="79" t="n"/>
      <c r="AE265" s="79" t="n"/>
      <c r="AF265" s="79" t="n"/>
      <c r="AG265" s="79" t="n"/>
      <c r="AH265" s="79" t="n"/>
      <c r="AI265" s="79" t="n"/>
      <c r="AJ265" s="79" t="n"/>
      <c r="AK265" s="79" t="n"/>
      <c r="AL265" s="79" t="n"/>
      <c r="AM265" s="79" t="n"/>
      <c r="AN265" s="79" t="n"/>
      <c r="AO265" s="79" t="n"/>
      <c r="AP265" s="79" t="n"/>
      <c r="AQ265" s="79" t="n"/>
      <c r="AR265" s="79" t="n"/>
      <c r="AS265" s="79" t="n"/>
      <c r="AT265" s="79" t="n"/>
      <c r="AU265" s="79" t="n"/>
      <c r="AV265" s="79" t="n"/>
      <c r="AW265" s="79" t="n"/>
      <c r="AX265" s="79" t="n"/>
      <c r="AY265" s="79" t="n"/>
      <c r="AZ265" s="79" t="n"/>
      <c r="BA265" s="79" t="n"/>
      <c r="BB265" s="79" t="n"/>
      <c r="BC265" s="79" t="n"/>
      <c r="BD265" s="79" t="n"/>
      <c r="BE265" s="79" t="n"/>
      <c r="BF265" s="79" t="n"/>
      <c r="BH265">
        <f>IF($BK265="",-999,($BK265-$A$1)*24)</f>
        <v/>
      </c>
      <c r="BI265">
        <f>IF($BK265="",-999,(IF($BL265&lt;&gt;"",$BL265,IF($C$1&gt;$BK265,$C$1,$BK265+MAX('Data Input'!E140*$BM265,0.5)/24))-$A$1)*24)</f>
        <v/>
      </c>
      <c r="BJ265">
        <f>IF($BK265="",0,IF($BM265&gt;=1,IF($BN265&lt;=0,2,3),IF($BN265&lt;=0,4,5)))</f>
        <v/>
      </c>
      <c r="BK265">
        <f>IF('Data Input'!Q140="","",'Data Input'!Q140)</f>
        <v/>
      </c>
      <c r="BL265">
        <f>IF('Data Input'!R140="","",'Data Input'!R140)</f>
        <v/>
      </c>
      <c r="BM265">
        <f>'Data Input'!S140</f>
        <v/>
      </c>
      <c r="BN265">
        <f>'Data Input'!Y140</f>
        <v/>
      </c>
      <c r="BO265">
        <f>IF($BM265&gt;=1,-999,MAX(($C$1-$A$1)*24,IF($BK265&lt;&gt;"",$BI265,$BP265-'Data Input'!E140)))</f>
        <v/>
      </c>
      <c r="BP265">
        <f>('Data Input'!D140+'Data Input'!Y140/24-$A$1)*24</f>
        <v/>
      </c>
    </row>
    <row r="266" ht="11.5" customHeight="1">
      <c r="A266" s="68">
        <f>'Data Input'!A141</f>
        <v/>
      </c>
      <c r="B266" s="69">
        <f>'Data Input'!B141</f>
        <v/>
      </c>
      <c r="C266" s="70">
        <f>'Data Input'!O141</f>
        <v/>
      </c>
      <c r="D266" s="71">
        <f>'Data Input'!D141</f>
        <v/>
      </c>
      <c r="E266" s="72">
        <f>'Data Input'!D141+'Data Input'!Y141/24</f>
        <v/>
      </c>
      <c r="F266" s="73">
        <f>'Data Input'!Y141</f>
        <v/>
      </c>
      <c r="G266" s="74">
        <f>'Data Input'!T141</f>
        <v/>
      </c>
      <c r="H266" s="75">
        <f>'Data Input'!S141</f>
        <v/>
      </c>
      <c r="I266" s="57" t="n"/>
      <c r="J266" s="76" t="inlineStr">
        <is>
          <t>P</t>
        </is>
      </c>
      <c r="K266" s="77" t="n"/>
      <c r="L266" s="77" t="n"/>
      <c r="M266" s="77" t="n"/>
      <c r="N266" s="77" t="n"/>
      <c r="O266" s="77" t="n"/>
      <c r="P266" s="77" t="n"/>
      <c r="Q266" s="77" t="n"/>
      <c r="R266" s="77" t="n"/>
      <c r="S266" s="77" t="n"/>
      <c r="T266" s="77" t="n"/>
      <c r="U266" s="77" t="n"/>
      <c r="V266" s="77" t="n"/>
      <c r="W266" s="77" t="n"/>
      <c r="X266" s="77" t="n"/>
      <c r="Y266" s="77" t="n"/>
      <c r="Z266" s="77" t="n"/>
      <c r="AA266" s="77" t="n"/>
      <c r="AB266" s="77" t="n"/>
      <c r="AC266" s="77" t="n"/>
      <c r="AD266" s="77" t="n"/>
      <c r="AE266" s="77" t="n"/>
      <c r="AF266" s="77" t="n"/>
      <c r="AG266" s="77" t="n"/>
      <c r="AH266" s="77" t="n"/>
      <c r="AI266" s="77" t="n"/>
      <c r="AJ266" s="77" t="n"/>
      <c r="AK266" s="77" t="n"/>
      <c r="AL266" s="77" t="n"/>
      <c r="AM266" s="77" t="n"/>
      <c r="AN266" s="77" t="n"/>
      <c r="AO266" s="77" t="n"/>
      <c r="AP266" s="77" t="n"/>
      <c r="AQ266" s="77" t="n"/>
      <c r="AR266" s="77" t="n"/>
      <c r="AS266" s="77" t="n"/>
      <c r="AT266" s="77" t="n"/>
      <c r="AU266" s="77" t="n"/>
      <c r="AV266" s="77" t="n"/>
      <c r="AW266" s="77" t="n"/>
      <c r="AX266" s="77" t="n"/>
      <c r="AY266" s="77" t="n"/>
      <c r="AZ266" s="77" t="n"/>
      <c r="BA266" s="77" t="n"/>
      <c r="BB266" s="77" t="n"/>
      <c r="BC266" s="77" t="n"/>
      <c r="BD266" s="77" t="n"/>
      <c r="BE266" s="77" t="n"/>
      <c r="BF266" s="77" t="n"/>
      <c r="BH266">
        <f>('Data Input'!C141-$A$1)*24</f>
        <v/>
      </c>
      <c r="BI266">
        <f>('Data Input'!D141-$A$1)*24</f>
        <v/>
      </c>
      <c r="BJ266" t="n">
        <v>1</v>
      </c>
      <c r="BO266" t="n">
        <v>-999</v>
      </c>
      <c r="BP266" t="n">
        <v>-999</v>
      </c>
    </row>
    <row r="267" ht="11.5" customHeight="1">
      <c r="A267" s="78" t="n"/>
      <c r="B267" s="78" t="n"/>
      <c r="C267" s="78" t="n"/>
      <c r="D267" s="78" t="n"/>
      <c r="E267" s="78" t="n"/>
      <c r="F267" s="78" t="n"/>
      <c r="G267" s="78" t="n"/>
      <c r="H267" s="78" t="n"/>
      <c r="I267" s="78" t="n"/>
      <c r="J267" s="76" t="inlineStr">
        <is>
          <t>A</t>
        </is>
      </c>
      <c r="K267" s="79" t="n"/>
      <c r="L267" s="79" t="n"/>
      <c r="M267" s="79" t="n"/>
      <c r="N267" s="79" t="n"/>
      <c r="O267" s="79" t="n"/>
      <c r="P267" s="79" t="n"/>
      <c r="Q267" s="79" t="n"/>
      <c r="R267" s="79" t="n"/>
      <c r="S267" s="79" t="n"/>
      <c r="T267" s="79" t="n"/>
      <c r="U267" s="79" t="n"/>
      <c r="V267" s="79" t="n"/>
      <c r="W267" s="79" t="n"/>
      <c r="X267" s="79" t="n"/>
      <c r="Y267" s="79" t="n"/>
      <c r="Z267" s="79" t="n"/>
      <c r="AA267" s="79" t="n"/>
      <c r="AB267" s="79" t="n"/>
      <c r="AC267" s="79" t="n"/>
      <c r="AD267" s="79" t="n"/>
      <c r="AE267" s="79" t="n"/>
      <c r="AF267" s="79" t="n"/>
      <c r="AG267" s="79" t="n"/>
      <c r="AH267" s="79" t="n"/>
      <c r="AI267" s="79" t="n"/>
      <c r="AJ267" s="79" t="n"/>
      <c r="AK267" s="79" t="n"/>
      <c r="AL267" s="79" t="n"/>
      <c r="AM267" s="79" t="n"/>
      <c r="AN267" s="79" t="n"/>
      <c r="AO267" s="79" t="n"/>
      <c r="AP267" s="79" t="n"/>
      <c r="AQ267" s="79" t="n"/>
      <c r="AR267" s="79" t="n"/>
      <c r="AS267" s="79" t="n"/>
      <c r="AT267" s="79" t="n"/>
      <c r="AU267" s="79" t="n"/>
      <c r="AV267" s="79" t="n"/>
      <c r="AW267" s="79" t="n"/>
      <c r="AX267" s="79" t="n"/>
      <c r="AY267" s="79" t="n"/>
      <c r="AZ267" s="79" t="n"/>
      <c r="BA267" s="79" t="n"/>
      <c r="BB267" s="79" t="n"/>
      <c r="BC267" s="79" t="n"/>
      <c r="BD267" s="79" t="n"/>
      <c r="BE267" s="79" t="n"/>
      <c r="BF267" s="79" t="n"/>
      <c r="BH267">
        <f>IF($BK267="",-999,($BK267-$A$1)*24)</f>
        <v/>
      </c>
      <c r="BI267">
        <f>IF($BK267="",-999,(IF($BL267&lt;&gt;"",$BL267,IF($C$1&gt;$BK267,$C$1,$BK267+MAX('Data Input'!E141*$BM267,0.5)/24))-$A$1)*24)</f>
        <v/>
      </c>
      <c r="BJ267">
        <f>IF($BK267="",0,IF($BM267&gt;=1,IF($BN267&lt;=0,2,3),IF($BN267&lt;=0,4,5)))</f>
        <v/>
      </c>
      <c r="BK267">
        <f>IF('Data Input'!Q141="","",'Data Input'!Q141)</f>
        <v/>
      </c>
      <c r="BL267">
        <f>IF('Data Input'!R141="","",'Data Input'!R141)</f>
        <v/>
      </c>
      <c r="BM267">
        <f>'Data Input'!S141</f>
        <v/>
      </c>
      <c r="BN267">
        <f>'Data Input'!Y141</f>
        <v/>
      </c>
      <c r="BO267">
        <f>IF($BM267&gt;=1,-999,MAX(($C$1-$A$1)*24,IF($BK267&lt;&gt;"",$BI267,$BP267-'Data Input'!E141)))</f>
        <v/>
      </c>
      <c r="BP267">
        <f>('Data Input'!D141+'Data Input'!Y141/24-$A$1)*24</f>
        <v/>
      </c>
    </row>
    <row r="268" ht="11.5" customHeight="1">
      <c r="A268" s="68">
        <f>'Data Input'!A142</f>
        <v/>
      </c>
      <c r="B268" s="69">
        <f>'Data Input'!B142</f>
        <v/>
      </c>
      <c r="C268" s="70">
        <f>'Data Input'!O142</f>
        <v/>
      </c>
      <c r="D268" s="71">
        <f>'Data Input'!D142</f>
        <v/>
      </c>
      <c r="E268" s="72">
        <f>'Data Input'!D142+'Data Input'!Y142/24</f>
        <v/>
      </c>
      <c r="F268" s="73">
        <f>'Data Input'!Y142</f>
        <v/>
      </c>
      <c r="G268" s="74">
        <f>'Data Input'!T142</f>
        <v/>
      </c>
      <c r="H268" s="75">
        <f>'Data Input'!S142</f>
        <v/>
      </c>
      <c r="I268" s="57" t="n"/>
      <c r="J268" s="76" t="inlineStr">
        <is>
          <t>P</t>
        </is>
      </c>
      <c r="K268" s="77" t="n"/>
      <c r="L268" s="77" t="n"/>
      <c r="M268" s="77" t="n"/>
      <c r="N268" s="77" t="n"/>
      <c r="O268" s="77" t="n"/>
      <c r="P268" s="77" t="n"/>
      <c r="Q268" s="77" t="n"/>
      <c r="R268" s="77" t="n"/>
      <c r="S268" s="77" t="n"/>
      <c r="T268" s="77" t="n"/>
      <c r="U268" s="77" t="n"/>
      <c r="V268" s="77" t="n"/>
      <c r="W268" s="77" t="n"/>
      <c r="X268" s="77" t="n"/>
      <c r="Y268" s="77" t="n"/>
      <c r="Z268" s="77" t="n"/>
      <c r="AA268" s="77" t="n"/>
      <c r="AB268" s="77" t="n"/>
      <c r="AC268" s="77" t="n"/>
      <c r="AD268" s="77" t="n"/>
      <c r="AE268" s="77" t="n"/>
      <c r="AF268" s="77" t="n"/>
      <c r="AG268" s="77" t="n"/>
      <c r="AH268" s="77" t="n"/>
      <c r="AI268" s="77" t="n"/>
      <c r="AJ268" s="77" t="n"/>
      <c r="AK268" s="77" t="n"/>
      <c r="AL268" s="77" t="n"/>
      <c r="AM268" s="77" t="n"/>
      <c r="AN268" s="77" t="n"/>
      <c r="AO268" s="77" t="n"/>
      <c r="AP268" s="77" t="n"/>
      <c r="AQ268" s="77" t="n"/>
      <c r="AR268" s="77" t="n"/>
      <c r="AS268" s="77" t="n"/>
      <c r="AT268" s="77" t="n"/>
      <c r="AU268" s="77" t="n"/>
      <c r="AV268" s="77" t="n"/>
      <c r="AW268" s="77" t="n"/>
      <c r="AX268" s="77" t="n"/>
      <c r="AY268" s="77" t="n"/>
      <c r="AZ268" s="77" t="n"/>
      <c r="BA268" s="77" t="n"/>
      <c r="BB268" s="77" t="n"/>
      <c r="BC268" s="77" t="n"/>
      <c r="BD268" s="77" t="n"/>
      <c r="BE268" s="77" t="n"/>
      <c r="BF268" s="77" t="n"/>
      <c r="BH268">
        <f>('Data Input'!C142-$A$1)*24</f>
        <v/>
      </c>
      <c r="BI268">
        <f>('Data Input'!D142-$A$1)*24</f>
        <v/>
      </c>
      <c r="BJ268" t="n">
        <v>1</v>
      </c>
      <c r="BO268" t="n">
        <v>-999</v>
      </c>
      <c r="BP268" t="n">
        <v>-999</v>
      </c>
    </row>
    <row r="269" ht="11.5" customHeight="1">
      <c r="A269" s="78" t="n"/>
      <c r="B269" s="78" t="n"/>
      <c r="C269" s="78" t="n"/>
      <c r="D269" s="78" t="n"/>
      <c r="E269" s="78" t="n"/>
      <c r="F269" s="78" t="n"/>
      <c r="G269" s="78" t="n"/>
      <c r="H269" s="78" t="n"/>
      <c r="I269" s="78" t="n"/>
      <c r="J269" s="76" t="inlineStr">
        <is>
          <t>A</t>
        </is>
      </c>
      <c r="K269" s="79" t="n"/>
      <c r="L269" s="79" t="n"/>
      <c r="M269" s="79" t="n"/>
      <c r="N269" s="79" t="n"/>
      <c r="O269" s="79" t="n"/>
      <c r="P269" s="79" t="n"/>
      <c r="Q269" s="79" t="n"/>
      <c r="R269" s="79" t="n"/>
      <c r="S269" s="79" t="n"/>
      <c r="T269" s="79" t="n"/>
      <c r="U269" s="79" t="n"/>
      <c r="V269" s="79" t="n"/>
      <c r="W269" s="79" t="n"/>
      <c r="X269" s="79" t="n"/>
      <c r="Y269" s="79" t="n"/>
      <c r="Z269" s="79" t="n"/>
      <c r="AA269" s="79" t="n"/>
      <c r="AB269" s="79" t="n"/>
      <c r="AC269" s="79" t="n"/>
      <c r="AD269" s="79" t="n"/>
      <c r="AE269" s="79" t="n"/>
      <c r="AF269" s="79" t="n"/>
      <c r="AG269" s="79" t="n"/>
      <c r="AH269" s="79" t="n"/>
      <c r="AI269" s="79" t="n"/>
      <c r="AJ269" s="79" t="n"/>
      <c r="AK269" s="79" t="n"/>
      <c r="AL269" s="79" t="n"/>
      <c r="AM269" s="79" t="n"/>
      <c r="AN269" s="79" t="n"/>
      <c r="AO269" s="79" t="n"/>
      <c r="AP269" s="79" t="n"/>
      <c r="AQ269" s="79" t="n"/>
      <c r="AR269" s="79" t="n"/>
      <c r="AS269" s="79" t="n"/>
      <c r="AT269" s="79" t="n"/>
      <c r="AU269" s="79" t="n"/>
      <c r="AV269" s="79" t="n"/>
      <c r="AW269" s="79" t="n"/>
      <c r="AX269" s="79" t="n"/>
      <c r="AY269" s="79" t="n"/>
      <c r="AZ269" s="79" t="n"/>
      <c r="BA269" s="79" t="n"/>
      <c r="BB269" s="79" t="n"/>
      <c r="BC269" s="79" t="n"/>
      <c r="BD269" s="79" t="n"/>
      <c r="BE269" s="79" t="n"/>
      <c r="BF269" s="79" t="n"/>
      <c r="BH269">
        <f>IF($BK269="",-999,($BK269-$A$1)*24)</f>
        <v/>
      </c>
      <c r="BI269">
        <f>IF($BK269="",-999,(IF($BL269&lt;&gt;"",$BL269,IF($C$1&gt;$BK269,$C$1,$BK269+MAX('Data Input'!E142*$BM269,0.5)/24))-$A$1)*24)</f>
        <v/>
      </c>
      <c r="BJ269">
        <f>IF($BK269="",0,IF($BM269&gt;=1,IF($BN269&lt;=0,2,3),IF($BN269&lt;=0,4,5)))</f>
        <v/>
      </c>
      <c r="BK269">
        <f>IF('Data Input'!Q142="","",'Data Input'!Q142)</f>
        <v/>
      </c>
      <c r="BL269">
        <f>IF('Data Input'!R142="","",'Data Input'!R142)</f>
        <v/>
      </c>
      <c r="BM269">
        <f>'Data Input'!S142</f>
        <v/>
      </c>
      <c r="BN269">
        <f>'Data Input'!Y142</f>
        <v/>
      </c>
      <c r="BO269">
        <f>IF($BM269&gt;=1,-999,MAX(($C$1-$A$1)*24,IF($BK269&lt;&gt;"",$BI269,$BP269-'Data Input'!E142)))</f>
        <v/>
      </c>
      <c r="BP269">
        <f>('Data Input'!D142+'Data Input'!Y142/24-$A$1)*24</f>
        <v/>
      </c>
    </row>
    <row r="270" ht="21" customHeight="1">
      <c r="A270" s="80">
        <f>"  TOTAL  -  "&amp;'Data Input'!$B$18</f>
        <v/>
      </c>
      <c r="B270" s="103" t="n"/>
      <c r="C270" s="81">
        <f>C16</f>
        <v/>
      </c>
      <c r="D270" s="82">
        <f>D16</f>
        <v/>
      </c>
      <c r="E270" s="82">
        <f>E16</f>
        <v/>
      </c>
      <c r="F270" s="83">
        <f>F16</f>
        <v/>
      </c>
      <c r="G270" s="84">
        <f>G16</f>
        <v/>
      </c>
      <c r="H270" s="85">
        <f>H16</f>
        <v/>
      </c>
      <c r="I270" s="86">
        <f>I16</f>
        <v/>
      </c>
      <c r="J270" s="38" t="n"/>
      <c r="K270" s="87">
        <f>"TOTAL  "&amp;TEXT(SUM('Data Input'!E117:E142),"0.0")&amp;" activity hours          Possession elapsed  "&amp;TEXT(MEDIAN(0,($C$1-$A$1)*24,($B$1-$A$1)*24),"0.0")&amp;"  of  "&amp;TEXT(($B$1-$A$1)*24,"0.0")&amp;" h          Report cut-off  "&amp;TEXT($C$1,"ddd dd-mmm hh:mm")</f>
        <v/>
      </c>
      <c r="L270" s="102" t="n"/>
      <c r="M270" s="102" t="n"/>
      <c r="N270" s="102" t="n"/>
      <c r="O270" s="102" t="n"/>
      <c r="P270" s="102" t="n"/>
      <c r="Q270" s="102" t="n"/>
      <c r="R270" s="102" t="n"/>
      <c r="S270" s="102" t="n"/>
      <c r="T270" s="102" t="n"/>
      <c r="U270" s="102" t="n"/>
      <c r="V270" s="102" t="n"/>
      <c r="W270" s="102" t="n"/>
      <c r="X270" s="102" t="n"/>
      <c r="Y270" s="102" t="n"/>
      <c r="Z270" s="102" t="n"/>
      <c r="AA270" s="102" t="n"/>
      <c r="AB270" s="102" t="n"/>
      <c r="AC270" s="102" t="n"/>
      <c r="AD270" s="102" t="n"/>
      <c r="AE270" s="102" t="n"/>
      <c r="AF270" s="102" t="n"/>
      <c r="AG270" s="102" t="n"/>
      <c r="AH270" s="102" t="n"/>
      <c r="AI270" s="102" t="n"/>
      <c r="AJ270" s="102" t="n"/>
      <c r="AK270" s="102" t="n"/>
      <c r="AL270" s="102" t="n"/>
      <c r="AM270" s="102" t="n"/>
      <c r="AN270" s="102" t="n"/>
      <c r="AO270" s="102" t="n"/>
      <c r="AP270" s="102" t="n"/>
      <c r="AQ270" s="102" t="n"/>
      <c r="AR270" s="102" t="n"/>
      <c r="AS270" s="102" t="n"/>
      <c r="AT270" s="102" t="n"/>
      <c r="AU270" s="102" t="n"/>
      <c r="AV270" s="102" t="n"/>
      <c r="AW270" s="102" t="n"/>
      <c r="AX270" s="102" t="n"/>
      <c r="AY270" s="102" t="n"/>
      <c r="AZ270" s="102" t="n"/>
      <c r="BA270" s="102" t="n"/>
      <c r="BB270" s="102" t="n"/>
      <c r="BC270" s="102" t="n"/>
      <c r="BD270" s="102" t="n"/>
      <c r="BE270" s="102" t="n"/>
      <c r="BF270" s="103" t="n"/>
    </row>
    <row r="271" ht="16" customHeight="1">
      <c r="A271" s="88" t="n"/>
      <c r="B271" s="89" t="inlineStr">
        <is>
          <t>Planned (baseline)</t>
        </is>
      </c>
      <c r="D271" s="90" t="inlineStr">
        <is>
          <t>Black line = report cut-off</t>
        </is>
      </c>
      <c r="G271" s="90" t="inlineStr">
        <is>
          <t>Time Variance = Forecast vs Planned Finish</t>
        </is>
      </c>
      <c r="O271" s="91" t="n"/>
      <c r="P271" s="89" t="inlineStr">
        <is>
          <t>Done on time</t>
        </is>
      </c>
      <c r="X271" s="92" t="n"/>
      <c r="Y271" s="89" t="inlineStr">
        <is>
          <t>Done late</t>
        </is>
      </c>
      <c r="AG271" s="93" t="n"/>
      <c r="AH271" s="89" t="inlineStr">
        <is>
          <t>In progress</t>
        </is>
      </c>
      <c r="AP271" s="94" t="n"/>
      <c r="AQ271" s="89" t="inlineStr">
        <is>
          <t>Behind</t>
        </is>
      </c>
      <c r="AY271" s="95" t="n"/>
      <c r="AZ271" s="89" t="inlineStr">
        <is>
          <t>Forecast</t>
        </is>
      </c>
    </row>
    <row r="273" ht="26" customHeight="1">
      <c r="A273" s="63" t="inlineStr">
        <is>
          <t xml:space="preserve">   EWR CULVERTS REPLACEMENT PHASE 2    -    CULVERT C289    -    KM 338+491    -    3 CELLS    -    SABATCO OTMP / Station 35</t>
        </is>
      </c>
    </row>
    <row r="274" ht="22" customHeight="1">
      <c r="A274" s="64">
        <f>"   3 cells        ACTUAL  "&amp;TEXT(H17,"0%")&amp;"        PLANNED  "&amp;TEXT(G17,"0%")&amp;"        PLAN FINISH  "&amp;TEXT(D17,"ddd dd-mmm hh:mm")</f>
        <v/>
      </c>
      <c r="K274" s="65">
        <f>C17&amp;"        FORECAST  "&amp;TEXT(E17,"ddd dd-mmm hh:mm")&amp;"        "&amp;TEXT(ABS(F17),"0.0")&amp;IF(F17&gt;0," h LATE",IF(F17&lt;0," h EARLY"," h"))</f>
        <v/>
      </c>
    </row>
    <row r="275" ht="28" customHeight="1">
      <c r="A275" s="22" t="inlineStr">
        <is>
          <t>No</t>
        </is>
      </c>
      <c r="B275" s="22" t="inlineStr">
        <is>
          <t>Activity</t>
        </is>
      </c>
      <c r="C275" s="22" t="inlineStr">
        <is>
          <t>Status</t>
        </is>
      </c>
      <c r="D275" s="22" t="inlineStr">
        <is>
          <t>Planned
Finish</t>
        </is>
      </c>
      <c r="E275" s="22" t="inlineStr">
        <is>
          <t>Forecast
Finish</t>
        </is>
      </c>
      <c r="F275" s="22" t="inlineStr">
        <is>
          <t>Time
Variance</t>
        </is>
      </c>
      <c r="G275" s="22" t="inlineStr">
        <is>
          <t>Plan
%</t>
        </is>
      </c>
      <c r="H275" s="22" t="inlineStr">
        <is>
          <t>Act.
%</t>
        </is>
      </c>
      <c r="I275" s="22" t="inlineStr">
        <is>
          <t>Buffer to
Hand-back</t>
        </is>
      </c>
      <c r="K275" s="120">
        <f>UPPER(TEXT($A$1+($D$1+0*$E$1)/24,"ddd  dd-mmm  hh:mm")&amp;"  to  "&amp;TEXT($A$1+($D$1+24*$E$1)/24,"ddd  dd-mmm  hh:mm"))</f>
        <v/>
      </c>
      <c r="AH275" s="114" t="n"/>
      <c r="AI275" s="120">
        <f>UPPER(TEXT($A$1+($D$1+24*$E$1)/24,"ddd  dd-mmm  hh:mm")&amp;"  to  "&amp;TEXT($A$1+($D$1+48*$E$1)/24,"ddd  dd-mmm  hh:mm"))</f>
        <v/>
      </c>
      <c r="BF275" s="114" t="n"/>
    </row>
    <row r="276" ht="15.75" customHeight="1">
      <c r="K276" s="121">
        <f>TEXT($A$1+($D$1+0*$E$1)/24,"hh:mm")&amp;" - "&amp;TEXT($A$1+($D$1+6*$E$1)/24,"hh:mm")</f>
        <v/>
      </c>
      <c r="P276" s="115" t="n"/>
      <c r="Q276" s="121">
        <f>TEXT($A$1+($D$1+6*$E$1)/24,"hh:mm")&amp;" - "&amp;TEXT($A$1+($D$1+12*$E$1)/24,"hh:mm")</f>
        <v/>
      </c>
      <c r="V276" s="115" t="n"/>
      <c r="W276" s="121">
        <f>TEXT($A$1+($D$1+12*$E$1)/24,"hh:mm")&amp;" - "&amp;TEXT($A$1+($D$1+18*$E$1)/24,"hh:mm")</f>
        <v/>
      </c>
      <c r="AB276" s="115" t="n"/>
      <c r="AC276" s="121">
        <f>TEXT($A$1+($D$1+18*$E$1)/24,"hh:mm")&amp;" - "&amp;TEXT($A$1+($D$1+24*$E$1)/24,"hh:mm")</f>
        <v/>
      </c>
      <c r="AH276" s="115" t="n"/>
      <c r="AI276" s="121">
        <f>TEXT($A$1+($D$1+24*$E$1)/24,"hh:mm")&amp;" - "&amp;TEXT($A$1+($D$1+30*$E$1)/24,"hh:mm")</f>
        <v/>
      </c>
      <c r="AN276" s="115" t="n"/>
      <c r="AO276" s="121">
        <f>TEXT($A$1+($D$1+30*$E$1)/24,"hh:mm")&amp;" - "&amp;TEXT($A$1+($D$1+36*$E$1)/24,"hh:mm")</f>
        <v/>
      </c>
      <c r="AT276" s="115" t="n"/>
      <c r="AU276" s="121">
        <f>TEXT($A$1+($D$1+36*$E$1)/24,"hh:mm")&amp;" - "&amp;TEXT($A$1+($D$1+42*$E$1)/24,"hh:mm")</f>
        <v/>
      </c>
      <c r="AZ276" s="115" t="n"/>
      <c r="BA276" s="121">
        <f>TEXT($A$1+($D$1+42*$E$1)/24,"hh:mm")&amp;" - "&amp;TEXT($A$1+($D$1+48*$E$1)/24,"hh:mm")</f>
        <v/>
      </c>
      <c r="BF276" s="115" t="n"/>
    </row>
    <row r="277" ht="11.5" customHeight="1">
      <c r="A277" s="68">
        <f>'Data Input'!A147</f>
        <v/>
      </c>
      <c r="B277" s="69">
        <f>'Data Input'!B147</f>
        <v/>
      </c>
      <c r="C277" s="70">
        <f>'Data Input'!O147</f>
        <v/>
      </c>
      <c r="D277" s="71">
        <f>'Data Input'!D147</f>
        <v/>
      </c>
      <c r="E277" s="72">
        <f>'Data Input'!D147+'Data Input'!Y147/24</f>
        <v/>
      </c>
      <c r="F277" s="73">
        <f>'Data Input'!Y147</f>
        <v/>
      </c>
      <c r="G277" s="74">
        <f>'Data Input'!T147</f>
        <v/>
      </c>
      <c r="H277" s="75">
        <f>'Data Input'!S147</f>
        <v/>
      </c>
      <c r="I277" s="57" t="n"/>
      <c r="J277" s="76" t="inlineStr">
        <is>
          <t>P</t>
        </is>
      </c>
      <c r="K277" s="77" t="n"/>
      <c r="L277" s="77" t="n"/>
      <c r="M277" s="77" t="n"/>
      <c r="N277" s="77" t="n"/>
      <c r="O277" s="77" t="n"/>
      <c r="P277" s="77" t="n"/>
      <c r="Q277" s="77" t="n"/>
      <c r="R277" s="77" t="n"/>
      <c r="S277" s="77" t="n"/>
      <c r="T277" s="77" t="n"/>
      <c r="U277" s="77" t="n"/>
      <c r="V277" s="77" t="n"/>
      <c r="W277" s="77" t="n"/>
      <c r="X277" s="77" t="n"/>
      <c r="Y277" s="77" t="n"/>
      <c r="Z277" s="77" t="n"/>
      <c r="AA277" s="77" t="n"/>
      <c r="AB277" s="77" t="n"/>
      <c r="AC277" s="77" t="n"/>
      <c r="AD277" s="77" t="n"/>
      <c r="AE277" s="77" t="n"/>
      <c r="AF277" s="77" t="n"/>
      <c r="AG277" s="77" t="n"/>
      <c r="AH277" s="77" t="n"/>
      <c r="AI277" s="77" t="n"/>
      <c r="AJ277" s="77" t="n"/>
      <c r="AK277" s="77" t="n"/>
      <c r="AL277" s="77" t="n"/>
      <c r="AM277" s="77" t="n"/>
      <c r="AN277" s="77" t="n"/>
      <c r="AO277" s="77" t="n"/>
      <c r="AP277" s="77" t="n"/>
      <c r="AQ277" s="77" t="n"/>
      <c r="AR277" s="77" t="n"/>
      <c r="AS277" s="77" t="n"/>
      <c r="AT277" s="77" t="n"/>
      <c r="AU277" s="77" t="n"/>
      <c r="AV277" s="77" t="n"/>
      <c r="AW277" s="77" t="n"/>
      <c r="AX277" s="77" t="n"/>
      <c r="AY277" s="77" t="n"/>
      <c r="AZ277" s="77" t="n"/>
      <c r="BA277" s="77" t="n"/>
      <c r="BB277" s="77" t="n"/>
      <c r="BC277" s="77" t="n"/>
      <c r="BD277" s="77" t="n"/>
      <c r="BE277" s="77" t="n"/>
      <c r="BF277" s="77" t="n"/>
      <c r="BH277">
        <f>('Data Input'!C147-$A$1)*24</f>
        <v/>
      </c>
      <c r="BI277">
        <f>('Data Input'!D147-$A$1)*24</f>
        <v/>
      </c>
      <c r="BJ277" t="n">
        <v>1</v>
      </c>
      <c r="BO277" t="n">
        <v>-999</v>
      </c>
      <c r="BP277" t="n">
        <v>-999</v>
      </c>
    </row>
    <row r="278" ht="11.5" customHeight="1">
      <c r="A278" s="78" t="n"/>
      <c r="B278" s="78" t="n"/>
      <c r="C278" s="78" t="n"/>
      <c r="D278" s="78" t="n"/>
      <c r="E278" s="78" t="n"/>
      <c r="F278" s="78" t="n"/>
      <c r="G278" s="78" t="n"/>
      <c r="H278" s="78" t="n"/>
      <c r="I278" s="78" t="n"/>
      <c r="J278" s="76" t="inlineStr">
        <is>
          <t>A</t>
        </is>
      </c>
      <c r="K278" s="79" t="n"/>
      <c r="L278" s="79" t="n"/>
      <c r="M278" s="79" t="n"/>
      <c r="N278" s="79" t="n"/>
      <c r="O278" s="79" t="n"/>
      <c r="P278" s="79" t="n"/>
      <c r="Q278" s="79" t="n"/>
      <c r="R278" s="79" t="n"/>
      <c r="S278" s="79" t="n"/>
      <c r="T278" s="79" t="n"/>
      <c r="U278" s="79" t="n"/>
      <c r="V278" s="79" t="n"/>
      <c r="W278" s="79" t="n"/>
      <c r="X278" s="79" t="n"/>
      <c r="Y278" s="79" t="n"/>
      <c r="Z278" s="79" t="n"/>
      <c r="AA278" s="79" t="n"/>
      <c r="AB278" s="79" t="n"/>
      <c r="AC278" s="79" t="n"/>
      <c r="AD278" s="79" t="n"/>
      <c r="AE278" s="79" t="n"/>
      <c r="AF278" s="79" t="n"/>
      <c r="AG278" s="79" t="n"/>
      <c r="AH278" s="79" t="n"/>
      <c r="AI278" s="79" t="n"/>
      <c r="AJ278" s="79" t="n"/>
      <c r="AK278" s="79" t="n"/>
      <c r="AL278" s="79" t="n"/>
      <c r="AM278" s="79" t="n"/>
      <c r="AN278" s="79" t="n"/>
      <c r="AO278" s="79" t="n"/>
      <c r="AP278" s="79" t="n"/>
      <c r="AQ278" s="79" t="n"/>
      <c r="AR278" s="79" t="n"/>
      <c r="AS278" s="79" t="n"/>
      <c r="AT278" s="79" t="n"/>
      <c r="AU278" s="79" t="n"/>
      <c r="AV278" s="79" t="n"/>
      <c r="AW278" s="79" t="n"/>
      <c r="AX278" s="79" t="n"/>
      <c r="AY278" s="79" t="n"/>
      <c r="AZ278" s="79" t="n"/>
      <c r="BA278" s="79" t="n"/>
      <c r="BB278" s="79" t="n"/>
      <c r="BC278" s="79" t="n"/>
      <c r="BD278" s="79" t="n"/>
      <c r="BE278" s="79" t="n"/>
      <c r="BF278" s="79" t="n"/>
      <c r="BH278">
        <f>IF($BK278="",-999,($BK278-$A$1)*24)</f>
        <v/>
      </c>
      <c r="BI278">
        <f>IF($BK278="",-999,(IF($BL278&lt;&gt;"",$BL278,IF($C$1&gt;$BK278,$C$1,$BK278+MAX('Data Input'!E147*$BM278,0.5)/24))-$A$1)*24)</f>
        <v/>
      </c>
      <c r="BJ278">
        <f>IF($BK278="",0,IF($BM278&gt;=1,IF($BN278&lt;=0,2,3),IF($BN278&lt;=0,4,5)))</f>
        <v/>
      </c>
      <c r="BK278">
        <f>IF('Data Input'!Q147="","",'Data Input'!Q147)</f>
        <v/>
      </c>
      <c r="BL278">
        <f>IF('Data Input'!R147="","",'Data Input'!R147)</f>
        <v/>
      </c>
      <c r="BM278">
        <f>'Data Input'!S147</f>
        <v/>
      </c>
      <c r="BN278">
        <f>'Data Input'!Y147</f>
        <v/>
      </c>
      <c r="BO278">
        <f>IF($BM278&gt;=1,-999,MAX(($C$1-$A$1)*24,IF($BK278&lt;&gt;"",$BI278,$BP278-'Data Input'!E147)))</f>
        <v/>
      </c>
      <c r="BP278">
        <f>('Data Input'!D147+'Data Input'!Y147/24-$A$1)*24</f>
        <v/>
      </c>
    </row>
    <row r="279" ht="11.5" customHeight="1">
      <c r="A279" s="68">
        <f>'Data Input'!A148</f>
        <v/>
      </c>
      <c r="B279" s="69">
        <f>'Data Input'!B148</f>
        <v/>
      </c>
      <c r="C279" s="70">
        <f>'Data Input'!O148</f>
        <v/>
      </c>
      <c r="D279" s="71">
        <f>'Data Input'!D148</f>
        <v/>
      </c>
      <c r="E279" s="72">
        <f>'Data Input'!D148+'Data Input'!Y148/24</f>
        <v/>
      </c>
      <c r="F279" s="73">
        <f>'Data Input'!Y148</f>
        <v/>
      </c>
      <c r="G279" s="74">
        <f>'Data Input'!T148</f>
        <v/>
      </c>
      <c r="H279" s="75">
        <f>'Data Input'!S148</f>
        <v/>
      </c>
      <c r="I279" s="57" t="n"/>
      <c r="J279" s="76" t="inlineStr">
        <is>
          <t>P</t>
        </is>
      </c>
      <c r="K279" s="77" t="n"/>
      <c r="L279" s="77" t="n"/>
      <c r="M279" s="77" t="n"/>
      <c r="N279" s="77" t="n"/>
      <c r="O279" s="77" t="n"/>
      <c r="P279" s="77" t="n"/>
      <c r="Q279" s="77" t="n"/>
      <c r="R279" s="77" t="n"/>
      <c r="S279" s="77" t="n"/>
      <c r="T279" s="77" t="n"/>
      <c r="U279" s="77" t="n"/>
      <c r="V279" s="77" t="n"/>
      <c r="W279" s="77" t="n"/>
      <c r="X279" s="77" t="n"/>
      <c r="Y279" s="77" t="n"/>
      <c r="Z279" s="77" t="n"/>
      <c r="AA279" s="77" t="n"/>
      <c r="AB279" s="77" t="n"/>
      <c r="AC279" s="77" t="n"/>
      <c r="AD279" s="77" t="n"/>
      <c r="AE279" s="77" t="n"/>
      <c r="AF279" s="77" t="n"/>
      <c r="AG279" s="77" t="n"/>
      <c r="AH279" s="77" t="n"/>
      <c r="AI279" s="77" t="n"/>
      <c r="AJ279" s="77" t="n"/>
      <c r="AK279" s="77" t="n"/>
      <c r="AL279" s="77" t="n"/>
      <c r="AM279" s="77" t="n"/>
      <c r="AN279" s="77" t="n"/>
      <c r="AO279" s="77" t="n"/>
      <c r="AP279" s="77" t="n"/>
      <c r="AQ279" s="77" t="n"/>
      <c r="AR279" s="77" t="n"/>
      <c r="AS279" s="77" t="n"/>
      <c r="AT279" s="77" t="n"/>
      <c r="AU279" s="77" t="n"/>
      <c r="AV279" s="77" t="n"/>
      <c r="AW279" s="77" t="n"/>
      <c r="AX279" s="77" t="n"/>
      <c r="AY279" s="77" t="n"/>
      <c r="AZ279" s="77" t="n"/>
      <c r="BA279" s="77" t="n"/>
      <c r="BB279" s="77" t="n"/>
      <c r="BC279" s="77" t="n"/>
      <c r="BD279" s="77" t="n"/>
      <c r="BE279" s="77" t="n"/>
      <c r="BF279" s="77" t="n"/>
      <c r="BH279">
        <f>('Data Input'!C148-$A$1)*24</f>
        <v/>
      </c>
      <c r="BI279">
        <f>('Data Input'!D148-$A$1)*24</f>
        <v/>
      </c>
      <c r="BJ279" t="n">
        <v>1</v>
      </c>
      <c r="BO279" t="n">
        <v>-999</v>
      </c>
      <c r="BP279" t="n">
        <v>-999</v>
      </c>
    </row>
    <row r="280" ht="11.5" customHeight="1">
      <c r="A280" s="78" t="n"/>
      <c r="B280" s="78" t="n"/>
      <c r="C280" s="78" t="n"/>
      <c r="D280" s="78" t="n"/>
      <c r="E280" s="78" t="n"/>
      <c r="F280" s="78" t="n"/>
      <c r="G280" s="78" t="n"/>
      <c r="H280" s="78" t="n"/>
      <c r="I280" s="78" t="n"/>
      <c r="J280" s="76" t="inlineStr">
        <is>
          <t>A</t>
        </is>
      </c>
      <c r="K280" s="79" t="n"/>
      <c r="L280" s="79" t="n"/>
      <c r="M280" s="79" t="n"/>
      <c r="N280" s="79" t="n"/>
      <c r="O280" s="79" t="n"/>
      <c r="P280" s="79" t="n"/>
      <c r="Q280" s="79" t="n"/>
      <c r="R280" s="79" t="n"/>
      <c r="S280" s="79" t="n"/>
      <c r="T280" s="79" t="n"/>
      <c r="U280" s="79" t="n"/>
      <c r="V280" s="79" t="n"/>
      <c r="W280" s="79" t="n"/>
      <c r="X280" s="79" t="n"/>
      <c r="Y280" s="79" t="n"/>
      <c r="Z280" s="79" t="n"/>
      <c r="AA280" s="79" t="n"/>
      <c r="AB280" s="79" t="n"/>
      <c r="AC280" s="79" t="n"/>
      <c r="AD280" s="79" t="n"/>
      <c r="AE280" s="79" t="n"/>
      <c r="AF280" s="79" t="n"/>
      <c r="AG280" s="79" t="n"/>
      <c r="AH280" s="79" t="n"/>
      <c r="AI280" s="79" t="n"/>
      <c r="AJ280" s="79" t="n"/>
      <c r="AK280" s="79" t="n"/>
      <c r="AL280" s="79" t="n"/>
      <c r="AM280" s="79" t="n"/>
      <c r="AN280" s="79" t="n"/>
      <c r="AO280" s="79" t="n"/>
      <c r="AP280" s="79" t="n"/>
      <c r="AQ280" s="79" t="n"/>
      <c r="AR280" s="79" t="n"/>
      <c r="AS280" s="79" t="n"/>
      <c r="AT280" s="79" t="n"/>
      <c r="AU280" s="79" t="n"/>
      <c r="AV280" s="79" t="n"/>
      <c r="AW280" s="79" t="n"/>
      <c r="AX280" s="79" t="n"/>
      <c r="AY280" s="79" t="n"/>
      <c r="AZ280" s="79" t="n"/>
      <c r="BA280" s="79" t="n"/>
      <c r="BB280" s="79" t="n"/>
      <c r="BC280" s="79" t="n"/>
      <c r="BD280" s="79" t="n"/>
      <c r="BE280" s="79" t="n"/>
      <c r="BF280" s="79" t="n"/>
      <c r="BH280">
        <f>IF($BK280="",-999,($BK280-$A$1)*24)</f>
        <v/>
      </c>
      <c r="BI280">
        <f>IF($BK280="",-999,(IF($BL280&lt;&gt;"",$BL280,IF($C$1&gt;$BK280,$C$1,$BK280+MAX('Data Input'!E148*$BM280,0.5)/24))-$A$1)*24)</f>
        <v/>
      </c>
      <c r="BJ280">
        <f>IF($BK280="",0,IF($BM280&gt;=1,IF($BN280&lt;=0,2,3),IF($BN280&lt;=0,4,5)))</f>
        <v/>
      </c>
      <c r="BK280">
        <f>IF('Data Input'!Q148="","",'Data Input'!Q148)</f>
        <v/>
      </c>
      <c r="BL280">
        <f>IF('Data Input'!R148="","",'Data Input'!R148)</f>
        <v/>
      </c>
      <c r="BM280">
        <f>'Data Input'!S148</f>
        <v/>
      </c>
      <c r="BN280">
        <f>'Data Input'!Y148</f>
        <v/>
      </c>
      <c r="BO280">
        <f>IF($BM280&gt;=1,-999,MAX(($C$1-$A$1)*24,IF($BK280&lt;&gt;"",$BI280,$BP280-'Data Input'!E148)))</f>
        <v/>
      </c>
      <c r="BP280">
        <f>('Data Input'!D148+'Data Input'!Y148/24-$A$1)*24</f>
        <v/>
      </c>
    </row>
    <row r="281" ht="11.5" customHeight="1">
      <c r="A281" s="68">
        <f>'Data Input'!A149</f>
        <v/>
      </c>
      <c r="B281" s="69">
        <f>'Data Input'!B149</f>
        <v/>
      </c>
      <c r="C281" s="70">
        <f>'Data Input'!O149</f>
        <v/>
      </c>
      <c r="D281" s="71">
        <f>'Data Input'!D149</f>
        <v/>
      </c>
      <c r="E281" s="72">
        <f>'Data Input'!D149+'Data Input'!Y149/24</f>
        <v/>
      </c>
      <c r="F281" s="73">
        <f>'Data Input'!Y149</f>
        <v/>
      </c>
      <c r="G281" s="74">
        <f>'Data Input'!T149</f>
        <v/>
      </c>
      <c r="H281" s="75">
        <f>'Data Input'!S149</f>
        <v/>
      </c>
      <c r="I281" s="57" t="n"/>
      <c r="J281" s="76" t="inlineStr">
        <is>
          <t>P</t>
        </is>
      </c>
      <c r="K281" s="77" t="n"/>
      <c r="L281" s="77" t="n"/>
      <c r="M281" s="77" t="n"/>
      <c r="N281" s="77" t="n"/>
      <c r="O281" s="77" t="n"/>
      <c r="P281" s="77" t="n"/>
      <c r="Q281" s="77" t="n"/>
      <c r="R281" s="77" t="n"/>
      <c r="S281" s="77" t="n"/>
      <c r="T281" s="77" t="n"/>
      <c r="U281" s="77" t="n"/>
      <c r="V281" s="77" t="n"/>
      <c r="W281" s="77" t="n"/>
      <c r="X281" s="77" t="n"/>
      <c r="Y281" s="77" t="n"/>
      <c r="Z281" s="77" t="n"/>
      <c r="AA281" s="77" t="n"/>
      <c r="AB281" s="77" t="n"/>
      <c r="AC281" s="77" t="n"/>
      <c r="AD281" s="77" t="n"/>
      <c r="AE281" s="77" t="n"/>
      <c r="AF281" s="77" t="n"/>
      <c r="AG281" s="77" t="n"/>
      <c r="AH281" s="77" t="n"/>
      <c r="AI281" s="77" t="n"/>
      <c r="AJ281" s="77" t="n"/>
      <c r="AK281" s="77" t="n"/>
      <c r="AL281" s="77" t="n"/>
      <c r="AM281" s="77" t="n"/>
      <c r="AN281" s="77" t="n"/>
      <c r="AO281" s="77" t="n"/>
      <c r="AP281" s="77" t="n"/>
      <c r="AQ281" s="77" t="n"/>
      <c r="AR281" s="77" t="n"/>
      <c r="AS281" s="77" t="n"/>
      <c r="AT281" s="77" t="n"/>
      <c r="AU281" s="77" t="n"/>
      <c r="AV281" s="77" t="n"/>
      <c r="AW281" s="77" t="n"/>
      <c r="AX281" s="77" t="n"/>
      <c r="AY281" s="77" t="n"/>
      <c r="AZ281" s="77" t="n"/>
      <c r="BA281" s="77" t="n"/>
      <c r="BB281" s="77" t="n"/>
      <c r="BC281" s="77" t="n"/>
      <c r="BD281" s="77" t="n"/>
      <c r="BE281" s="77" t="n"/>
      <c r="BF281" s="77" t="n"/>
      <c r="BH281">
        <f>('Data Input'!C149-$A$1)*24</f>
        <v/>
      </c>
      <c r="BI281">
        <f>('Data Input'!D149-$A$1)*24</f>
        <v/>
      </c>
      <c r="BJ281" t="n">
        <v>1</v>
      </c>
      <c r="BO281" t="n">
        <v>-999</v>
      </c>
      <c r="BP281" t="n">
        <v>-999</v>
      </c>
    </row>
    <row r="282" ht="11.5" customHeight="1">
      <c r="A282" s="78" t="n"/>
      <c r="B282" s="78" t="n"/>
      <c r="C282" s="78" t="n"/>
      <c r="D282" s="78" t="n"/>
      <c r="E282" s="78" t="n"/>
      <c r="F282" s="78" t="n"/>
      <c r="G282" s="78" t="n"/>
      <c r="H282" s="78" t="n"/>
      <c r="I282" s="78" t="n"/>
      <c r="J282" s="76" t="inlineStr">
        <is>
          <t>A</t>
        </is>
      </c>
      <c r="K282" s="79" t="n"/>
      <c r="L282" s="79" t="n"/>
      <c r="M282" s="79" t="n"/>
      <c r="N282" s="79" t="n"/>
      <c r="O282" s="79" t="n"/>
      <c r="P282" s="79" t="n"/>
      <c r="Q282" s="79" t="n"/>
      <c r="R282" s="79" t="n"/>
      <c r="S282" s="79" t="n"/>
      <c r="T282" s="79" t="n"/>
      <c r="U282" s="79" t="n"/>
      <c r="V282" s="79" t="n"/>
      <c r="W282" s="79" t="n"/>
      <c r="X282" s="79" t="n"/>
      <c r="Y282" s="79" t="n"/>
      <c r="Z282" s="79" t="n"/>
      <c r="AA282" s="79" t="n"/>
      <c r="AB282" s="79" t="n"/>
      <c r="AC282" s="79" t="n"/>
      <c r="AD282" s="79" t="n"/>
      <c r="AE282" s="79" t="n"/>
      <c r="AF282" s="79" t="n"/>
      <c r="AG282" s="79" t="n"/>
      <c r="AH282" s="79" t="n"/>
      <c r="AI282" s="79" t="n"/>
      <c r="AJ282" s="79" t="n"/>
      <c r="AK282" s="79" t="n"/>
      <c r="AL282" s="79" t="n"/>
      <c r="AM282" s="79" t="n"/>
      <c r="AN282" s="79" t="n"/>
      <c r="AO282" s="79" t="n"/>
      <c r="AP282" s="79" t="n"/>
      <c r="AQ282" s="79" t="n"/>
      <c r="AR282" s="79" t="n"/>
      <c r="AS282" s="79" t="n"/>
      <c r="AT282" s="79" t="n"/>
      <c r="AU282" s="79" t="n"/>
      <c r="AV282" s="79" t="n"/>
      <c r="AW282" s="79" t="n"/>
      <c r="AX282" s="79" t="n"/>
      <c r="AY282" s="79" t="n"/>
      <c r="AZ282" s="79" t="n"/>
      <c r="BA282" s="79" t="n"/>
      <c r="BB282" s="79" t="n"/>
      <c r="BC282" s="79" t="n"/>
      <c r="BD282" s="79" t="n"/>
      <c r="BE282" s="79" t="n"/>
      <c r="BF282" s="79" t="n"/>
      <c r="BH282">
        <f>IF($BK282="",-999,($BK282-$A$1)*24)</f>
        <v/>
      </c>
      <c r="BI282">
        <f>IF($BK282="",-999,(IF($BL282&lt;&gt;"",$BL282,IF($C$1&gt;$BK282,$C$1,$BK282+MAX('Data Input'!E149*$BM282,0.5)/24))-$A$1)*24)</f>
        <v/>
      </c>
      <c r="BJ282">
        <f>IF($BK282="",0,IF($BM282&gt;=1,IF($BN282&lt;=0,2,3),IF($BN282&lt;=0,4,5)))</f>
        <v/>
      </c>
      <c r="BK282">
        <f>IF('Data Input'!Q149="","",'Data Input'!Q149)</f>
        <v/>
      </c>
      <c r="BL282">
        <f>IF('Data Input'!R149="","",'Data Input'!R149)</f>
        <v/>
      </c>
      <c r="BM282">
        <f>'Data Input'!S149</f>
        <v/>
      </c>
      <c r="BN282">
        <f>'Data Input'!Y149</f>
        <v/>
      </c>
      <c r="BO282">
        <f>IF($BM282&gt;=1,-999,MAX(($C$1-$A$1)*24,IF($BK282&lt;&gt;"",$BI282,$BP282-'Data Input'!E149)))</f>
        <v/>
      </c>
      <c r="BP282">
        <f>('Data Input'!D149+'Data Input'!Y149/24-$A$1)*24</f>
        <v/>
      </c>
    </row>
    <row r="283" ht="11.5" customHeight="1">
      <c r="A283" s="68">
        <f>'Data Input'!A150</f>
        <v/>
      </c>
      <c r="B283" s="69">
        <f>'Data Input'!B150</f>
        <v/>
      </c>
      <c r="C283" s="70">
        <f>'Data Input'!O150</f>
        <v/>
      </c>
      <c r="D283" s="71">
        <f>'Data Input'!D150</f>
        <v/>
      </c>
      <c r="E283" s="72">
        <f>'Data Input'!D150+'Data Input'!Y150/24</f>
        <v/>
      </c>
      <c r="F283" s="73">
        <f>'Data Input'!Y150</f>
        <v/>
      </c>
      <c r="G283" s="74">
        <f>'Data Input'!T150</f>
        <v/>
      </c>
      <c r="H283" s="75">
        <f>'Data Input'!S150</f>
        <v/>
      </c>
      <c r="I283" s="57" t="n"/>
      <c r="J283" s="76" t="inlineStr">
        <is>
          <t>P</t>
        </is>
      </c>
      <c r="K283" s="77" t="n"/>
      <c r="L283" s="77" t="n"/>
      <c r="M283" s="77" t="n"/>
      <c r="N283" s="77" t="n"/>
      <c r="O283" s="77" t="n"/>
      <c r="P283" s="77" t="n"/>
      <c r="Q283" s="77" t="n"/>
      <c r="R283" s="77" t="n"/>
      <c r="S283" s="77" t="n"/>
      <c r="T283" s="77" t="n"/>
      <c r="U283" s="77" t="n"/>
      <c r="V283" s="77" t="n"/>
      <c r="W283" s="77" t="n"/>
      <c r="X283" s="77" t="n"/>
      <c r="Y283" s="77" t="n"/>
      <c r="Z283" s="77" t="n"/>
      <c r="AA283" s="77" t="n"/>
      <c r="AB283" s="77" t="n"/>
      <c r="AC283" s="77" t="n"/>
      <c r="AD283" s="77" t="n"/>
      <c r="AE283" s="77" t="n"/>
      <c r="AF283" s="77" t="n"/>
      <c r="AG283" s="77" t="n"/>
      <c r="AH283" s="77" t="n"/>
      <c r="AI283" s="77" t="n"/>
      <c r="AJ283" s="77" t="n"/>
      <c r="AK283" s="77" t="n"/>
      <c r="AL283" s="77" t="n"/>
      <c r="AM283" s="77" t="n"/>
      <c r="AN283" s="77" t="n"/>
      <c r="AO283" s="77" t="n"/>
      <c r="AP283" s="77" t="n"/>
      <c r="AQ283" s="77" t="n"/>
      <c r="AR283" s="77" t="n"/>
      <c r="AS283" s="77" t="n"/>
      <c r="AT283" s="77" t="n"/>
      <c r="AU283" s="77" t="n"/>
      <c r="AV283" s="77" t="n"/>
      <c r="AW283" s="77" t="n"/>
      <c r="AX283" s="77" t="n"/>
      <c r="AY283" s="77" t="n"/>
      <c r="AZ283" s="77" t="n"/>
      <c r="BA283" s="77" t="n"/>
      <c r="BB283" s="77" t="n"/>
      <c r="BC283" s="77" t="n"/>
      <c r="BD283" s="77" t="n"/>
      <c r="BE283" s="77" t="n"/>
      <c r="BF283" s="77" t="n"/>
      <c r="BH283">
        <f>('Data Input'!C150-$A$1)*24</f>
        <v/>
      </c>
      <c r="BI283">
        <f>('Data Input'!D150-$A$1)*24</f>
        <v/>
      </c>
      <c r="BJ283" t="n">
        <v>1</v>
      </c>
      <c r="BO283" t="n">
        <v>-999</v>
      </c>
      <c r="BP283" t="n">
        <v>-999</v>
      </c>
    </row>
    <row r="284" ht="11.5" customHeight="1">
      <c r="A284" s="78" t="n"/>
      <c r="B284" s="78" t="n"/>
      <c r="C284" s="78" t="n"/>
      <c r="D284" s="78" t="n"/>
      <c r="E284" s="78" t="n"/>
      <c r="F284" s="78" t="n"/>
      <c r="G284" s="78" t="n"/>
      <c r="H284" s="78" t="n"/>
      <c r="I284" s="78" t="n"/>
      <c r="J284" s="76" t="inlineStr">
        <is>
          <t>A</t>
        </is>
      </c>
      <c r="K284" s="79" t="n"/>
      <c r="L284" s="79" t="n"/>
      <c r="M284" s="79" t="n"/>
      <c r="N284" s="79" t="n"/>
      <c r="O284" s="79" t="n"/>
      <c r="P284" s="79" t="n"/>
      <c r="Q284" s="79" t="n"/>
      <c r="R284" s="79" t="n"/>
      <c r="S284" s="79" t="n"/>
      <c r="T284" s="79" t="n"/>
      <c r="U284" s="79" t="n"/>
      <c r="V284" s="79" t="n"/>
      <c r="W284" s="79" t="n"/>
      <c r="X284" s="79" t="n"/>
      <c r="Y284" s="79" t="n"/>
      <c r="Z284" s="79" t="n"/>
      <c r="AA284" s="79" t="n"/>
      <c r="AB284" s="79" t="n"/>
      <c r="AC284" s="79" t="n"/>
      <c r="AD284" s="79" t="n"/>
      <c r="AE284" s="79" t="n"/>
      <c r="AF284" s="79" t="n"/>
      <c r="AG284" s="79" t="n"/>
      <c r="AH284" s="79" t="n"/>
      <c r="AI284" s="79" t="n"/>
      <c r="AJ284" s="79" t="n"/>
      <c r="AK284" s="79" t="n"/>
      <c r="AL284" s="79" t="n"/>
      <c r="AM284" s="79" t="n"/>
      <c r="AN284" s="79" t="n"/>
      <c r="AO284" s="79" t="n"/>
      <c r="AP284" s="79" t="n"/>
      <c r="AQ284" s="79" t="n"/>
      <c r="AR284" s="79" t="n"/>
      <c r="AS284" s="79" t="n"/>
      <c r="AT284" s="79" t="n"/>
      <c r="AU284" s="79" t="n"/>
      <c r="AV284" s="79" t="n"/>
      <c r="AW284" s="79" t="n"/>
      <c r="AX284" s="79" t="n"/>
      <c r="AY284" s="79" t="n"/>
      <c r="AZ284" s="79" t="n"/>
      <c r="BA284" s="79" t="n"/>
      <c r="BB284" s="79" t="n"/>
      <c r="BC284" s="79" t="n"/>
      <c r="BD284" s="79" t="n"/>
      <c r="BE284" s="79" t="n"/>
      <c r="BF284" s="79" t="n"/>
      <c r="BH284">
        <f>IF($BK284="",-999,($BK284-$A$1)*24)</f>
        <v/>
      </c>
      <c r="BI284">
        <f>IF($BK284="",-999,(IF($BL284&lt;&gt;"",$BL284,IF($C$1&gt;$BK284,$C$1,$BK284+MAX('Data Input'!E150*$BM284,0.5)/24))-$A$1)*24)</f>
        <v/>
      </c>
      <c r="BJ284">
        <f>IF($BK284="",0,IF($BM284&gt;=1,IF($BN284&lt;=0,2,3),IF($BN284&lt;=0,4,5)))</f>
        <v/>
      </c>
      <c r="BK284">
        <f>IF('Data Input'!Q150="","",'Data Input'!Q150)</f>
        <v/>
      </c>
      <c r="BL284">
        <f>IF('Data Input'!R150="","",'Data Input'!R150)</f>
        <v/>
      </c>
      <c r="BM284">
        <f>'Data Input'!S150</f>
        <v/>
      </c>
      <c r="BN284">
        <f>'Data Input'!Y150</f>
        <v/>
      </c>
      <c r="BO284">
        <f>IF($BM284&gt;=1,-999,MAX(($C$1-$A$1)*24,IF($BK284&lt;&gt;"",$BI284,$BP284-'Data Input'!E150)))</f>
        <v/>
      </c>
      <c r="BP284">
        <f>('Data Input'!D150+'Data Input'!Y150/24-$A$1)*24</f>
        <v/>
      </c>
    </row>
    <row r="285" ht="11.5" customHeight="1">
      <c r="A285" s="68">
        <f>'Data Input'!A151</f>
        <v/>
      </c>
      <c r="B285" s="69">
        <f>'Data Input'!B151</f>
        <v/>
      </c>
      <c r="C285" s="70">
        <f>'Data Input'!O151</f>
        <v/>
      </c>
      <c r="D285" s="71">
        <f>'Data Input'!D151</f>
        <v/>
      </c>
      <c r="E285" s="72">
        <f>'Data Input'!D151+'Data Input'!Y151/24</f>
        <v/>
      </c>
      <c r="F285" s="73">
        <f>'Data Input'!Y151</f>
        <v/>
      </c>
      <c r="G285" s="74">
        <f>'Data Input'!T151</f>
        <v/>
      </c>
      <c r="H285" s="75">
        <f>'Data Input'!S151</f>
        <v/>
      </c>
      <c r="I285" s="57" t="n"/>
      <c r="J285" s="76" t="inlineStr">
        <is>
          <t>P</t>
        </is>
      </c>
      <c r="K285" s="77" t="n"/>
      <c r="L285" s="77" t="n"/>
      <c r="M285" s="77" t="n"/>
      <c r="N285" s="77" t="n"/>
      <c r="O285" s="77" t="n"/>
      <c r="P285" s="77" t="n"/>
      <c r="Q285" s="77" t="n"/>
      <c r="R285" s="77" t="n"/>
      <c r="S285" s="77" t="n"/>
      <c r="T285" s="77" t="n"/>
      <c r="U285" s="77" t="n"/>
      <c r="V285" s="77" t="n"/>
      <c r="W285" s="77" t="n"/>
      <c r="X285" s="77" t="n"/>
      <c r="Y285" s="77" t="n"/>
      <c r="Z285" s="77" t="n"/>
      <c r="AA285" s="77" t="n"/>
      <c r="AB285" s="77" t="n"/>
      <c r="AC285" s="77" t="n"/>
      <c r="AD285" s="77" t="n"/>
      <c r="AE285" s="77" t="n"/>
      <c r="AF285" s="77" t="n"/>
      <c r="AG285" s="77" t="n"/>
      <c r="AH285" s="77" t="n"/>
      <c r="AI285" s="77" t="n"/>
      <c r="AJ285" s="77" t="n"/>
      <c r="AK285" s="77" t="n"/>
      <c r="AL285" s="77" t="n"/>
      <c r="AM285" s="77" t="n"/>
      <c r="AN285" s="77" t="n"/>
      <c r="AO285" s="77" t="n"/>
      <c r="AP285" s="77" t="n"/>
      <c r="AQ285" s="77" t="n"/>
      <c r="AR285" s="77" t="n"/>
      <c r="AS285" s="77" t="n"/>
      <c r="AT285" s="77" t="n"/>
      <c r="AU285" s="77" t="n"/>
      <c r="AV285" s="77" t="n"/>
      <c r="AW285" s="77" t="n"/>
      <c r="AX285" s="77" t="n"/>
      <c r="AY285" s="77" t="n"/>
      <c r="AZ285" s="77" t="n"/>
      <c r="BA285" s="77" t="n"/>
      <c r="BB285" s="77" t="n"/>
      <c r="BC285" s="77" t="n"/>
      <c r="BD285" s="77" t="n"/>
      <c r="BE285" s="77" t="n"/>
      <c r="BF285" s="77" t="n"/>
      <c r="BH285">
        <f>('Data Input'!C151-$A$1)*24</f>
        <v/>
      </c>
      <c r="BI285">
        <f>('Data Input'!D151-$A$1)*24</f>
        <v/>
      </c>
      <c r="BJ285" t="n">
        <v>1</v>
      </c>
      <c r="BO285" t="n">
        <v>-999</v>
      </c>
      <c r="BP285" t="n">
        <v>-999</v>
      </c>
    </row>
    <row r="286" ht="11.5" customHeight="1">
      <c r="A286" s="78" t="n"/>
      <c r="B286" s="78" t="n"/>
      <c r="C286" s="78" t="n"/>
      <c r="D286" s="78" t="n"/>
      <c r="E286" s="78" t="n"/>
      <c r="F286" s="78" t="n"/>
      <c r="G286" s="78" t="n"/>
      <c r="H286" s="78" t="n"/>
      <c r="I286" s="78" t="n"/>
      <c r="J286" s="76" t="inlineStr">
        <is>
          <t>A</t>
        </is>
      </c>
      <c r="K286" s="79" t="n"/>
      <c r="L286" s="79" t="n"/>
      <c r="M286" s="79" t="n"/>
      <c r="N286" s="79" t="n"/>
      <c r="O286" s="79" t="n"/>
      <c r="P286" s="79" t="n"/>
      <c r="Q286" s="79" t="n"/>
      <c r="R286" s="79" t="n"/>
      <c r="S286" s="79" t="n"/>
      <c r="T286" s="79" t="n"/>
      <c r="U286" s="79" t="n"/>
      <c r="V286" s="79" t="n"/>
      <c r="W286" s="79" t="n"/>
      <c r="X286" s="79" t="n"/>
      <c r="Y286" s="79" t="n"/>
      <c r="Z286" s="79" t="n"/>
      <c r="AA286" s="79" t="n"/>
      <c r="AB286" s="79" t="n"/>
      <c r="AC286" s="79" t="n"/>
      <c r="AD286" s="79" t="n"/>
      <c r="AE286" s="79" t="n"/>
      <c r="AF286" s="79" t="n"/>
      <c r="AG286" s="79" t="n"/>
      <c r="AH286" s="79" t="n"/>
      <c r="AI286" s="79" t="n"/>
      <c r="AJ286" s="79" t="n"/>
      <c r="AK286" s="79" t="n"/>
      <c r="AL286" s="79" t="n"/>
      <c r="AM286" s="79" t="n"/>
      <c r="AN286" s="79" t="n"/>
      <c r="AO286" s="79" t="n"/>
      <c r="AP286" s="79" t="n"/>
      <c r="AQ286" s="79" t="n"/>
      <c r="AR286" s="79" t="n"/>
      <c r="AS286" s="79" t="n"/>
      <c r="AT286" s="79" t="n"/>
      <c r="AU286" s="79" t="n"/>
      <c r="AV286" s="79" t="n"/>
      <c r="AW286" s="79" t="n"/>
      <c r="AX286" s="79" t="n"/>
      <c r="AY286" s="79" t="n"/>
      <c r="AZ286" s="79" t="n"/>
      <c r="BA286" s="79" t="n"/>
      <c r="BB286" s="79" t="n"/>
      <c r="BC286" s="79" t="n"/>
      <c r="BD286" s="79" t="n"/>
      <c r="BE286" s="79" t="n"/>
      <c r="BF286" s="79" t="n"/>
      <c r="BH286">
        <f>IF($BK286="",-999,($BK286-$A$1)*24)</f>
        <v/>
      </c>
      <c r="BI286">
        <f>IF($BK286="",-999,(IF($BL286&lt;&gt;"",$BL286,IF($C$1&gt;$BK286,$C$1,$BK286+MAX('Data Input'!E151*$BM286,0.5)/24))-$A$1)*24)</f>
        <v/>
      </c>
      <c r="BJ286">
        <f>IF($BK286="",0,IF($BM286&gt;=1,IF($BN286&lt;=0,2,3),IF($BN286&lt;=0,4,5)))</f>
        <v/>
      </c>
      <c r="BK286">
        <f>IF('Data Input'!Q151="","",'Data Input'!Q151)</f>
        <v/>
      </c>
      <c r="BL286">
        <f>IF('Data Input'!R151="","",'Data Input'!R151)</f>
        <v/>
      </c>
      <c r="BM286">
        <f>'Data Input'!S151</f>
        <v/>
      </c>
      <c r="BN286">
        <f>'Data Input'!Y151</f>
        <v/>
      </c>
      <c r="BO286">
        <f>IF($BM286&gt;=1,-999,MAX(($C$1-$A$1)*24,IF($BK286&lt;&gt;"",$BI286,$BP286-'Data Input'!E151)))</f>
        <v/>
      </c>
      <c r="BP286">
        <f>('Data Input'!D151+'Data Input'!Y151/24-$A$1)*24</f>
        <v/>
      </c>
    </row>
    <row r="287" ht="11.5" customHeight="1">
      <c r="A287" s="68">
        <f>'Data Input'!A152</f>
        <v/>
      </c>
      <c r="B287" s="69">
        <f>'Data Input'!B152</f>
        <v/>
      </c>
      <c r="C287" s="70">
        <f>'Data Input'!O152</f>
        <v/>
      </c>
      <c r="D287" s="71">
        <f>'Data Input'!D152</f>
        <v/>
      </c>
      <c r="E287" s="72">
        <f>'Data Input'!D152+'Data Input'!Y152/24</f>
        <v/>
      </c>
      <c r="F287" s="73">
        <f>'Data Input'!Y152</f>
        <v/>
      </c>
      <c r="G287" s="74">
        <f>'Data Input'!T152</f>
        <v/>
      </c>
      <c r="H287" s="75">
        <f>'Data Input'!S152</f>
        <v/>
      </c>
      <c r="I287" s="57" t="n"/>
      <c r="J287" s="76" t="inlineStr">
        <is>
          <t>P</t>
        </is>
      </c>
      <c r="K287" s="77" t="n"/>
      <c r="L287" s="77" t="n"/>
      <c r="M287" s="77" t="n"/>
      <c r="N287" s="77" t="n"/>
      <c r="O287" s="77" t="n"/>
      <c r="P287" s="77" t="n"/>
      <c r="Q287" s="77" t="n"/>
      <c r="R287" s="77" t="n"/>
      <c r="S287" s="77" t="n"/>
      <c r="T287" s="77" t="n"/>
      <c r="U287" s="77" t="n"/>
      <c r="V287" s="77" t="n"/>
      <c r="W287" s="77" t="n"/>
      <c r="X287" s="77" t="n"/>
      <c r="Y287" s="77" t="n"/>
      <c r="Z287" s="77" t="n"/>
      <c r="AA287" s="77" t="n"/>
      <c r="AB287" s="77" t="n"/>
      <c r="AC287" s="77" t="n"/>
      <c r="AD287" s="77" t="n"/>
      <c r="AE287" s="77" t="n"/>
      <c r="AF287" s="77" t="n"/>
      <c r="AG287" s="77" t="n"/>
      <c r="AH287" s="77" t="n"/>
      <c r="AI287" s="77" t="n"/>
      <c r="AJ287" s="77" t="n"/>
      <c r="AK287" s="77" t="n"/>
      <c r="AL287" s="77" t="n"/>
      <c r="AM287" s="77" t="n"/>
      <c r="AN287" s="77" t="n"/>
      <c r="AO287" s="77" t="n"/>
      <c r="AP287" s="77" t="n"/>
      <c r="AQ287" s="77" t="n"/>
      <c r="AR287" s="77" t="n"/>
      <c r="AS287" s="77" t="n"/>
      <c r="AT287" s="77" t="n"/>
      <c r="AU287" s="77" t="n"/>
      <c r="AV287" s="77" t="n"/>
      <c r="AW287" s="77" t="n"/>
      <c r="AX287" s="77" t="n"/>
      <c r="AY287" s="77" t="n"/>
      <c r="AZ287" s="77" t="n"/>
      <c r="BA287" s="77" t="n"/>
      <c r="BB287" s="77" t="n"/>
      <c r="BC287" s="77" t="n"/>
      <c r="BD287" s="77" t="n"/>
      <c r="BE287" s="77" t="n"/>
      <c r="BF287" s="77" t="n"/>
      <c r="BH287">
        <f>('Data Input'!C152-$A$1)*24</f>
        <v/>
      </c>
      <c r="BI287">
        <f>('Data Input'!D152-$A$1)*24</f>
        <v/>
      </c>
      <c r="BJ287" t="n">
        <v>1</v>
      </c>
      <c r="BO287" t="n">
        <v>-999</v>
      </c>
      <c r="BP287" t="n">
        <v>-999</v>
      </c>
    </row>
    <row r="288" ht="11.5" customHeight="1">
      <c r="A288" s="78" t="n"/>
      <c r="B288" s="78" t="n"/>
      <c r="C288" s="78" t="n"/>
      <c r="D288" s="78" t="n"/>
      <c r="E288" s="78" t="n"/>
      <c r="F288" s="78" t="n"/>
      <c r="G288" s="78" t="n"/>
      <c r="H288" s="78" t="n"/>
      <c r="I288" s="78" t="n"/>
      <c r="J288" s="76" t="inlineStr">
        <is>
          <t>A</t>
        </is>
      </c>
      <c r="K288" s="79" t="n"/>
      <c r="L288" s="79" t="n"/>
      <c r="M288" s="79" t="n"/>
      <c r="N288" s="79" t="n"/>
      <c r="O288" s="79" t="n"/>
      <c r="P288" s="79" t="n"/>
      <c r="Q288" s="79" t="n"/>
      <c r="R288" s="79" t="n"/>
      <c r="S288" s="79" t="n"/>
      <c r="T288" s="79" t="n"/>
      <c r="U288" s="79" t="n"/>
      <c r="V288" s="79" t="n"/>
      <c r="W288" s="79" t="n"/>
      <c r="X288" s="79" t="n"/>
      <c r="Y288" s="79" t="n"/>
      <c r="Z288" s="79" t="n"/>
      <c r="AA288" s="79" t="n"/>
      <c r="AB288" s="79" t="n"/>
      <c r="AC288" s="79" t="n"/>
      <c r="AD288" s="79" t="n"/>
      <c r="AE288" s="79" t="n"/>
      <c r="AF288" s="79" t="n"/>
      <c r="AG288" s="79" t="n"/>
      <c r="AH288" s="79" t="n"/>
      <c r="AI288" s="79" t="n"/>
      <c r="AJ288" s="79" t="n"/>
      <c r="AK288" s="79" t="n"/>
      <c r="AL288" s="79" t="n"/>
      <c r="AM288" s="79" t="n"/>
      <c r="AN288" s="79" t="n"/>
      <c r="AO288" s="79" t="n"/>
      <c r="AP288" s="79" t="n"/>
      <c r="AQ288" s="79" t="n"/>
      <c r="AR288" s="79" t="n"/>
      <c r="AS288" s="79" t="n"/>
      <c r="AT288" s="79" t="n"/>
      <c r="AU288" s="79" t="n"/>
      <c r="AV288" s="79" t="n"/>
      <c r="AW288" s="79" t="n"/>
      <c r="AX288" s="79" t="n"/>
      <c r="AY288" s="79" t="n"/>
      <c r="AZ288" s="79" t="n"/>
      <c r="BA288" s="79" t="n"/>
      <c r="BB288" s="79" t="n"/>
      <c r="BC288" s="79" t="n"/>
      <c r="BD288" s="79" t="n"/>
      <c r="BE288" s="79" t="n"/>
      <c r="BF288" s="79" t="n"/>
      <c r="BH288">
        <f>IF($BK288="",-999,($BK288-$A$1)*24)</f>
        <v/>
      </c>
      <c r="BI288">
        <f>IF($BK288="",-999,(IF($BL288&lt;&gt;"",$BL288,IF($C$1&gt;$BK288,$C$1,$BK288+MAX('Data Input'!E152*$BM288,0.5)/24))-$A$1)*24)</f>
        <v/>
      </c>
      <c r="BJ288">
        <f>IF($BK288="",0,IF($BM288&gt;=1,IF($BN288&lt;=0,2,3),IF($BN288&lt;=0,4,5)))</f>
        <v/>
      </c>
      <c r="BK288">
        <f>IF('Data Input'!Q152="","",'Data Input'!Q152)</f>
        <v/>
      </c>
      <c r="BL288">
        <f>IF('Data Input'!R152="","",'Data Input'!R152)</f>
        <v/>
      </c>
      <c r="BM288">
        <f>'Data Input'!S152</f>
        <v/>
      </c>
      <c r="BN288">
        <f>'Data Input'!Y152</f>
        <v/>
      </c>
      <c r="BO288">
        <f>IF($BM288&gt;=1,-999,MAX(($C$1-$A$1)*24,IF($BK288&lt;&gt;"",$BI288,$BP288-'Data Input'!E152)))</f>
        <v/>
      </c>
      <c r="BP288">
        <f>('Data Input'!D152+'Data Input'!Y152/24-$A$1)*24</f>
        <v/>
      </c>
    </row>
    <row r="289" ht="11.5" customHeight="1">
      <c r="A289" s="68">
        <f>'Data Input'!A153</f>
        <v/>
      </c>
      <c r="B289" s="69">
        <f>'Data Input'!B153</f>
        <v/>
      </c>
      <c r="C289" s="70">
        <f>'Data Input'!O153</f>
        <v/>
      </c>
      <c r="D289" s="71">
        <f>'Data Input'!D153</f>
        <v/>
      </c>
      <c r="E289" s="72">
        <f>'Data Input'!D153+'Data Input'!Y153/24</f>
        <v/>
      </c>
      <c r="F289" s="73">
        <f>'Data Input'!Y153</f>
        <v/>
      </c>
      <c r="G289" s="74">
        <f>'Data Input'!T153</f>
        <v/>
      </c>
      <c r="H289" s="75">
        <f>'Data Input'!S153</f>
        <v/>
      </c>
      <c r="I289" s="57" t="n"/>
      <c r="J289" s="76" t="inlineStr">
        <is>
          <t>P</t>
        </is>
      </c>
      <c r="K289" s="77" t="n"/>
      <c r="L289" s="77" t="n"/>
      <c r="M289" s="77" t="n"/>
      <c r="N289" s="77" t="n"/>
      <c r="O289" s="77" t="n"/>
      <c r="P289" s="77" t="n"/>
      <c r="Q289" s="77" t="n"/>
      <c r="R289" s="77" t="n"/>
      <c r="S289" s="77" t="n"/>
      <c r="T289" s="77" t="n"/>
      <c r="U289" s="77" t="n"/>
      <c r="V289" s="77" t="n"/>
      <c r="W289" s="77" t="n"/>
      <c r="X289" s="77" t="n"/>
      <c r="Y289" s="77" t="n"/>
      <c r="Z289" s="77" t="n"/>
      <c r="AA289" s="77" t="n"/>
      <c r="AB289" s="77" t="n"/>
      <c r="AC289" s="77" t="n"/>
      <c r="AD289" s="77" t="n"/>
      <c r="AE289" s="77" t="n"/>
      <c r="AF289" s="77" t="n"/>
      <c r="AG289" s="77" t="n"/>
      <c r="AH289" s="77" t="n"/>
      <c r="AI289" s="77" t="n"/>
      <c r="AJ289" s="77" t="n"/>
      <c r="AK289" s="77" t="n"/>
      <c r="AL289" s="77" t="n"/>
      <c r="AM289" s="77" t="n"/>
      <c r="AN289" s="77" t="n"/>
      <c r="AO289" s="77" t="n"/>
      <c r="AP289" s="77" t="n"/>
      <c r="AQ289" s="77" t="n"/>
      <c r="AR289" s="77" t="n"/>
      <c r="AS289" s="77" t="n"/>
      <c r="AT289" s="77" t="n"/>
      <c r="AU289" s="77" t="n"/>
      <c r="AV289" s="77" t="n"/>
      <c r="AW289" s="77" t="n"/>
      <c r="AX289" s="77" t="n"/>
      <c r="AY289" s="77" t="n"/>
      <c r="AZ289" s="77" t="n"/>
      <c r="BA289" s="77" t="n"/>
      <c r="BB289" s="77" t="n"/>
      <c r="BC289" s="77" t="n"/>
      <c r="BD289" s="77" t="n"/>
      <c r="BE289" s="77" t="n"/>
      <c r="BF289" s="77" t="n"/>
      <c r="BH289">
        <f>('Data Input'!C153-$A$1)*24</f>
        <v/>
      </c>
      <c r="BI289">
        <f>('Data Input'!D153-$A$1)*24</f>
        <v/>
      </c>
      <c r="BJ289" t="n">
        <v>1</v>
      </c>
      <c r="BO289" t="n">
        <v>-999</v>
      </c>
      <c r="BP289" t="n">
        <v>-999</v>
      </c>
    </row>
    <row r="290" ht="11.5" customHeight="1">
      <c r="A290" s="78" t="n"/>
      <c r="B290" s="78" t="n"/>
      <c r="C290" s="78" t="n"/>
      <c r="D290" s="78" t="n"/>
      <c r="E290" s="78" t="n"/>
      <c r="F290" s="78" t="n"/>
      <c r="G290" s="78" t="n"/>
      <c r="H290" s="78" t="n"/>
      <c r="I290" s="78" t="n"/>
      <c r="J290" s="76" t="inlineStr">
        <is>
          <t>A</t>
        </is>
      </c>
      <c r="K290" s="79" t="n"/>
      <c r="L290" s="79" t="n"/>
      <c r="M290" s="79" t="n"/>
      <c r="N290" s="79" t="n"/>
      <c r="O290" s="79" t="n"/>
      <c r="P290" s="79" t="n"/>
      <c r="Q290" s="79" t="n"/>
      <c r="R290" s="79" t="n"/>
      <c r="S290" s="79" t="n"/>
      <c r="T290" s="79" t="n"/>
      <c r="U290" s="79" t="n"/>
      <c r="V290" s="79" t="n"/>
      <c r="W290" s="79" t="n"/>
      <c r="X290" s="79" t="n"/>
      <c r="Y290" s="79" t="n"/>
      <c r="Z290" s="79" t="n"/>
      <c r="AA290" s="79" t="n"/>
      <c r="AB290" s="79" t="n"/>
      <c r="AC290" s="79" t="n"/>
      <c r="AD290" s="79" t="n"/>
      <c r="AE290" s="79" t="n"/>
      <c r="AF290" s="79" t="n"/>
      <c r="AG290" s="79" t="n"/>
      <c r="AH290" s="79" t="n"/>
      <c r="AI290" s="79" t="n"/>
      <c r="AJ290" s="79" t="n"/>
      <c r="AK290" s="79" t="n"/>
      <c r="AL290" s="79" t="n"/>
      <c r="AM290" s="79" t="n"/>
      <c r="AN290" s="79" t="n"/>
      <c r="AO290" s="79" t="n"/>
      <c r="AP290" s="79" t="n"/>
      <c r="AQ290" s="79" t="n"/>
      <c r="AR290" s="79" t="n"/>
      <c r="AS290" s="79" t="n"/>
      <c r="AT290" s="79" t="n"/>
      <c r="AU290" s="79" t="n"/>
      <c r="AV290" s="79" t="n"/>
      <c r="AW290" s="79" t="n"/>
      <c r="AX290" s="79" t="n"/>
      <c r="AY290" s="79" t="n"/>
      <c r="AZ290" s="79" t="n"/>
      <c r="BA290" s="79" t="n"/>
      <c r="BB290" s="79" t="n"/>
      <c r="BC290" s="79" t="n"/>
      <c r="BD290" s="79" t="n"/>
      <c r="BE290" s="79" t="n"/>
      <c r="BF290" s="79" t="n"/>
      <c r="BH290">
        <f>IF($BK290="",-999,($BK290-$A$1)*24)</f>
        <v/>
      </c>
      <c r="BI290">
        <f>IF($BK290="",-999,(IF($BL290&lt;&gt;"",$BL290,IF($C$1&gt;$BK290,$C$1,$BK290+MAX('Data Input'!E153*$BM290,0.5)/24))-$A$1)*24)</f>
        <v/>
      </c>
      <c r="BJ290">
        <f>IF($BK290="",0,IF($BM290&gt;=1,IF($BN290&lt;=0,2,3),IF($BN290&lt;=0,4,5)))</f>
        <v/>
      </c>
      <c r="BK290">
        <f>IF('Data Input'!Q153="","",'Data Input'!Q153)</f>
        <v/>
      </c>
      <c r="BL290">
        <f>IF('Data Input'!R153="","",'Data Input'!R153)</f>
        <v/>
      </c>
      <c r="BM290">
        <f>'Data Input'!S153</f>
        <v/>
      </c>
      <c r="BN290">
        <f>'Data Input'!Y153</f>
        <v/>
      </c>
      <c r="BO290">
        <f>IF($BM290&gt;=1,-999,MAX(($C$1-$A$1)*24,IF($BK290&lt;&gt;"",$BI290,$BP290-'Data Input'!E153)))</f>
        <v/>
      </c>
      <c r="BP290">
        <f>('Data Input'!D153+'Data Input'!Y153/24-$A$1)*24</f>
        <v/>
      </c>
    </row>
    <row r="291" ht="11.5" customHeight="1">
      <c r="A291" s="68">
        <f>'Data Input'!A154</f>
        <v/>
      </c>
      <c r="B291" s="69">
        <f>'Data Input'!B154</f>
        <v/>
      </c>
      <c r="C291" s="70">
        <f>'Data Input'!O154</f>
        <v/>
      </c>
      <c r="D291" s="71">
        <f>'Data Input'!D154</f>
        <v/>
      </c>
      <c r="E291" s="72">
        <f>'Data Input'!D154+'Data Input'!Y154/24</f>
        <v/>
      </c>
      <c r="F291" s="73">
        <f>'Data Input'!Y154</f>
        <v/>
      </c>
      <c r="G291" s="74">
        <f>'Data Input'!T154</f>
        <v/>
      </c>
      <c r="H291" s="75">
        <f>'Data Input'!S154</f>
        <v/>
      </c>
      <c r="I291" s="57" t="n"/>
      <c r="J291" s="76" t="inlineStr">
        <is>
          <t>P</t>
        </is>
      </c>
      <c r="K291" s="77" t="n"/>
      <c r="L291" s="77" t="n"/>
      <c r="M291" s="77" t="n"/>
      <c r="N291" s="77" t="n"/>
      <c r="O291" s="77" t="n"/>
      <c r="P291" s="77" t="n"/>
      <c r="Q291" s="77" t="n"/>
      <c r="R291" s="77" t="n"/>
      <c r="S291" s="77" t="n"/>
      <c r="T291" s="77" t="n"/>
      <c r="U291" s="77" t="n"/>
      <c r="V291" s="77" t="n"/>
      <c r="W291" s="77" t="n"/>
      <c r="X291" s="77" t="n"/>
      <c r="Y291" s="77" t="n"/>
      <c r="Z291" s="77" t="n"/>
      <c r="AA291" s="77" t="n"/>
      <c r="AB291" s="77" t="n"/>
      <c r="AC291" s="77" t="n"/>
      <c r="AD291" s="77" t="n"/>
      <c r="AE291" s="77" t="n"/>
      <c r="AF291" s="77" t="n"/>
      <c r="AG291" s="77" t="n"/>
      <c r="AH291" s="77" t="n"/>
      <c r="AI291" s="77" t="n"/>
      <c r="AJ291" s="77" t="n"/>
      <c r="AK291" s="77" t="n"/>
      <c r="AL291" s="77" t="n"/>
      <c r="AM291" s="77" t="n"/>
      <c r="AN291" s="77" t="n"/>
      <c r="AO291" s="77" t="n"/>
      <c r="AP291" s="77" t="n"/>
      <c r="AQ291" s="77" t="n"/>
      <c r="AR291" s="77" t="n"/>
      <c r="AS291" s="77" t="n"/>
      <c r="AT291" s="77" t="n"/>
      <c r="AU291" s="77" t="n"/>
      <c r="AV291" s="77" t="n"/>
      <c r="AW291" s="77" t="n"/>
      <c r="AX291" s="77" t="n"/>
      <c r="AY291" s="77" t="n"/>
      <c r="AZ291" s="77" t="n"/>
      <c r="BA291" s="77" t="n"/>
      <c r="BB291" s="77" t="n"/>
      <c r="BC291" s="77" t="n"/>
      <c r="BD291" s="77" t="n"/>
      <c r="BE291" s="77" t="n"/>
      <c r="BF291" s="77" t="n"/>
      <c r="BH291">
        <f>('Data Input'!C154-$A$1)*24</f>
        <v/>
      </c>
      <c r="BI291">
        <f>('Data Input'!D154-$A$1)*24</f>
        <v/>
      </c>
      <c r="BJ291" t="n">
        <v>1</v>
      </c>
      <c r="BO291" t="n">
        <v>-999</v>
      </c>
      <c r="BP291" t="n">
        <v>-999</v>
      </c>
    </row>
    <row r="292" ht="11.5" customHeight="1">
      <c r="A292" s="78" t="n"/>
      <c r="B292" s="78" t="n"/>
      <c r="C292" s="78" t="n"/>
      <c r="D292" s="78" t="n"/>
      <c r="E292" s="78" t="n"/>
      <c r="F292" s="78" t="n"/>
      <c r="G292" s="78" t="n"/>
      <c r="H292" s="78" t="n"/>
      <c r="I292" s="78" t="n"/>
      <c r="J292" s="76" t="inlineStr">
        <is>
          <t>A</t>
        </is>
      </c>
      <c r="K292" s="79" t="n"/>
      <c r="L292" s="79" t="n"/>
      <c r="M292" s="79" t="n"/>
      <c r="N292" s="79" t="n"/>
      <c r="O292" s="79" t="n"/>
      <c r="P292" s="79" t="n"/>
      <c r="Q292" s="79" t="n"/>
      <c r="R292" s="79" t="n"/>
      <c r="S292" s="79" t="n"/>
      <c r="T292" s="79" t="n"/>
      <c r="U292" s="79" t="n"/>
      <c r="V292" s="79" t="n"/>
      <c r="W292" s="79" t="n"/>
      <c r="X292" s="79" t="n"/>
      <c r="Y292" s="79" t="n"/>
      <c r="Z292" s="79" t="n"/>
      <c r="AA292" s="79" t="n"/>
      <c r="AB292" s="79" t="n"/>
      <c r="AC292" s="79" t="n"/>
      <c r="AD292" s="79" t="n"/>
      <c r="AE292" s="79" t="n"/>
      <c r="AF292" s="79" t="n"/>
      <c r="AG292" s="79" t="n"/>
      <c r="AH292" s="79" t="n"/>
      <c r="AI292" s="79" t="n"/>
      <c r="AJ292" s="79" t="n"/>
      <c r="AK292" s="79" t="n"/>
      <c r="AL292" s="79" t="n"/>
      <c r="AM292" s="79" t="n"/>
      <c r="AN292" s="79" t="n"/>
      <c r="AO292" s="79" t="n"/>
      <c r="AP292" s="79" t="n"/>
      <c r="AQ292" s="79" t="n"/>
      <c r="AR292" s="79" t="n"/>
      <c r="AS292" s="79" t="n"/>
      <c r="AT292" s="79" t="n"/>
      <c r="AU292" s="79" t="n"/>
      <c r="AV292" s="79" t="n"/>
      <c r="AW292" s="79" t="n"/>
      <c r="AX292" s="79" t="n"/>
      <c r="AY292" s="79" t="n"/>
      <c r="AZ292" s="79" t="n"/>
      <c r="BA292" s="79" t="n"/>
      <c r="BB292" s="79" t="n"/>
      <c r="BC292" s="79" t="n"/>
      <c r="BD292" s="79" t="n"/>
      <c r="BE292" s="79" t="n"/>
      <c r="BF292" s="79" t="n"/>
      <c r="BH292">
        <f>IF($BK292="",-999,($BK292-$A$1)*24)</f>
        <v/>
      </c>
      <c r="BI292">
        <f>IF($BK292="",-999,(IF($BL292&lt;&gt;"",$BL292,IF($C$1&gt;$BK292,$C$1,$BK292+MAX('Data Input'!E154*$BM292,0.5)/24))-$A$1)*24)</f>
        <v/>
      </c>
      <c r="BJ292">
        <f>IF($BK292="",0,IF($BM292&gt;=1,IF($BN292&lt;=0,2,3),IF($BN292&lt;=0,4,5)))</f>
        <v/>
      </c>
      <c r="BK292">
        <f>IF('Data Input'!Q154="","",'Data Input'!Q154)</f>
        <v/>
      </c>
      <c r="BL292">
        <f>IF('Data Input'!R154="","",'Data Input'!R154)</f>
        <v/>
      </c>
      <c r="BM292">
        <f>'Data Input'!S154</f>
        <v/>
      </c>
      <c r="BN292">
        <f>'Data Input'!Y154</f>
        <v/>
      </c>
      <c r="BO292">
        <f>IF($BM292&gt;=1,-999,MAX(($C$1-$A$1)*24,IF($BK292&lt;&gt;"",$BI292,$BP292-'Data Input'!E154)))</f>
        <v/>
      </c>
      <c r="BP292">
        <f>('Data Input'!D154+'Data Input'!Y154/24-$A$1)*24</f>
        <v/>
      </c>
    </row>
    <row r="293" ht="11.5" customHeight="1">
      <c r="A293" s="68">
        <f>'Data Input'!A155</f>
        <v/>
      </c>
      <c r="B293" s="69">
        <f>'Data Input'!B155</f>
        <v/>
      </c>
      <c r="C293" s="70">
        <f>'Data Input'!O155</f>
        <v/>
      </c>
      <c r="D293" s="71">
        <f>'Data Input'!D155</f>
        <v/>
      </c>
      <c r="E293" s="72">
        <f>'Data Input'!D155+'Data Input'!Y155/24</f>
        <v/>
      </c>
      <c r="F293" s="73">
        <f>'Data Input'!Y155</f>
        <v/>
      </c>
      <c r="G293" s="74">
        <f>'Data Input'!T155</f>
        <v/>
      </c>
      <c r="H293" s="75">
        <f>'Data Input'!S155</f>
        <v/>
      </c>
      <c r="I293" s="57" t="n"/>
      <c r="J293" s="76" t="inlineStr">
        <is>
          <t>P</t>
        </is>
      </c>
      <c r="K293" s="77" t="n"/>
      <c r="L293" s="77" t="n"/>
      <c r="M293" s="77" t="n"/>
      <c r="N293" s="77" t="n"/>
      <c r="O293" s="77" t="n"/>
      <c r="P293" s="77" t="n"/>
      <c r="Q293" s="77" t="n"/>
      <c r="R293" s="77" t="n"/>
      <c r="S293" s="77" t="n"/>
      <c r="T293" s="77" t="n"/>
      <c r="U293" s="77" t="n"/>
      <c r="V293" s="77" t="n"/>
      <c r="W293" s="77" t="n"/>
      <c r="X293" s="77" t="n"/>
      <c r="Y293" s="77" t="n"/>
      <c r="Z293" s="77" t="n"/>
      <c r="AA293" s="77" t="n"/>
      <c r="AB293" s="77" t="n"/>
      <c r="AC293" s="77" t="n"/>
      <c r="AD293" s="77" t="n"/>
      <c r="AE293" s="77" t="n"/>
      <c r="AF293" s="77" t="n"/>
      <c r="AG293" s="77" t="n"/>
      <c r="AH293" s="77" t="n"/>
      <c r="AI293" s="77" t="n"/>
      <c r="AJ293" s="77" t="n"/>
      <c r="AK293" s="77" t="n"/>
      <c r="AL293" s="77" t="n"/>
      <c r="AM293" s="77" t="n"/>
      <c r="AN293" s="77" t="n"/>
      <c r="AO293" s="77" t="n"/>
      <c r="AP293" s="77" t="n"/>
      <c r="AQ293" s="77" t="n"/>
      <c r="AR293" s="77" t="n"/>
      <c r="AS293" s="77" t="n"/>
      <c r="AT293" s="77" t="n"/>
      <c r="AU293" s="77" t="n"/>
      <c r="AV293" s="77" t="n"/>
      <c r="AW293" s="77" t="n"/>
      <c r="AX293" s="77" t="n"/>
      <c r="AY293" s="77" t="n"/>
      <c r="AZ293" s="77" t="n"/>
      <c r="BA293" s="77" t="n"/>
      <c r="BB293" s="77" t="n"/>
      <c r="BC293" s="77" t="n"/>
      <c r="BD293" s="77" t="n"/>
      <c r="BE293" s="77" t="n"/>
      <c r="BF293" s="77" t="n"/>
      <c r="BH293">
        <f>('Data Input'!C155-$A$1)*24</f>
        <v/>
      </c>
      <c r="BI293">
        <f>('Data Input'!D155-$A$1)*24</f>
        <v/>
      </c>
      <c r="BJ293" t="n">
        <v>1</v>
      </c>
      <c r="BO293" t="n">
        <v>-999</v>
      </c>
      <c r="BP293" t="n">
        <v>-999</v>
      </c>
    </row>
    <row r="294" ht="11.5" customHeight="1">
      <c r="A294" s="78" t="n"/>
      <c r="B294" s="78" t="n"/>
      <c r="C294" s="78" t="n"/>
      <c r="D294" s="78" t="n"/>
      <c r="E294" s="78" t="n"/>
      <c r="F294" s="78" t="n"/>
      <c r="G294" s="78" t="n"/>
      <c r="H294" s="78" t="n"/>
      <c r="I294" s="78" t="n"/>
      <c r="J294" s="76" t="inlineStr">
        <is>
          <t>A</t>
        </is>
      </c>
      <c r="K294" s="79" t="n"/>
      <c r="L294" s="79" t="n"/>
      <c r="M294" s="79" t="n"/>
      <c r="N294" s="79" t="n"/>
      <c r="O294" s="79" t="n"/>
      <c r="P294" s="79" t="n"/>
      <c r="Q294" s="79" t="n"/>
      <c r="R294" s="79" t="n"/>
      <c r="S294" s="79" t="n"/>
      <c r="T294" s="79" t="n"/>
      <c r="U294" s="79" t="n"/>
      <c r="V294" s="79" t="n"/>
      <c r="W294" s="79" t="n"/>
      <c r="X294" s="79" t="n"/>
      <c r="Y294" s="79" t="n"/>
      <c r="Z294" s="79" t="n"/>
      <c r="AA294" s="79" t="n"/>
      <c r="AB294" s="79" t="n"/>
      <c r="AC294" s="79" t="n"/>
      <c r="AD294" s="79" t="n"/>
      <c r="AE294" s="79" t="n"/>
      <c r="AF294" s="79" t="n"/>
      <c r="AG294" s="79" t="n"/>
      <c r="AH294" s="79" t="n"/>
      <c r="AI294" s="79" t="n"/>
      <c r="AJ294" s="79" t="n"/>
      <c r="AK294" s="79" t="n"/>
      <c r="AL294" s="79" t="n"/>
      <c r="AM294" s="79" t="n"/>
      <c r="AN294" s="79" t="n"/>
      <c r="AO294" s="79" t="n"/>
      <c r="AP294" s="79" t="n"/>
      <c r="AQ294" s="79" t="n"/>
      <c r="AR294" s="79" t="n"/>
      <c r="AS294" s="79" t="n"/>
      <c r="AT294" s="79" t="n"/>
      <c r="AU294" s="79" t="n"/>
      <c r="AV294" s="79" t="n"/>
      <c r="AW294" s="79" t="n"/>
      <c r="AX294" s="79" t="n"/>
      <c r="AY294" s="79" t="n"/>
      <c r="AZ294" s="79" t="n"/>
      <c r="BA294" s="79" t="n"/>
      <c r="BB294" s="79" t="n"/>
      <c r="BC294" s="79" t="n"/>
      <c r="BD294" s="79" t="n"/>
      <c r="BE294" s="79" t="n"/>
      <c r="BF294" s="79" t="n"/>
      <c r="BH294">
        <f>IF($BK294="",-999,($BK294-$A$1)*24)</f>
        <v/>
      </c>
      <c r="BI294">
        <f>IF($BK294="",-999,(IF($BL294&lt;&gt;"",$BL294,IF($C$1&gt;$BK294,$C$1,$BK294+MAX('Data Input'!E155*$BM294,0.5)/24))-$A$1)*24)</f>
        <v/>
      </c>
      <c r="BJ294">
        <f>IF($BK294="",0,IF($BM294&gt;=1,IF($BN294&lt;=0,2,3),IF($BN294&lt;=0,4,5)))</f>
        <v/>
      </c>
      <c r="BK294">
        <f>IF('Data Input'!Q155="","",'Data Input'!Q155)</f>
        <v/>
      </c>
      <c r="BL294">
        <f>IF('Data Input'!R155="","",'Data Input'!R155)</f>
        <v/>
      </c>
      <c r="BM294">
        <f>'Data Input'!S155</f>
        <v/>
      </c>
      <c r="BN294">
        <f>'Data Input'!Y155</f>
        <v/>
      </c>
      <c r="BO294">
        <f>IF($BM294&gt;=1,-999,MAX(($C$1-$A$1)*24,IF($BK294&lt;&gt;"",$BI294,$BP294-'Data Input'!E155)))</f>
        <v/>
      </c>
      <c r="BP294">
        <f>('Data Input'!D155+'Data Input'!Y155/24-$A$1)*24</f>
        <v/>
      </c>
    </row>
    <row r="295" ht="11.5" customHeight="1">
      <c r="A295" s="68">
        <f>'Data Input'!A156</f>
        <v/>
      </c>
      <c r="B295" s="69">
        <f>'Data Input'!B156</f>
        <v/>
      </c>
      <c r="C295" s="70">
        <f>'Data Input'!O156</f>
        <v/>
      </c>
      <c r="D295" s="71">
        <f>'Data Input'!D156</f>
        <v/>
      </c>
      <c r="E295" s="72">
        <f>'Data Input'!D156+'Data Input'!Y156/24</f>
        <v/>
      </c>
      <c r="F295" s="73">
        <f>'Data Input'!Y156</f>
        <v/>
      </c>
      <c r="G295" s="74">
        <f>'Data Input'!T156</f>
        <v/>
      </c>
      <c r="H295" s="75">
        <f>'Data Input'!S156</f>
        <v/>
      </c>
      <c r="I295" s="57" t="n"/>
      <c r="J295" s="76" t="inlineStr">
        <is>
          <t>P</t>
        </is>
      </c>
      <c r="K295" s="77" t="n"/>
      <c r="L295" s="77" t="n"/>
      <c r="M295" s="77" t="n"/>
      <c r="N295" s="77" t="n"/>
      <c r="O295" s="77" t="n"/>
      <c r="P295" s="77" t="n"/>
      <c r="Q295" s="77" t="n"/>
      <c r="R295" s="77" t="n"/>
      <c r="S295" s="77" t="n"/>
      <c r="T295" s="77" t="n"/>
      <c r="U295" s="77" t="n"/>
      <c r="V295" s="77" t="n"/>
      <c r="W295" s="77" t="n"/>
      <c r="X295" s="77" t="n"/>
      <c r="Y295" s="77" t="n"/>
      <c r="Z295" s="77" t="n"/>
      <c r="AA295" s="77" t="n"/>
      <c r="AB295" s="77" t="n"/>
      <c r="AC295" s="77" t="n"/>
      <c r="AD295" s="77" t="n"/>
      <c r="AE295" s="77" t="n"/>
      <c r="AF295" s="77" t="n"/>
      <c r="AG295" s="77" t="n"/>
      <c r="AH295" s="77" t="n"/>
      <c r="AI295" s="77" t="n"/>
      <c r="AJ295" s="77" t="n"/>
      <c r="AK295" s="77" t="n"/>
      <c r="AL295" s="77" t="n"/>
      <c r="AM295" s="77" t="n"/>
      <c r="AN295" s="77" t="n"/>
      <c r="AO295" s="77" t="n"/>
      <c r="AP295" s="77" t="n"/>
      <c r="AQ295" s="77" t="n"/>
      <c r="AR295" s="77" t="n"/>
      <c r="AS295" s="77" t="n"/>
      <c r="AT295" s="77" t="n"/>
      <c r="AU295" s="77" t="n"/>
      <c r="AV295" s="77" t="n"/>
      <c r="AW295" s="77" t="n"/>
      <c r="AX295" s="77" t="n"/>
      <c r="AY295" s="77" t="n"/>
      <c r="AZ295" s="77" t="n"/>
      <c r="BA295" s="77" t="n"/>
      <c r="BB295" s="77" t="n"/>
      <c r="BC295" s="77" t="n"/>
      <c r="BD295" s="77" t="n"/>
      <c r="BE295" s="77" t="n"/>
      <c r="BF295" s="77" t="n"/>
      <c r="BH295">
        <f>('Data Input'!C156-$A$1)*24</f>
        <v/>
      </c>
      <c r="BI295">
        <f>('Data Input'!D156-$A$1)*24</f>
        <v/>
      </c>
      <c r="BJ295" t="n">
        <v>1</v>
      </c>
      <c r="BO295" t="n">
        <v>-999</v>
      </c>
      <c r="BP295" t="n">
        <v>-999</v>
      </c>
    </row>
    <row r="296" ht="11.5" customHeight="1">
      <c r="A296" s="78" t="n"/>
      <c r="B296" s="78" t="n"/>
      <c r="C296" s="78" t="n"/>
      <c r="D296" s="78" t="n"/>
      <c r="E296" s="78" t="n"/>
      <c r="F296" s="78" t="n"/>
      <c r="G296" s="78" t="n"/>
      <c r="H296" s="78" t="n"/>
      <c r="I296" s="78" t="n"/>
      <c r="J296" s="76" t="inlineStr">
        <is>
          <t>A</t>
        </is>
      </c>
      <c r="K296" s="79" t="n"/>
      <c r="L296" s="79" t="n"/>
      <c r="M296" s="79" t="n"/>
      <c r="N296" s="79" t="n"/>
      <c r="O296" s="79" t="n"/>
      <c r="P296" s="79" t="n"/>
      <c r="Q296" s="79" t="n"/>
      <c r="R296" s="79" t="n"/>
      <c r="S296" s="79" t="n"/>
      <c r="T296" s="79" t="n"/>
      <c r="U296" s="79" t="n"/>
      <c r="V296" s="79" t="n"/>
      <c r="W296" s="79" t="n"/>
      <c r="X296" s="79" t="n"/>
      <c r="Y296" s="79" t="n"/>
      <c r="Z296" s="79" t="n"/>
      <c r="AA296" s="79" t="n"/>
      <c r="AB296" s="79" t="n"/>
      <c r="AC296" s="79" t="n"/>
      <c r="AD296" s="79" t="n"/>
      <c r="AE296" s="79" t="n"/>
      <c r="AF296" s="79" t="n"/>
      <c r="AG296" s="79" t="n"/>
      <c r="AH296" s="79" t="n"/>
      <c r="AI296" s="79" t="n"/>
      <c r="AJ296" s="79" t="n"/>
      <c r="AK296" s="79" t="n"/>
      <c r="AL296" s="79" t="n"/>
      <c r="AM296" s="79" t="n"/>
      <c r="AN296" s="79" t="n"/>
      <c r="AO296" s="79" t="n"/>
      <c r="AP296" s="79" t="n"/>
      <c r="AQ296" s="79" t="n"/>
      <c r="AR296" s="79" t="n"/>
      <c r="AS296" s="79" t="n"/>
      <c r="AT296" s="79" t="n"/>
      <c r="AU296" s="79" t="n"/>
      <c r="AV296" s="79" t="n"/>
      <c r="AW296" s="79" t="n"/>
      <c r="AX296" s="79" t="n"/>
      <c r="AY296" s="79" t="n"/>
      <c r="AZ296" s="79" t="n"/>
      <c r="BA296" s="79" t="n"/>
      <c r="BB296" s="79" t="n"/>
      <c r="BC296" s="79" t="n"/>
      <c r="BD296" s="79" t="n"/>
      <c r="BE296" s="79" t="n"/>
      <c r="BF296" s="79" t="n"/>
      <c r="BH296">
        <f>IF($BK296="",-999,($BK296-$A$1)*24)</f>
        <v/>
      </c>
      <c r="BI296">
        <f>IF($BK296="",-999,(IF($BL296&lt;&gt;"",$BL296,IF($C$1&gt;$BK296,$C$1,$BK296+MAX('Data Input'!E156*$BM296,0.5)/24))-$A$1)*24)</f>
        <v/>
      </c>
      <c r="BJ296">
        <f>IF($BK296="",0,IF($BM296&gt;=1,IF($BN296&lt;=0,2,3),IF($BN296&lt;=0,4,5)))</f>
        <v/>
      </c>
      <c r="BK296">
        <f>IF('Data Input'!Q156="","",'Data Input'!Q156)</f>
        <v/>
      </c>
      <c r="BL296">
        <f>IF('Data Input'!R156="","",'Data Input'!R156)</f>
        <v/>
      </c>
      <c r="BM296">
        <f>'Data Input'!S156</f>
        <v/>
      </c>
      <c r="BN296">
        <f>'Data Input'!Y156</f>
        <v/>
      </c>
      <c r="BO296">
        <f>IF($BM296&gt;=1,-999,MAX(($C$1-$A$1)*24,IF($BK296&lt;&gt;"",$BI296,$BP296-'Data Input'!E156)))</f>
        <v/>
      </c>
      <c r="BP296">
        <f>('Data Input'!D156+'Data Input'!Y156/24-$A$1)*24</f>
        <v/>
      </c>
    </row>
    <row r="297" ht="11.5" customHeight="1">
      <c r="A297" s="68">
        <f>'Data Input'!A157</f>
        <v/>
      </c>
      <c r="B297" s="69">
        <f>'Data Input'!B157</f>
        <v/>
      </c>
      <c r="C297" s="70">
        <f>'Data Input'!O157</f>
        <v/>
      </c>
      <c r="D297" s="71">
        <f>'Data Input'!D157</f>
        <v/>
      </c>
      <c r="E297" s="72">
        <f>'Data Input'!D157+'Data Input'!Y157/24</f>
        <v/>
      </c>
      <c r="F297" s="73">
        <f>'Data Input'!Y157</f>
        <v/>
      </c>
      <c r="G297" s="74">
        <f>'Data Input'!T157</f>
        <v/>
      </c>
      <c r="H297" s="75">
        <f>'Data Input'!S157</f>
        <v/>
      </c>
      <c r="I297" s="57" t="n"/>
      <c r="J297" s="76" t="inlineStr">
        <is>
          <t>P</t>
        </is>
      </c>
      <c r="K297" s="77" t="n"/>
      <c r="L297" s="77" t="n"/>
      <c r="M297" s="77" t="n"/>
      <c r="N297" s="77" t="n"/>
      <c r="O297" s="77" t="n"/>
      <c r="P297" s="77" t="n"/>
      <c r="Q297" s="77" t="n"/>
      <c r="R297" s="77" t="n"/>
      <c r="S297" s="77" t="n"/>
      <c r="T297" s="77" t="n"/>
      <c r="U297" s="77" t="n"/>
      <c r="V297" s="77" t="n"/>
      <c r="W297" s="77" t="n"/>
      <c r="X297" s="77" t="n"/>
      <c r="Y297" s="77" t="n"/>
      <c r="Z297" s="77" t="n"/>
      <c r="AA297" s="77" t="n"/>
      <c r="AB297" s="77" t="n"/>
      <c r="AC297" s="77" t="n"/>
      <c r="AD297" s="77" t="n"/>
      <c r="AE297" s="77" t="n"/>
      <c r="AF297" s="77" t="n"/>
      <c r="AG297" s="77" t="n"/>
      <c r="AH297" s="77" t="n"/>
      <c r="AI297" s="77" t="n"/>
      <c r="AJ297" s="77" t="n"/>
      <c r="AK297" s="77" t="n"/>
      <c r="AL297" s="77" t="n"/>
      <c r="AM297" s="77" t="n"/>
      <c r="AN297" s="77" t="n"/>
      <c r="AO297" s="77" t="n"/>
      <c r="AP297" s="77" t="n"/>
      <c r="AQ297" s="77" t="n"/>
      <c r="AR297" s="77" t="n"/>
      <c r="AS297" s="77" t="n"/>
      <c r="AT297" s="77" t="n"/>
      <c r="AU297" s="77" t="n"/>
      <c r="AV297" s="77" t="n"/>
      <c r="AW297" s="77" t="n"/>
      <c r="AX297" s="77" t="n"/>
      <c r="AY297" s="77" t="n"/>
      <c r="AZ297" s="77" t="n"/>
      <c r="BA297" s="77" t="n"/>
      <c r="BB297" s="77" t="n"/>
      <c r="BC297" s="77" t="n"/>
      <c r="BD297" s="77" t="n"/>
      <c r="BE297" s="77" t="n"/>
      <c r="BF297" s="77" t="n"/>
      <c r="BH297">
        <f>('Data Input'!C157-$A$1)*24</f>
        <v/>
      </c>
      <c r="BI297">
        <f>('Data Input'!D157-$A$1)*24</f>
        <v/>
      </c>
      <c r="BJ297" t="n">
        <v>1</v>
      </c>
      <c r="BO297" t="n">
        <v>-999</v>
      </c>
      <c r="BP297" t="n">
        <v>-999</v>
      </c>
    </row>
    <row r="298" ht="11.5" customHeight="1">
      <c r="A298" s="78" t="n"/>
      <c r="B298" s="78" t="n"/>
      <c r="C298" s="78" t="n"/>
      <c r="D298" s="78" t="n"/>
      <c r="E298" s="78" t="n"/>
      <c r="F298" s="78" t="n"/>
      <c r="G298" s="78" t="n"/>
      <c r="H298" s="78" t="n"/>
      <c r="I298" s="78" t="n"/>
      <c r="J298" s="76" t="inlineStr">
        <is>
          <t>A</t>
        </is>
      </c>
      <c r="K298" s="79" t="n"/>
      <c r="L298" s="79" t="n"/>
      <c r="M298" s="79" t="n"/>
      <c r="N298" s="79" t="n"/>
      <c r="O298" s="79" t="n"/>
      <c r="P298" s="79" t="n"/>
      <c r="Q298" s="79" t="n"/>
      <c r="R298" s="79" t="n"/>
      <c r="S298" s="79" t="n"/>
      <c r="T298" s="79" t="n"/>
      <c r="U298" s="79" t="n"/>
      <c r="V298" s="79" t="n"/>
      <c r="W298" s="79" t="n"/>
      <c r="X298" s="79" t="n"/>
      <c r="Y298" s="79" t="n"/>
      <c r="Z298" s="79" t="n"/>
      <c r="AA298" s="79" t="n"/>
      <c r="AB298" s="79" t="n"/>
      <c r="AC298" s="79" t="n"/>
      <c r="AD298" s="79" t="n"/>
      <c r="AE298" s="79" t="n"/>
      <c r="AF298" s="79" t="n"/>
      <c r="AG298" s="79" t="n"/>
      <c r="AH298" s="79" t="n"/>
      <c r="AI298" s="79" t="n"/>
      <c r="AJ298" s="79" t="n"/>
      <c r="AK298" s="79" t="n"/>
      <c r="AL298" s="79" t="n"/>
      <c r="AM298" s="79" t="n"/>
      <c r="AN298" s="79" t="n"/>
      <c r="AO298" s="79" t="n"/>
      <c r="AP298" s="79" t="n"/>
      <c r="AQ298" s="79" t="n"/>
      <c r="AR298" s="79" t="n"/>
      <c r="AS298" s="79" t="n"/>
      <c r="AT298" s="79" t="n"/>
      <c r="AU298" s="79" t="n"/>
      <c r="AV298" s="79" t="n"/>
      <c r="AW298" s="79" t="n"/>
      <c r="AX298" s="79" t="n"/>
      <c r="AY298" s="79" t="n"/>
      <c r="AZ298" s="79" t="n"/>
      <c r="BA298" s="79" t="n"/>
      <c r="BB298" s="79" t="n"/>
      <c r="BC298" s="79" t="n"/>
      <c r="BD298" s="79" t="n"/>
      <c r="BE298" s="79" t="n"/>
      <c r="BF298" s="79" t="n"/>
      <c r="BH298">
        <f>IF($BK298="",-999,($BK298-$A$1)*24)</f>
        <v/>
      </c>
      <c r="BI298">
        <f>IF($BK298="",-999,(IF($BL298&lt;&gt;"",$BL298,IF($C$1&gt;$BK298,$C$1,$BK298+MAX('Data Input'!E157*$BM298,0.5)/24))-$A$1)*24)</f>
        <v/>
      </c>
      <c r="BJ298">
        <f>IF($BK298="",0,IF($BM298&gt;=1,IF($BN298&lt;=0,2,3),IF($BN298&lt;=0,4,5)))</f>
        <v/>
      </c>
      <c r="BK298">
        <f>IF('Data Input'!Q157="","",'Data Input'!Q157)</f>
        <v/>
      </c>
      <c r="BL298">
        <f>IF('Data Input'!R157="","",'Data Input'!R157)</f>
        <v/>
      </c>
      <c r="BM298">
        <f>'Data Input'!S157</f>
        <v/>
      </c>
      <c r="BN298">
        <f>'Data Input'!Y157</f>
        <v/>
      </c>
      <c r="BO298">
        <f>IF($BM298&gt;=1,-999,MAX(($C$1-$A$1)*24,IF($BK298&lt;&gt;"",$BI298,$BP298-'Data Input'!E157)))</f>
        <v/>
      </c>
      <c r="BP298">
        <f>('Data Input'!D157+'Data Input'!Y157/24-$A$1)*24</f>
        <v/>
      </c>
    </row>
    <row r="299" ht="11.5" customHeight="1">
      <c r="A299" s="68">
        <f>'Data Input'!A158</f>
        <v/>
      </c>
      <c r="B299" s="69">
        <f>'Data Input'!B158</f>
        <v/>
      </c>
      <c r="C299" s="70">
        <f>'Data Input'!O158</f>
        <v/>
      </c>
      <c r="D299" s="71">
        <f>'Data Input'!D158</f>
        <v/>
      </c>
      <c r="E299" s="72">
        <f>'Data Input'!D158+'Data Input'!Y158/24</f>
        <v/>
      </c>
      <c r="F299" s="73">
        <f>'Data Input'!Y158</f>
        <v/>
      </c>
      <c r="G299" s="74">
        <f>'Data Input'!T158</f>
        <v/>
      </c>
      <c r="H299" s="75">
        <f>'Data Input'!S158</f>
        <v/>
      </c>
      <c r="I299" s="57" t="n"/>
      <c r="J299" s="76" t="inlineStr">
        <is>
          <t>P</t>
        </is>
      </c>
      <c r="K299" s="77" t="n"/>
      <c r="L299" s="77" t="n"/>
      <c r="M299" s="77" t="n"/>
      <c r="N299" s="77" t="n"/>
      <c r="O299" s="77" t="n"/>
      <c r="P299" s="77" t="n"/>
      <c r="Q299" s="77" t="n"/>
      <c r="R299" s="77" t="n"/>
      <c r="S299" s="77" t="n"/>
      <c r="T299" s="77" t="n"/>
      <c r="U299" s="77" t="n"/>
      <c r="V299" s="77" t="n"/>
      <c r="W299" s="77" t="n"/>
      <c r="X299" s="77" t="n"/>
      <c r="Y299" s="77" t="n"/>
      <c r="Z299" s="77" t="n"/>
      <c r="AA299" s="77" t="n"/>
      <c r="AB299" s="77" t="n"/>
      <c r="AC299" s="77" t="n"/>
      <c r="AD299" s="77" t="n"/>
      <c r="AE299" s="77" t="n"/>
      <c r="AF299" s="77" t="n"/>
      <c r="AG299" s="77" t="n"/>
      <c r="AH299" s="77" t="n"/>
      <c r="AI299" s="77" t="n"/>
      <c r="AJ299" s="77" t="n"/>
      <c r="AK299" s="77" t="n"/>
      <c r="AL299" s="77" t="n"/>
      <c r="AM299" s="77" t="n"/>
      <c r="AN299" s="77" t="n"/>
      <c r="AO299" s="77" t="n"/>
      <c r="AP299" s="77" t="n"/>
      <c r="AQ299" s="77" t="n"/>
      <c r="AR299" s="77" t="n"/>
      <c r="AS299" s="77" t="n"/>
      <c r="AT299" s="77" t="n"/>
      <c r="AU299" s="77" t="n"/>
      <c r="AV299" s="77" t="n"/>
      <c r="AW299" s="77" t="n"/>
      <c r="AX299" s="77" t="n"/>
      <c r="AY299" s="77" t="n"/>
      <c r="AZ299" s="77" t="n"/>
      <c r="BA299" s="77" t="n"/>
      <c r="BB299" s="77" t="n"/>
      <c r="BC299" s="77" t="n"/>
      <c r="BD299" s="77" t="n"/>
      <c r="BE299" s="77" t="n"/>
      <c r="BF299" s="77" t="n"/>
      <c r="BH299">
        <f>('Data Input'!C158-$A$1)*24</f>
        <v/>
      </c>
      <c r="BI299">
        <f>('Data Input'!D158-$A$1)*24</f>
        <v/>
      </c>
      <c r="BJ299" t="n">
        <v>1</v>
      </c>
      <c r="BO299" t="n">
        <v>-999</v>
      </c>
      <c r="BP299" t="n">
        <v>-999</v>
      </c>
    </row>
    <row r="300" ht="11.5" customHeight="1">
      <c r="A300" s="78" t="n"/>
      <c r="B300" s="78" t="n"/>
      <c r="C300" s="78" t="n"/>
      <c r="D300" s="78" t="n"/>
      <c r="E300" s="78" t="n"/>
      <c r="F300" s="78" t="n"/>
      <c r="G300" s="78" t="n"/>
      <c r="H300" s="78" t="n"/>
      <c r="I300" s="78" t="n"/>
      <c r="J300" s="76" t="inlineStr">
        <is>
          <t>A</t>
        </is>
      </c>
      <c r="K300" s="79" t="n"/>
      <c r="L300" s="79" t="n"/>
      <c r="M300" s="79" t="n"/>
      <c r="N300" s="79" t="n"/>
      <c r="O300" s="79" t="n"/>
      <c r="P300" s="79" t="n"/>
      <c r="Q300" s="79" t="n"/>
      <c r="R300" s="79" t="n"/>
      <c r="S300" s="79" t="n"/>
      <c r="T300" s="79" t="n"/>
      <c r="U300" s="79" t="n"/>
      <c r="V300" s="79" t="n"/>
      <c r="W300" s="79" t="n"/>
      <c r="X300" s="79" t="n"/>
      <c r="Y300" s="79" t="n"/>
      <c r="Z300" s="79" t="n"/>
      <c r="AA300" s="79" t="n"/>
      <c r="AB300" s="79" t="n"/>
      <c r="AC300" s="79" t="n"/>
      <c r="AD300" s="79" t="n"/>
      <c r="AE300" s="79" t="n"/>
      <c r="AF300" s="79" t="n"/>
      <c r="AG300" s="79" t="n"/>
      <c r="AH300" s="79" t="n"/>
      <c r="AI300" s="79" t="n"/>
      <c r="AJ300" s="79" t="n"/>
      <c r="AK300" s="79" t="n"/>
      <c r="AL300" s="79" t="n"/>
      <c r="AM300" s="79" t="n"/>
      <c r="AN300" s="79" t="n"/>
      <c r="AO300" s="79" t="n"/>
      <c r="AP300" s="79" t="n"/>
      <c r="AQ300" s="79" t="n"/>
      <c r="AR300" s="79" t="n"/>
      <c r="AS300" s="79" t="n"/>
      <c r="AT300" s="79" t="n"/>
      <c r="AU300" s="79" t="n"/>
      <c r="AV300" s="79" t="n"/>
      <c r="AW300" s="79" t="n"/>
      <c r="AX300" s="79" t="n"/>
      <c r="AY300" s="79" t="n"/>
      <c r="AZ300" s="79" t="n"/>
      <c r="BA300" s="79" t="n"/>
      <c r="BB300" s="79" t="n"/>
      <c r="BC300" s="79" t="n"/>
      <c r="BD300" s="79" t="n"/>
      <c r="BE300" s="79" t="n"/>
      <c r="BF300" s="79" t="n"/>
      <c r="BH300">
        <f>IF($BK300="",-999,($BK300-$A$1)*24)</f>
        <v/>
      </c>
      <c r="BI300">
        <f>IF($BK300="",-999,(IF($BL300&lt;&gt;"",$BL300,IF($C$1&gt;$BK300,$C$1,$BK300+MAX('Data Input'!E158*$BM300,0.5)/24))-$A$1)*24)</f>
        <v/>
      </c>
      <c r="BJ300">
        <f>IF($BK300="",0,IF($BM300&gt;=1,IF($BN300&lt;=0,2,3),IF($BN300&lt;=0,4,5)))</f>
        <v/>
      </c>
      <c r="BK300">
        <f>IF('Data Input'!Q158="","",'Data Input'!Q158)</f>
        <v/>
      </c>
      <c r="BL300">
        <f>IF('Data Input'!R158="","",'Data Input'!R158)</f>
        <v/>
      </c>
      <c r="BM300">
        <f>'Data Input'!S158</f>
        <v/>
      </c>
      <c r="BN300">
        <f>'Data Input'!Y158</f>
        <v/>
      </c>
      <c r="BO300">
        <f>IF($BM300&gt;=1,-999,MAX(($C$1-$A$1)*24,IF($BK300&lt;&gt;"",$BI300,$BP300-'Data Input'!E158)))</f>
        <v/>
      </c>
      <c r="BP300">
        <f>('Data Input'!D158+'Data Input'!Y158/24-$A$1)*24</f>
        <v/>
      </c>
    </row>
    <row r="301" ht="11.5" customHeight="1">
      <c r="A301" s="68">
        <f>'Data Input'!A159</f>
        <v/>
      </c>
      <c r="B301" s="69">
        <f>'Data Input'!B159</f>
        <v/>
      </c>
      <c r="C301" s="70">
        <f>'Data Input'!O159</f>
        <v/>
      </c>
      <c r="D301" s="71">
        <f>'Data Input'!D159</f>
        <v/>
      </c>
      <c r="E301" s="72">
        <f>'Data Input'!D159+'Data Input'!Y159/24</f>
        <v/>
      </c>
      <c r="F301" s="73">
        <f>'Data Input'!Y159</f>
        <v/>
      </c>
      <c r="G301" s="74">
        <f>'Data Input'!T159</f>
        <v/>
      </c>
      <c r="H301" s="75">
        <f>'Data Input'!S159</f>
        <v/>
      </c>
      <c r="I301" s="57" t="n"/>
      <c r="J301" s="76" t="inlineStr">
        <is>
          <t>P</t>
        </is>
      </c>
      <c r="K301" s="77" t="n"/>
      <c r="L301" s="77" t="n"/>
      <c r="M301" s="77" t="n"/>
      <c r="N301" s="77" t="n"/>
      <c r="O301" s="77" t="n"/>
      <c r="P301" s="77" t="n"/>
      <c r="Q301" s="77" t="n"/>
      <c r="R301" s="77" t="n"/>
      <c r="S301" s="77" t="n"/>
      <c r="T301" s="77" t="n"/>
      <c r="U301" s="77" t="n"/>
      <c r="V301" s="77" t="n"/>
      <c r="W301" s="77" t="n"/>
      <c r="X301" s="77" t="n"/>
      <c r="Y301" s="77" t="n"/>
      <c r="Z301" s="77" t="n"/>
      <c r="AA301" s="77" t="n"/>
      <c r="AB301" s="77" t="n"/>
      <c r="AC301" s="77" t="n"/>
      <c r="AD301" s="77" t="n"/>
      <c r="AE301" s="77" t="n"/>
      <c r="AF301" s="77" t="n"/>
      <c r="AG301" s="77" t="n"/>
      <c r="AH301" s="77" t="n"/>
      <c r="AI301" s="77" t="n"/>
      <c r="AJ301" s="77" t="n"/>
      <c r="AK301" s="77" t="n"/>
      <c r="AL301" s="77" t="n"/>
      <c r="AM301" s="77" t="n"/>
      <c r="AN301" s="77" t="n"/>
      <c r="AO301" s="77" t="n"/>
      <c r="AP301" s="77" t="n"/>
      <c r="AQ301" s="77" t="n"/>
      <c r="AR301" s="77" t="n"/>
      <c r="AS301" s="77" t="n"/>
      <c r="AT301" s="77" t="n"/>
      <c r="AU301" s="77" t="n"/>
      <c r="AV301" s="77" t="n"/>
      <c r="AW301" s="77" t="n"/>
      <c r="AX301" s="77" t="n"/>
      <c r="AY301" s="77" t="n"/>
      <c r="AZ301" s="77" t="n"/>
      <c r="BA301" s="77" t="n"/>
      <c r="BB301" s="77" t="n"/>
      <c r="BC301" s="77" t="n"/>
      <c r="BD301" s="77" t="n"/>
      <c r="BE301" s="77" t="n"/>
      <c r="BF301" s="77" t="n"/>
      <c r="BH301">
        <f>('Data Input'!C159-$A$1)*24</f>
        <v/>
      </c>
      <c r="BI301">
        <f>('Data Input'!D159-$A$1)*24</f>
        <v/>
      </c>
      <c r="BJ301" t="n">
        <v>1</v>
      </c>
      <c r="BO301" t="n">
        <v>-999</v>
      </c>
      <c r="BP301" t="n">
        <v>-999</v>
      </c>
    </row>
    <row r="302" ht="11.5" customHeight="1">
      <c r="A302" s="78" t="n"/>
      <c r="B302" s="78" t="n"/>
      <c r="C302" s="78" t="n"/>
      <c r="D302" s="78" t="n"/>
      <c r="E302" s="78" t="n"/>
      <c r="F302" s="78" t="n"/>
      <c r="G302" s="78" t="n"/>
      <c r="H302" s="78" t="n"/>
      <c r="I302" s="78" t="n"/>
      <c r="J302" s="76" t="inlineStr">
        <is>
          <t>A</t>
        </is>
      </c>
      <c r="K302" s="79" t="n"/>
      <c r="L302" s="79" t="n"/>
      <c r="M302" s="79" t="n"/>
      <c r="N302" s="79" t="n"/>
      <c r="O302" s="79" t="n"/>
      <c r="P302" s="79" t="n"/>
      <c r="Q302" s="79" t="n"/>
      <c r="R302" s="79" t="n"/>
      <c r="S302" s="79" t="n"/>
      <c r="T302" s="79" t="n"/>
      <c r="U302" s="79" t="n"/>
      <c r="V302" s="79" t="n"/>
      <c r="W302" s="79" t="n"/>
      <c r="X302" s="79" t="n"/>
      <c r="Y302" s="79" t="n"/>
      <c r="Z302" s="79" t="n"/>
      <c r="AA302" s="79" t="n"/>
      <c r="AB302" s="79" t="n"/>
      <c r="AC302" s="79" t="n"/>
      <c r="AD302" s="79" t="n"/>
      <c r="AE302" s="79" t="n"/>
      <c r="AF302" s="79" t="n"/>
      <c r="AG302" s="79" t="n"/>
      <c r="AH302" s="79" t="n"/>
      <c r="AI302" s="79" t="n"/>
      <c r="AJ302" s="79" t="n"/>
      <c r="AK302" s="79" t="n"/>
      <c r="AL302" s="79" t="n"/>
      <c r="AM302" s="79" t="n"/>
      <c r="AN302" s="79" t="n"/>
      <c r="AO302" s="79" t="n"/>
      <c r="AP302" s="79" t="n"/>
      <c r="AQ302" s="79" t="n"/>
      <c r="AR302" s="79" t="n"/>
      <c r="AS302" s="79" t="n"/>
      <c r="AT302" s="79" t="n"/>
      <c r="AU302" s="79" t="n"/>
      <c r="AV302" s="79" t="n"/>
      <c r="AW302" s="79" t="n"/>
      <c r="AX302" s="79" t="n"/>
      <c r="AY302" s="79" t="n"/>
      <c r="AZ302" s="79" t="n"/>
      <c r="BA302" s="79" t="n"/>
      <c r="BB302" s="79" t="n"/>
      <c r="BC302" s="79" t="n"/>
      <c r="BD302" s="79" t="n"/>
      <c r="BE302" s="79" t="n"/>
      <c r="BF302" s="79" t="n"/>
      <c r="BH302">
        <f>IF($BK302="",-999,($BK302-$A$1)*24)</f>
        <v/>
      </c>
      <c r="BI302">
        <f>IF($BK302="",-999,(IF($BL302&lt;&gt;"",$BL302,IF($C$1&gt;$BK302,$C$1,$BK302+MAX('Data Input'!E159*$BM302,0.5)/24))-$A$1)*24)</f>
        <v/>
      </c>
      <c r="BJ302">
        <f>IF($BK302="",0,IF($BM302&gt;=1,IF($BN302&lt;=0,2,3),IF($BN302&lt;=0,4,5)))</f>
        <v/>
      </c>
      <c r="BK302">
        <f>IF('Data Input'!Q159="","",'Data Input'!Q159)</f>
        <v/>
      </c>
      <c r="BL302">
        <f>IF('Data Input'!R159="","",'Data Input'!R159)</f>
        <v/>
      </c>
      <c r="BM302">
        <f>'Data Input'!S159</f>
        <v/>
      </c>
      <c r="BN302">
        <f>'Data Input'!Y159</f>
        <v/>
      </c>
      <c r="BO302">
        <f>IF($BM302&gt;=1,-999,MAX(($C$1-$A$1)*24,IF($BK302&lt;&gt;"",$BI302,$BP302-'Data Input'!E159)))</f>
        <v/>
      </c>
      <c r="BP302">
        <f>('Data Input'!D159+'Data Input'!Y159/24-$A$1)*24</f>
        <v/>
      </c>
    </row>
    <row r="303" ht="11.5" customHeight="1">
      <c r="A303" s="68">
        <f>'Data Input'!A160</f>
        <v/>
      </c>
      <c r="B303" s="69">
        <f>'Data Input'!B160</f>
        <v/>
      </c>
      <c r="C303" s="70">
        <f>'Data Input'!O160</f>
        <v/>
      </c>
      <c r="D303" s="71">
        <f>'Data Input'!D160</f>
        <v/>
      </c>
      <c r="E303" s="72">
        <f>'Data Input'!D160+'Data Input'!Y160/24</f>
        <v/>
      </c>
      <c r="F303" s="73">
        <f>'Data Input'!Y160</f>
        <v/>
      </c>
      <c r="G303" s="74">
        <f>'Data Input'!T160</f>
        <v/>
      </c>
      <c r="H303" s="75">
        <f>'Data Input'!S160</f>
        <v/>
      </c>
      <c r="I303" s="57" t="n"/>
      <c r="J303" s="76" t="inlineStr">
        <is>
          <t>P</t>
        </is>
      </c>
      <c r="K303" s="77" t="n"/>
      <c r="L303" s="77" t="n"/>
      <c r="M303" s="77" t="n"/>
      <c r="N303" s="77" t="n"/>
      <c r="O303" s="77" t="n"/>
      <c r="P303" s="77" t="n"/>
      <c r="Q303" s="77" t="n"/>
      <c r="R303" s="77" t="n"/>
      <c r="S303" s="77" t="n"/>
      <c r="T303" s="77" t="n"/>
      <c r="U303" s="77" t="n"/>
      <c r="V303" s="77" t="n"/>
      <c r="W303" s="77" t="n"/>
      <c r="X303" s="77" t="n"/>
      <c r="Y303" s="77" t="n"/>
      <c r="Z303" s="77" t="n"/>
      <c r="AA303" s="77" t="n"/>
      <c r="AB303" s="77" t="n"/>
      <c r="AC303" s="77" t="n"/>
      <c r="AD303" s="77" t="n"/>
      <c r="AE303" s="77" t="n"/>
      <c r="AF303" s="77" t="n"/>
      <c r="AG303" s="77" t="n"/>
      <c r="AH303" s="77" t="n"/>
      <c r="AI303" s="77" t="n"/>
      <c r="AJ303" s="77" t="n"/>
      <c r="AK303" s="77" t="n"/>
      <c r="AL303" s="77" t="n"/>
      <c r="AM303" s="77" t="n"/>
      <c r="AN303" s="77" t="n"/>
      <c r="AO303" s="77" t="n"/>
      <c r="AP303" s="77" t="n"/>
      <c r="AQ303" s="77" t="n"/>
      <c r="AR303" s="77" t="n"/>
      <c r="AS303" s="77" t="n"/>
      <c r="AT303" s="77" t="n"/>
      <c r="AU303" s="77" t="n"/>
      <c r="AV303" s="77" t="n"/>
      <c r="AW303" s="77" t="n"/>
      <c r="AX303" s="77" t="n"/>
      <c r="AY303" s="77" t="n"/>
      <c r="AZ303" s="77" t="n"/>
      <c r="BA303" s="77" t="n"/>
      <c r="BB303" s="77" t="n"/>
      <c r="BC303" s="77" t="n"/>
      <c r="BD303" s="77" t="n"/>
      <c r="BE303" s="77" t="n"/>
      <c r="BF303" s="77" t="n"/>
      <c r="BH303">
        <f>('Data Input'!C160-$A$1)*24</f>
        <v/>
      </c>
      <c r="BI303">
        <f>('Data Input'!D160-$A$1)*24</f>
        <v/>
      </c>
      <c r="BJ303" t="n">
        <v>1</v>
      </c>
      <c r="BO303" t="n">
        <v>-999</v>
      </c>
      <c r="BP303" t="n">
        <v>-999</v>
      </c>
    </row>
    <row r="304" ht="11.5" customHeight="1">
      <c r="A304" s="78" t="n"/>
      <c r="B304" s="78" t="n"/>
      <c r="C304" s="78" t="n"/>
      <c r="D304" s="78" t="n"/>
      <c r="E304" s="78" t="n"/>
      <c r="F304" s="78" t="n"/>
      <c r="G304" s="78" t="n"/>
      <c r="H304" s="78" t="n"/>
      <c r="I304" s="78" t="n"/>
      <c r="J304" s="76" t="inlineStr">
        <is>
          <t>A</t>
        </is>
      </c>
      <c r="K304" s="79" t="n"/>
      <c r="L304" s="79" t="n"/>
      <c r="M304" s="79" t="n"/>
      <c r="N304" s="79" t="n"/>
      <c r="O304" s="79" t="n"/>
      <c r="P304" s="79" t="n"/>
      <c r="Q304" s="79" t="n"/>
      <c r="R304" s="79" t="n"/>
      <c r="S304" s="79" t="n"/>
      <c r="T304" s="79" t="n"/>
      <c r="U304" s="79" t="n"/>
      <c r="V304" s="79" t="n"/>
      <c r="W304" s="79" t="n"/>
      <c r="X304" s="79" t="n"/>
      <c r="Y304" s="79" t="n"/>
      <c r="Z304" s="79" t="n"/>
      <c r="AA304" s="79" t="n"/>
      <c r="AB304" s="79" t="n"/>
      <c r="AC304" s="79" t="n"/>
      <c r="AD304" s="79" t="n"/>
      <c r="AE304" s="79" t="n"/>
      <c r="AF304" s="79" t="n"/>
      <c r="AG304" s="79" t="n"/>
      <c r="AH304" s="79" t="n"/>
      <c r="AI304" s="79" t="n"/>
      <c r="AJ304" s="79" t="n"/>
      <c r="AK304" s="79" t="n"/>
      <c r="AL304" s="79" t="n"/>
      <c r="AM304" s="79" t="n"/>
      <c r="AN304" s="79" t="n"/>
      <c r="AO304" s="79" t="n"/>
      <c r="AP304" s="79" t="n"/>
      <c r="AQ304" s="79" t="n"/>
      <c r="AR304" s="79" t="n"/>
      <c r="AS304" s="79" t="n"/>
      <c r="AT304" s="79" t="n"/>
      <c r="AU304" s="79" t="n"/>
      <c r="AV304" s="79" t="n"/>
      <c r="AW304" s="79" t="n"/>
      <c r="AX304" s="79" t="n"/>
      <c r="AY304" s="79" t="n"/>
      <c r="AZ304" s="79" t="n"/>
      <c r="BA304" s="79" t="n"/>
      <c r="BB304" s="79" t="n"/>
      <c r="BC304" s="79" t="n"/>
      <c r="BD304" s="79" t="n"/>
      <c r="BE304" s="79" t="n"/>
      <c r="BF304" s="79" t="n"/>
      <c r="BH304">
        <f>IF($BK304="",-999,($BK304-$A$1)*24)</f>
        <v/>
      </c>
      <c r="BI304">
        <f>IF($BK304="",-999,(IF($BL304&lt;&gt;"",$BL304,IF($C$1&gt;$BK304,$C$1,$BK304+MAX('Data Input'!E160*$BM304,0.5)/24))-$A$1)*24)</f>
        <v/>
      </c>
      <c r="BJ304">
        <f>IF($BK304="",0,IF($BM304&gt;=1,IF($BN304&lt;=0,2,3),IF($BN304&lt;=0,4,5)))</f>
        <v/>
      </c>
      <c r="BK304">
        <f>IF('Data Input'!Q160="","",'Data Input'!Q160)</f>
        <v/>
      </c>
      <c r="BL304">
        <f>IF('Data Input'!R160="","",'Data Input'!R160)</f>
        <v/>
      </c>
      <c r="BM304">
        <f>'Data Input'!S160</f>
        <v/>
      </c>
      <c r="BN304">
        <f>'Data Input'!Y160</f>
        <v/>
      </c>
      <c r="BO304">
        <f>IF($BM304&gt;=1,-999,MAX(($C$1-$A$1)*24,IF($BK304&lt;&gt;"",$BI304,$BP304-'Data Input'!E160)))</f>
        <v/>
      </c>
      <c r="BP304">
        <f>('Data Input'!D160+'Data Input'!Y160/24-$A$1)*24</f>
        <v/>
      </c>
    </row>
    <row r="305" ht="11.5" customHeight="1">
      <c r="A305" s="68">
        <f>'Data Input'!A161</f>
        <v/>
      </c>
      <c r="B305" s="69">
        <f>'Data Input'!B161</f>
        <v/>
      </c>
      <c r="C305" s="70">
        <f>'Data Input'!O161</f>
        <v/>
      </c>
      <c r="D305" s="71">
        <f>'Data Input'!D161</f>
        <v/>
      </c>
      <c r="E305" s="72">
        <f>'Data Input'!D161+'Data Input'!Y161/24</f>
        <v/>
      </c>
      <c r="F305" s="73">
        <f>'Data Input'!Y161</f>
        <v/>
      </c>
      <c r="G305" s="74">
        <f>'Data Input'!T161</f>
        <v/>
      </c>
      <c r="H305" s="75">
        <f>'Data Input'!S161</f>
        <v/>
      </c>
      <c r="I305" s="57" t="n"/>
      <c r="J305" s="76" t="inlineStr">
        <is>
          <t>P</t>
        </is>
      </c>
      <c r="K305" s="77" t="n"/>
      <c r="L305" s="77" t="n"/>
      <c r="M305" s="77" t="n"/>
      <c r="N305" s="77" t="n"/>
      <c r="O305" s="77" t="n"/>
      <c r="P305" s="77" t="n"/>
      <c r="Q305" s="77" t="n"/>
      <c r="R305" s="77" t="n"/>
      <c r="S305" s="77" t="n"/>
      <c r="T305" s="77" t="n"/>
      <c r="U305" s="77" t="n"/>
      <c r="V305" s="77" t="n"/>
      <c r="W305" s="77" t="n"/>
      <c r="X305" s="77" t="n"/>
      <c r="Y305" s="77" t="n"/>
      <c r="Z305" s="77" t="n"/>
      <c r="AA305" s="77" t="n"/>
      <c r="AB305" s="77" t="n"/>
      <c r="AC305" s="77" t="n"/>
      <c r="AD305" s="77" t="n"/>
      <c r="AE305" s="77" t="n"/>
      <c r="AF305" s="77" t="n"/>
      <c r="AG305" s="77" t="n"/>
      <c r="AH305" s="77" t="n"/>
      <c r="AI305" s="77" t="n"/>
      <c r="AJ305" s="77" t="n"/>
      <c r="AK305" s="77" t="n"/>
      <c r="AL305" s="77" t="n"/>
      <c r="AM305" s="77" t="n"/>
      <c r="AN305" s="77" t="n"/>
      <c r="AO305" s="77" t="n"/>
      <c r="AP305" s="77" t="n"/>
      <c r="AQ305" s="77" t="n"/>
      <c r="AR305" s="77" t="n"/>
      <c r="AS305" s="77" t="n"/>
      <c r="AT305" s="77" t="n"/>
      <c r="AU305" s="77" t="n"/>
      <c r="AV305" s="77" t="n"/>
      <c r="AW305" s="77" t="n"/>
      <c r="AX305" s="77" t="n"/>
      <c r="AY305" s="77" t="n"/>
      <c r="AZ305" s="77" t="n"/>
      <c r="BA305" s="77" t="n"/>
      <c r="BB305" s="77" t="n"/>
      <c r="BC305" s="77" t="n"/>
      <c r="BD305" s="77" t="n"/>
      <c r="BE305" s="77" t="n"/>
      <c r="BF305" s="77" t="n"/>
      <c r="BH305">
        <f>('Data Input'!C161-$A$1)*24</f>
        <v/>
      </c>
      <c r="BI305">
        <f>('Data Input'!D161-$A$1)*24</f>
        <v/>
      </c>
      <c r="BJ305" t="n">
        <v>1</v>
      </c>
      <c r="BO305" t="n">
        <v>-999</v>
      </c>
      <c r="BP305" t="n">
        <v>-999</v>
      </c>
    </row>
    <row r="306" ht="11.5" customHeight="1">
      <c r="A306" s="78" t="n"/>
      <c r="B306" s="78" t="n"/>
      <c r="C306" s="78" t="n"/>
      <c r="D306" s="78" t="n"/>
      <c r="E306" s="78" t="n"/>
      <c r="F306" s="78" t="n"/>
      <c r="G306" s="78" t="n"/>
      <c r="H306" s="78" t="n"/>
      <c r="I306" s="78" t="n"/>
      <c r="J306" s="76" t="inlineStr">
        <is>
          <t>A</t>
        </is>
      </c>
      <c r="K306" s="79" t="n"/>
      <c r="L306" s="79" t="n"/>
      <c r="M306" s="79" t="n"/>
      <c r="N306" s="79" t="n"/>
      <c r="O306" s="79" t="n"/>
      <c r="P306" s="79" t="n"/>
      <c r="Q306" s="79" t="n"/>
      <c r="R306" s="79" t="n"/>
      <c r="S306" s="79" t="n"/>
      <c r="T306" s="79" t="n"/>
      <c r="U306" s="79" t="n"/>
      <c r="V306" s="79" t="n"/>
      <c r="W306" s="79" t="n"/>
      <c r="X306" s="79" t="n"/>
      <c r="Y306" s="79" t="n"/>
      <c r="Z306" s="79" t="n"/>
      <c r="AA306" s="79" t="n"/>
      <c r="AB306" s="79" t="n"/>
      <c r="AC306" s="79" t="n"/>
      <c r="AD306" s="79" t="n"/>
      <c r="AE306" s="79" t="n"/>
      <c r="AF306" s="79" t="n"/>
      <c r="AG306" s="79" t="n"/>
      <c r="AH306" s="79" t="n"/>
      <c r="AI306" s="79" t="n"/>
      <c r="AJ306" s="79" t="n"/>
      <c r="AK306" s="79" t="n"/>
      <c r="AL306" s="79" t="n"/>
      <c r="AM306" s="79" t="n"/>
      <c r="AN306" s="79" t="n"/>
      <c r="AO306" s="79" t="n"/>
      <c r="AP306" s="79" t="n"/>
      <c r="AQ306" s="79" t="n"/>
      <c r="AR306" s="79" t="n"/>
      <c r="AS306" s="79" t="n"/>
      <c r="AT306" s="79" t="n"/>
      <c r="AU306" s="79" t="n"/>
      <c r="AV306" s="79" t="n"/>
      <c r="AW306" s="79" t="n"/>
      <c r="AX306" s="79" t="n"/>
      <c r="AY306" s="79" t="n"/>
      <c r="AZ306" s="79" t="n"/>
      <c r="BA306" s="79" t="n"/>
      <c r="BB306" s="79" t="n"/>
      <c r="BC306" s="79" t="n"/>
      <c r="BD306" s="79" t="n"/>
      <c r="BE306" s="79" t="n"/>
      <c r="BF306" s="79" t="n"/>
      <c r="BH306">
        <f>IF($BK306="",-999,($BK306-$A$1)*24)</f>
        <v/>
      </c>
      <c r="BI306">
        <f>IF($BK306="",-999,(IF($BL306&lt;&gt;"",$BL306,IF($C$1&gt;$BK306,$C$1,$BK306+MAX('Data Input'!E161*$BM306,0.5)/24))-$A$1)*24)</f>
        <v/>
      </c>
      <c r="BJ306">
        <f>IF($BK306="",0,IF($BM306&gt;=1,IF($BN306&lt;=0,2,3),IF($BN306&lt;=0,4,5)))</f>
        <v/>
      </c>
      <c r="BK306">
        <f>IF('Data Input'!Q161="","",'Data Input'!Q161)</f>
        <v/>
      </c>
      <c r="BL306">
        <f>IF('Data Input'!R161="","",'Data Input'!R161)</f>
        <v/>
      </c>
      <c r="BM306">
        <f>'Data Input'!S161</f>
        <v/>
      </c>
      <c r="BN306">
        <f>'Data Input'!Y161</f>
        <v/>
      </c>
      <c r="BO306">
        <f>IF($BM306&gt;=1,-999,MAX(($C$1-$A$1)*24,IF($BK306&lt;&gt;"",$BI306,$BP306-'Data Input'!E161)))</f>
        <v/>
      </c>
      <c r="BP306">
        <f>('Data Input'!D161+'Data Input'!Y161/24-$A$1)*24</f>
        <v/>
      </c>
    </row>
    <row r="307" ht="11.5" customHeight="1">
      <c r="A307" s="68">
        <f>'Data Input'!A162</f>
        <v/>
      </c>
      <c r="B307" s="69">
        <f>'Data Input'!B162</f>
        <v/>
      </c>
      <c r="C307" s="70">
        <f>'Data Input'!O162</f>
        <v/>
      </c>
      <c r="D307" s="71">
        <f>'Data Input'!D162</f>
        <v/>
      </c>
      <c r="E307" s="72">
        <f>'Data Input'!D162+'Data Input'!Y162/24</f>
        <v/>
      </c>
      <c r="F307" s="73">
        <f>'Data Input'!Y162</f>
        <v/>
      </c>
      <c r="G307" s="74">
        <f>'Data Input'!T162</f>
        <v/>
      </c>
      <c r="H307" s="75">
        <f>'Data Input'!S162</f>
        <v/>
      </c>
      <c r="I307" s="57" t="n"/>
      <c r="J307" s="76" t="inlineStr">
        <is>
          <t>P</t>
        </is>
      </c>
      <c r="K307" s="77" t="n"/>
      <c r="L307" s="77" t="n"/>
      <c r="M307" s="77" t="n"/>
      <c r="N307" s="77" t="n"/>
      <c r="O307" s="77" t="n"/>
      <c r="P307" s="77" t="n"/>
      <c r="Q307" s="77" t="n"/>
      <c r="R307" s="77" t="n"/>
      <c r="S307" s="77" t="n"/>
      <c r="T307" s="77" t="n"/>
      <c r="U307" s="77" t="n"/>
      <c r="V307" s="77" t="n"/>
      <c r="W307" s="77" t="n"/>
      <c r="X307" s="77" t="n"/>
      <c r="Y307" s="77" t="n"/>
      <c r="Z307" s="77" t="n"/>
      <c r="AA307" s="77" t="n"/>
      <c r="AB307" s="77" t="n"/>
      <c r="AC307" s="77" t="n"/>
      <c r="AD307" s="77" t="n"/>
      <c r="AE307" s="77" t="n"/>
      <c r="AF307" s="77" t="n"/>
      <c r="AG307" s="77" t="n"/>
      <c r="AH307" s="77" t="n"/>
      <c r="AI307" s="77" t="n"/>
      <c r="AJ307" s="77" t="n"/>
      <c r="AK307" s="77" t="n"/>
      <c r="AL307" s="77" t="n"/>
      <c r="AM307" s="77" t="n"/>
      <c r="AN307" s="77" t="n"/>
      <c r="AO307" s="77" t="n"/>
      <c r="AP307" s="77" t="n"/>
      <c r="AQ307" s="77" t="n"/>
      <c r="AR307" s="77" t="n"/>
      <c r="AS307" s="77" t="n"/>
      <c r="AT307" s="77" t="n"/>
      <c r="AU307" s="77" t="n"/>
      <c r="AV307" s="77" t="n"/>
      <c r="AW307" s="77" t="n"/>
      <c r="AX307" s="77" t="n"/>
      <c r="AY307" s="77" t="n"/>
      <c r="AZ307" s="77" t="n"/>
      <c r="BA307" s="77" t="n"/>
      <c r="BB307" s="77" t="n"/>
      <c r="BC307" s="77" t="n"/>
      <c r="BD307" s="77" t="n"/>
      <c r="BE307" s="77" t="n"/>
      <c r="BF307" s="77" t="n"/>
      <c r="BH307">
        <f>('Data Input'!C162-$A$1)*24</f>
        <v/>
      </c>
      <c r="BI307">
        <f>('Data Input'!D162-$A$1)*24</f>
        <v/>
      </c>
      <c r="BJ307" t="n">
        <v>1</v>
      </c>
      <c r="BO307" t="n">
        <v>-999</v>
      </c>
      <c r="BP307" t="n">
        <v>-999</v>
      </c>
    </row>
    <row r="308" ht="11.5" customHeight="1">
      <c r="A308" s="78" t="n"/>
      <c r="B308" s="78" t="n"/>
      <c r="C308" s="78" t="n"/>
      <c r="D308" s="78" t="n"/>
      <c r="E308" s="78" t="n"/>
      <c r="F308" s="78" t="n"/>
      <c r="G308" s="78" t="n"/>
      <c r="H308" s="78" t="n"/>
      <c r="I308" s="78" t="n"/>
      <c r="J308" s="76" t="inlineStr">
        <is>
          <t>A</t>
        </is>
      </c>
      <c r="K308" s="79" t="n"/>
      <c r="L308" s="79" t="n"/>
      <c r="M308" s="79" t="n"/>
      <c r="N308" s="79" t="n"/>
      <c r="O308" s="79" t="n"/>
      <c r="P308" s="79" t="n"/>
      <c r="Q308" s="79" t="n"/>
      <c r="R308" s="79" t="n"/>
      <c r="S308" s="79" t="n"/>
      <c r="T308" s="79" t="n"/>
      <c r="U308" s="79" t="n"/>
      <c r="V308" s="79" t="n"/>
      <c r="W308" s="79" t="n"/>
      <c r="X308" s="79" t="n"/>
      <c r="Y308" s="79" t="n"/>
      <c r="Z308" s="79" t="n"/>
      <c r="AA308" s="79" t="n"/>
      <c r="AB308" s="79" t="n"/>
      <c r="AC308" s="79" t="n"/>
      <c r="AD308" s="79" t="n"/>
      <c r="AE308" s="79" t="n"/>
      <c r="AF308" s="79" t="n"/>
      <c r="AG308" s="79" t="n"/>
      <c r="AH308" s="79" t="n"/>
      <c r="AI308" s="79" t="n"/>
      <c r="AJ308" s="79" t="n"/>
      <c r="AK308" s="79" t="n"/>
      <c r="AL308" s="79" t="n"/>
      <c r="AM308" s="79" t="n"/>
      <c r="AN308" s="79" t="n"/>
      <c r="AO308" s="79" t="n"/>
      <c r="AP308" s="79" t="n"/>
      <c r="AQ308" s="79" t="n"/>
      <c r="AR308" s="79" t="n"/>
      <c r="AS308" s="79" t="n"/>
      <c r="AT308" s="79" t="n"/>
      <c r="AU308" s="79" t="n"/>
      <c r="AV308" s="79" t="n"/>
      <c r="AW308" s="79" t="n"/>
      <c r="AX308" s="79" t="n"/>
      <c r="AY308" s="79" t="n"/>
      <c r="AZ308" s="79" t="n"/>
      <c r="BA308" s="79" t="n"/>
      <c r="BB308" s="79" t="n"/>
      <c r="BC308" s="79" t="n"/>
      <c r="BD308" s="79" t="n"/>
      <c r="BE308" s="79" t="n"/>
      <c r="BF308" s="79" t="n"/>
      <c r="BH308">
        <f>IF($BK308="",-999,($BK308-$A$1)*24)</f>
        <v/>
      </c>
      <c r="BI308">
        <f>IF($BK308="",-999,(IF($BL308&lt;&gt;"",$BL308,IF($C$1&gt;$BK308,$C$1,$BK308+MAX('Data Input'!E162*$BM308,0.5)/24))-$A$1)*24)</f>
        <v/>
      </c>
      <c r="BJ308">
        <f>IF($BK308="",0,IF($BM308&gt;=1,IF($BN308&lt;=0,2,3),IF($BN308&lt;=0,4,5)))</f>
        <v/>
      </c>
      <c r="BK308">
        <f>IF('Data Input'!Q162="","",'Data Input'!Q162)</f>
        <v/>
      </c>
      <c r="BL308">
        <f>IF('Data Input'!R162="","",'Data Input'!R162)</f>
        <v/>
      </c>
      <c r="BM308">
        <f>'Data Input'!S162</f>
        <v/>
      </c>
      <c r="BN308">
        <f>'Data Input'!Y162</f>
        <v/>
      </c>
      <c r="BO308">
        <f>IF($BM308&gt;=1,-999,MAX(($C$1-$A$1)*24,IF($BK308&lt;&gt;"",$BI308,$BP308-'Data Input'!E162)))</f>
        <v/>
      </c>
      <c r="BP308">
        <f>('Data Input'!D162+'Data Input'!Y162/24-$A$1)*24</f>
        <v/>
      </c>
    </row>
    <row r="309" ht="11.5" customHeight="1">
      <c r="A309" s="68">
        <f>'Data Input'!A163</f>
        <v/>
      </c>
      <c r="B309" s="69">
        <f>'Data Input'!B163</f>
        <v/>
      </c>
      <c r="C309" s="70">
        <f>'Data Input'!O163</f>
        <v/>
      </c>
      <c r="D309" s="71">
        <f>'Data Input'!D163</f>
        <v/>
      </c>
      <c r="E309" s="72">
        <f>'Data Input'!D163+'Data Input'!Y163/24</f>
        <v/>
      </c>
      <c r="F309" s="73">
        <f>'Data Input'!Y163</f>
        <v/>
      </c>
      <c r="G309" s="74">
        <f>'Data Input'!T163</f>
        <v/>
      </c>
      <c r="H309" s="75">
        <f>'Data Input'!S163</f>
        <v/>
      </c>
      <c r="I309" s="57" t="n"/>
      <c r="J309" s="76" t="inlineStr">
        <is>
          <t>P</t>
        </is>
      </c>
      <c r="K309" s="77" t="n"/>
      <c r="L309" s="77" t="n"/>
      <c r="M309" s="77" t="n"/>
      <c r="N309" s="77" t="n"/>
      <c r="O309" s="77" t="n"/>
      <c r="P309" s="77" t="n"/>
      <c r="Q309" s="77" t="n"/>
      <c r="R309" s="77" t="n"/>
      <c r="S309" s="77" t="n"/>
      <c r="T309" s="77" t="n"/>
      <c r="U309" s="77" t="n"/>
      <c r="V309" s="77" t="n"/>
      <c r="W309" s="77" t="n"/>
      <c r="X309" s="77" t="n"/>
      <c r="Y309" s="77" t="n"/>
      <c r="Z309" s="77" t="n"/>
      <c r="AA309" s="77" t="n"/>
      <c r="AB309" s="77" t="n"/>
      <c r="AC309" s="77" t="n"/>
      <c r="AD309" s="77" t="n"/>
      <c r="AE309" s="77" t="n"/>
      <c r="AF309" s="77" t="n"/>
      <c r="AG309" s="77" t="n"/>
      <c r="AH309" s="77" t="n"/>
      <c r="AI309" s="77" t="n"/>
      <c r="AJ309" s="77" t="n"/>
      <c r="AK309" s="77" t="n"/>
      <c r="AL309" s="77" t="n"/>
      <c r="AM309" s="77" t="n"/>
      <c r="AN309" s="77" t="n"/>
      <c r="AO309" s="77" t="n"/>
      <c r="AP309" s="77" t="n"/>
      <c r="AQ309" s="77" t="n"/>
      <c r="AR309" s="77" t="n"/>
      <c r="AS309" s="77" t="n"/>
      <c r="AT309" s="77" t="n"/>
      <c r="AU309" s="77" t="n"/>
      <c r="AV309" s="77" t="n"/>
      <c r="AW309" s="77" t="n"/>
      <c r="AX309" s="77" t="n"/>
      <c r="AY309" s="77" t="n"/>
      <c r="AZ309" s="77" t="n"/>
      <c r="BA309" s="77" t="n"/>
      <c r="BB309" s="77" t="n"/>
      <c r="BC309" s="77" t="n"/>
      <c r="BD309" s="77" t="n"/>
      <c r="BE309" s="77" t="n"/>
      <c r="BF309" s="77" t="n"/>
      <c r="BH309">
        <f>('Data Input'!C163-$A$1)*24</f>
        <v/>
      </c>
      <c r="BI309">
        <f>('Data Input'!D163-$A$1)*24</f>
        <v/>
      </c>
      <c r="BJ309" t="n">
        <v>1</v>
      </c>
      <c r="BO309" t="n">
        <v>-999</v>
      </c>
      <c r="BP309" t="n">
        <v>-999</v>
      </c>
    </row>
    <row r="310" ht="11.5" customHeight="1">
      <c r="A310" s="78" t="n"/>
      <c r="B310" s="78" t="n"/>
      <c r="C310" s="78" t="n"/>
      <c r="D310" s="78" t="n"/>
      <c r="E310" s="78" t="n"/>
      <c r="F310" s="78" t="n"/>
      <c r="G310" s="78" t="n"/>
      <c r="H310" s="78" t="n"/>
      <c r="I310" s="78" t="n"/>
      <c r="J310" s="76" t="inlineStr">
        <is>
          <t>A</t>
        </is>
      </c>
      <c r="K310" s="79" t="n"/>
      <c r="L310" s="79" t="n"/>
      <c r="M310" s="79" t="n"/>
      <c r="N310" s="79" t="n"/>
      <c r="O310" s="79" t="n"/>
      <c r="P310" s="79" t="n"/>
      <c r="Q310" s="79" t="n"/>
      <c r="R310" s="79" t="n"/>
      <c r="S310" s="79" t="n"/>
      <c r="T310" s="79" t="n"/>
      <c r="U310" s="79" t="n"/>
      <c r="V310" s="79" t="n"/>
      <c r="W310" s="79" t="n"/>
      <c r="X310" s="79" t="n"/>
      <c r="Y310" s="79" t="n"/>
      <c r="Z310" s="79" t="n"/>
      <c r="AA310" s="79" t="n"/>
      <c r="AB310" s="79" t="n"/>
      <c r="AC310" s="79" t="n"/>
      <c r="AD310" s="79" t="n"/>
      <c r="AE310" s="79" t="n"/>
      <c r="AF310" s="79" t="n"/>
      <c r="AG310" s="79" t="n"/>
      <c r="AH310" s="79" t="n"/>
      <c r="AI310" s="79" t="n"/>
      <c r="AJ310" s="79" t="n"/>
      <c r="AK310" s="79" t="n"/>
      <c r="AL310" s="79" t="n"/>
      <c r="AM310" s="79" t="n"/>
      <c r="AN310" s="79" t="n"/>
      <c r="AO310" s="79" t="n"/>
      <c r="AP310" s="79" t="n"/>
      <c r="AQ310" s="79" t="n"/>
      <c r="AR310" s="79" t="n"/>
      <c r="AS310" s="79" t="n"/>
      <c r="AT310" s="79" t="n"/>
      <c r="AU310" s="79" t="n"/>
      <c r="AV310" s="79" t="n"/>
      <c r="AW310" s="79" t="n"/>
      <c r="AX310" s="79" t="n"/>
      <c r="AY310" s="79" t="n"/>
      <c r="AZ310" s="79" t="n"/>
      <c r="BA310" s="79" t="n"/>
      <c r="BB310" s="79" t="n"/>
      <c r="BC310" s="79" t="n"/>
      <c r="BD310" s="79" t="n"/>
      <c r="BE310" s="79" t="n"/>
      <c r="BF310" s="79" t="n"/>
      <c r="BH310">
        <f>IF($BK310="",-999,($BK310-$A$1)*24)</f>
        <v/>
      </c>
      <c r="BI310">
        <f>IF($BK310="",-999,(IF($BL310&lt;&gt;"",$BL310,IF($C$1&gt;$BK310,$C$1,$BK310+MAX('Data Input'!E163*$BM310,0.5)/24))-$A$1)*24)</f>
        <v/>
      </c>
      <c r="BJ310">
        <f>IF($BK310="",0,IF($BM310&gt;=1,IF($BN310&lt;=0,2,3),IF($BN310&lt;=0,4,5)))</f>
        <v/>
      </c>
      <c r="BK310">
        <f>IF('Data Input'!Q163="","",'Data Input'!Q163)</f>
        <v/>
      </c>
      <c r="BL310">
        <f>IF('Data Input'!R163="","",'Data Input'!R163)</f>
        <v/>
      </c>
      <c r="BM310">
        <f>'Data Input'!S163</f>
        <v/>
      </c>
      <c r="BN310">
        <f>'Data Input'!Y163</f>
        <v/>
      </c>
      <c r="BO310">
        <f>IF($BM310&gt;=1,-999,MAX(($C$1-$A$1)*24,IF($BK310&lt;&gt;"",$BI310,$BP310-'Data Input'!E163)))</f>
        <v/>
      </c>
      <c r="BP310">
        <f>('Data Input'!D163+'Data Input'!Y163/24-$A$1)*24</f>
        <v/>
      </c>
    </row>
    <row r="311" ht="11.5" customHeight="1">
      <c r="A311" s="68">
        <f>'Data Input'!A164</f>
        <v/>
      </c>
      <c r="B311" s="69">
        <f>'Data Input'!B164</f>
        <v/>
      </c>
      <c r="C311" s="70">
        <f>'Data Input'!O164</f>
        <v/>
      </c>
      <c r="D311" s="71">
        <f>'Data Input'!D164</f>
        <v/>
      </c>
      <c r="E311" s="72">
        <f>'Data Input'!D164+'Data Input'!Y164/24</f>
        <v/>
      </c>
      <c r="F311" s="73">
        <f>'Data Input'!Y164</f>
        <v/>
      </c>
      <c r="G311" s="74">
        <f>'Data Input'!T164</f>
        <v/>
      </c>
      <c r="H311" s="75">
        <f>'Data Input'!S164</f>
        <v/>
      </c>
      <c r="I311" s="57" t="n"/>
      <c r="J311" s="76" t="inlineStr">
        <is>
          <t>P</t>
        </is>
      </c>
      <c r="K311" s="77" t="n"/>
      <c r="L311" s="77" t="n"/>
      <c r="M311" s="77" t="n"/>
      <c r="N311" s="77" t="n"/>
      <c r="O311" s="77" t="n"/>
      <c r="P311" s="77" t="n"/>
      <c r="Q311" s="77" t="n"/>
      <c r="R311" s="77" t="n"/>
      <c r="S311" s="77" t="n"/>
      <c r="T311" s="77" t="n"/>
      <c r="U311" s="77" t="n"/>
      <c r="V311" s="77" t="n"/>
      <c r="W311" s="77" t="n"/>
      <c r="X311" s="77" t="n"/>
      <c r="Y311" s="77" t="n"/>
      <c r="Z311" s="77" t="n"/>
      <c r="AA311" s="77" t="n"/>
      <c r="AB311" s="77" t="n"/>
      <c r="AC311" s="77" t="n"/>
      <c r="AD311" s="77" t="n"/>
      <c r="AE311" s="77" t="n"/>
      <c r="AF311" s="77" t="n"/>
      <c r="AG311" s="77" t="n"/>
      <c r="AH311" s="77" t="n"/>
      <c r="AI311" s="77" t="n"/>
      <c r="AJ311" s="77" t="n"/>
      <c r="AK311" s="77" t="n"/>
      <c r="AL311" s="77" t="n"/>
      <c r="AM311" s="77" t="n"/>
      <c r="AN311" s="77" t="n"/>
      <c r="AO311" s="77" t="n"/>
      <c r="AP311" s="77" t="n"/>
      <c r="AQ311" s="77" t="n"/>
      <c r="AR311" s="77" t="n"/>
      <c r="AS311" s="77" t="n"/>
      <c r="AT311" s="77" t="n"/>
      <c r="AU311" s="77" t="n"/>
      <c r="AV311" s="77" t="n"/>
      <c r="AW311" s="77" t="n"/>
      <c r="AX311" s="77" t="n"/>
      <c r="AY311" s="77" t="n"/>
      <c r="AZ311" s="77" t="n"/>
      <c r="BA311" s="77" t="n"/>
      <c r="BB311" s="77" t="n"/>
      <c r="BC311" s="77" t="n"/>
      <c r="BD311" s="77" t="n"/>
      <c r="BE311" s="77" t="n"/>
      <c r="BF311" s="77" t="n"/>
      <c r="BH311">
        <f>('Data Input'!C164-$A$1)*24</f>
        <v/>
      </c>
      <c r="BI311">
        <f>('Data Input'!D164-$A$1)*24</f>
        <v/>
      </c>
      <c r="BJ311" t="n">
        <v>1</v>
      </c>
      <c r="BO311" t="n">
        <v>-999</v>
      </c>
      <c r="BP311" t="n">
        <v>-999</v>
      </c>
    </row>
    <row r="312" ht="11.5" customHeight="1">
      <c r="A312" s="78" t="n"/>
      <c r="B312" s="78" t="n"/>
      <c r="C312" s="78" t="n"/>
      <c r="D312" s="78" t="n"/>
      <c r="E312" s="78" t="n"/>
      <c r="F312" s="78" t="n"/>
      <c r="G312" s="78" t="n"/>
      <c r="H312" s="78" t="n"/>
      <c r="I312" s="78" t="n"/>
      <c r="J312" s="76" t="inlineStr">
        <is>
          <t>A</t>
        </is>
      </c>
      <c r="K312" s="79" t="n"/>
      <c r="L312" s="79" t="n"/>
      <c r="M312" s="79" t="n"/>
      <c r="N312" s="79" t="n"/>
      <c r="O312" s="79" t="n"/>
      <c r="P312" s="79" t="n"/>
      <c r="Q312" s="79" t="n"/>
      <c r="R312" s="79" t="n"/>
      <c r="S312" s="79" t="n"/>
      <c r="T312" s="79" t="n"/>
      <c r="U312" s="79" t="n"/>
      <c r="V312" s="79" t="n"/>
      <c r="W312" s="79" t="n"/>
      <c r="X312" s="79" t="n"/>
      <c r="Y312" s="79" t="n"/>
      <c r="Z312" s="79" t="n"/>
      <c r="AA312" s="79" t="n"/>
      <c r="AB312" s="79" t="n"/>
      <c r="AC312" s="79" t="n"/>
      <c r="AD312" s="79" t="n"/>
      <c r="AE312" s="79" t="n"/>
      <c r="AF312" s="79" t="n"/>
      <c r="AG312" s="79" t="n"/>
      <c r="AH312" s="79" t="n"/>
      <c r="AI312" s="79" t="n"/>
      <c r="AJ312" s="79" t="n"/>
      <c r="AK312" s="79" t="n"/>
      <c r="AL312" s="79" t="n"/>
      <c r="AM312" s="79" t="n"/>
      <c r="AN312" s="79" t="n"/>
      <c r="AO312" s="79" t="n"/>
      <c r="AP312" s="79" t="n"/>
      <c r="AQ312" s="79" t="n"/>
      <c r="AR312" s="79" t="n"/>
      <c r="AS312" s="79" t="n"/>
      <c r="AT312" s="79" t="n"/>
      <c r="AU312" s="79" t="n"/>
      <c r="AV312" s="79" t="n"/>
      <c r="AW312" s="79" t="n"/>
      <c r="AX312" s="79" t="n"/>
      <c r="AY312" s="79" t="n"/>
      <c r="AZ312" s="79" t="n"/>
      <c r="BA312" s="79" t="n"/>
      <c r="BB312" s="79" t="n"/>
      <c r="BC312" s="79" t="n"/>
      <c r="BD312" s="79" t="n"/>
      <c r="BE312" s="79" t="n"/>
      <c r="BF312" s="79" t="n"/>
      <c r="BH312">
        <f>IF($BK312="",-999,($BK312-$A$1)*24)</f>
        <v/>
      </c>
      <c r="BI312">
        <f>IF($BK312="",-999,(IF($BL312&lt;&gt;"",$BL312,IF($C$1&gt;$BK312,$C$1,$BK312+MAX('Data Input'!E164*$BM312,0.5)/24))-$A$1)*24)</f>
        <v/>
      </c>
      <c r="BJ312">
        <f>IF($BK312="",0,IF($BM312&gt;=1,IF($BN312&lt;=0,2,3),IF($BN312&lt;=0,4,5)))</f>
        <v/>
      </c>
      <c r="BK312">
        <f>IF('Data Input'!Q164="","",'Data Input'!Q164)</f>
        <v/>
      </c>
      <c r="BL312">
        <f>IF('Data Input'!R164="","",'Data Input'!R164)</f>
        <v/>
      </c>
      <c r="BM312">
        <f>'Data Input'!S164</f>
        <v/>
      </c>
      <c r="BN312">
        <f>'Data Input'!Y164</f>
        <v/>
      </c>
      <c r="BO312">
        <f>IF($BM312&gt;=1,-999,MAX(($C$1-$A$1)*24,IF($BK312&lt;&gt;"",$BI312,$BP312-'Data Input'!E164)))</f>
        <v/>
      </c>
      <c r="BP312">
        <f>('Data Input'!D164+'Data Input'!Y164/24-$A$1)*24</f>
        <v/>
      </c>
    </row>
    <row r="313" ht="11.5" customHeight="1">
      <c r="A313" s="68">
        <f>'Data Input'!A165</f>
        <v/>
      </c>
      <c r="B313" s="69">
        <f>'Data Input'!B165</f>
        <v/>
      </c>
      <c r="C313" s="70">
        <f>'Data Input'!O165</f>
        <v/>
      </c>
      <c r="D313" s="71">
        <f>'Data Input'!D165</f>
        <v/>
      </c>
      <c r="E313" s="72">
        <f>'Data Input'!D165+'Data Input'!Y165/24</f>
        <v/>
      </c>
      <c r="F313" s="73">
        <f>'Data Input'!Y165</f>
        <v/>
      </c>
      <c r="G313" s="74">
        <f>'Data Input'!T165</f>
        <v/>
      </c>
      <c r="H313" s="75">
        <f>'Data Input'!S165</f>
        <v/>
      </c>
      <c r="I313" s="57" t="n"/>
      <c r="J313" s="76" t="inlineStr">
        <is>
          <t>P</t>
        </is>
      </c>
      <c r="K313" s="77" t="n"/>
      <c r="L313" s="77" t="n"/>
      <c r="M313" s="77" t="n"/>
      <c r="N313" s="77" t="n"/>
      <c r="O313" s="77" t="n"/>
      <c r="P313" s="77" t="n"/>
      <c r="Q313" s="77" t="n"/>
      <c r="R313" s="77" t="n"/>
      <c r="S313" s="77" t="n"/>
      <c r="T313" s="77" t="n"/>
      <c r="U313" s="77" t="n"/>
      <c r="V313" s="77" t="n"/>
      <c r="W313" s="77" t="n"/>
      <c r="X313" s="77" t="n"/>
      <c r="Y313" s="77" t="n"/>
      <c r="Z313" s="77" t="n"/>
      <c r="AA313" s="77" t="n"/>
      <c r="AB313" s="77" t="n"/>
      <c r="AC313" s="77" t="n"/>
      <c r="AD313" s="77" t="n"/>
      <c r="AE313" s="77" t="n"/>
      <c r="AF313" s="77" t="n"/>
      <c r="AG313" s="77" t="n"/>
      <c r="AH313" s="77" t="n"/>
      <c r="AI313" s="77" t="n"/>
      <c r="AJ313" s="77" t="n"/>
      <c r="AK313" s="77" t="n"/>
      <c r="AL313" s="77" t="n"/>
      <c r="AM313" s="77" t="n"/>
      <c r="AN313" s="77" t="n"/>
      <c r="AO313" s="77" t="n"/>
      <c r="AP313" s="77" t="n"/>
      <c r="AQ313" s="77" t="n"/>
      <c r="AR313" s="77" t="n"/>
      <c r="AS313" s="77" t="n"/>
      <c r="AT313" s="77" t="n"/>
      <c r="AU313" s="77" t="n"/>
      <c r="AV313" s="77" t="n"/>
      <c r="AW313" s="77" t="n"/>
      <c r="AX313" s="77" t="n"/>
      <c r="AY313" s="77" t="n"/>
      <c r="AZ313" s="77" t="n"/>
      <c r="BA313" s="77" t="n"/>
      <c r="BB313" s="77" t="n"/>
      <c r="BC313" s="77" t="n"/>
      <c r="BD313" s="77" t="n"/>
      <c r="BE313" s="77" t="n"/>
      <c r="BF313" s="77" t="n"/>
      <c r="BH313">
        <f>('Data Input'!C165-$A$1)*24</f>
        <v/>
      </c>
      <c r="BI313">
        <f>('Data Input'!D165-$A$1)*24</f>
        <v/>
      </c>
      <c r="BJ313" t="n">
        <v>1</v>
      </c>
      <c r="BO313" t="n">
        <v>-999</v>
      </c>
      <c r="BP313" t="n">
        <v>-999</v>
      </c>
    </row>
    <row r="314" ht="11.5" customHeight="1">
      <c r="A314" s="78" t="n"/>
      <c r="B314" s="78" t="n"/>
      <c r="C314" s="78" t="n"/>
      <c r="D314" s="78" t="n"/>
      <c r="E314" s="78" t="n"/>
      <c r="F314" s="78" t="n"/>
      <c r="G314" s="78" t="n"/>
      <c r="H314" s="78" t="n"/>
      <c r="I314" s="78" t="n"/>
      <c r="J314" s="76" t="inlineStr">
        <is>
          <t>A</t>
        </is>
      </c>
      <c r="K314" s="79" t="n"/>
      <c r="L314" s="79" t="n"/>
      <c r="M314" s="79" t="n"/>
      <c r="N314" s="79" t="n"/>
      <c r="O314" s="79" t="n"/>
      <c r="P314" s="79" t="n"/>
      <c r="Q314" s="79" t="n"/>
      <c r="R314" s="79" t="n"/>
      <c r="S314" s="79" t="n"/>
      <c r="T314" s="79" t="n"/>
      <c r="U314" s="79" t="n"/>
      <c r="V314" s="79" t="n"/>
      <c r="W314" s="79" t="n"/>
      <c r="X314" s="79" t="n"/>
      <c r="Y314" s="79" t="n"/>
      <c r="Z314" s="79" t="n"/>
      <c r="AA314" s="79" t="n"/>
      <c r="AB314" s="79" t="n"/>
      <c r="AC314" s="79" t="n"/>
      <c r="AD314" s="79" t="n"/>
      <c r="AE314" s="79" t="n"/>
      <c r="AF314" s="79" t="n"/>
      <c r="AG314" s="79" t="n"/>
      <c r="AH314" s="79" t="n"/>
      <c r="AI314" s="79" t="n"/>
      <c r="AJ314" s="79" t="n"/>
      <c r="AK314" s="79" t="n"/>
      <c r="AL314" s="79" t="n"/>
      <c r="AM314" s="79" t="n"/>
      <c r="AN314" s="79" t="n"/>
      <c r="AO314" s="79" t="n"/>
      <c r="AP314" s="79" t="n"/>
      <c r="AQ314" s="79" t="n"/>
      <c r="AR314" s="79" t="n"/>
      <c r="AS314" s="79" t="n"/>
      <c r="AT314" s="79" t="n"/>
      <c r="AU314" s="79" t="n"/>
      <c r="AV314" s="79" t="n"/>
      <c r="AW314" s="79" t="n"/>
      <c r="AX314" s="79" t="n"/>
      <c r="AY314" s="79" t="n"/>
      <c r="AZ314" s="79" t="n"/>
      <c r="BA314" s="79" t="n"/>
      <c r="BB314" s="79" t="n"/>
      <c r="BC314" s="79" t="n"/>
      <c r="BD314" s="79" t="n"/>
      <c r="BE314" s="79" t="n"/>
      <c r="BF314" s="79" t="n"/>
      <c r="BH314">
        <f>IF($BK314="",-999,($BK314-$A$1)*24)</f>
        <v/>
      </c>
      <c r="BI314">
        <f>IF($BK314="",-999,(IF($BL314&lt;&gt;"",$BL314,IF($C$1&gt;$BK314,$C$1,$BK314+MAX('Data Input'!E165*$BM314,0.5)/24))-$A$1)*24)</f>
        <v/>
      </c>
      <c r="BJ314">
        <f>IF($BK314="",0,IF($BM314&gt;=1,IF($BN314&lt;=0,2,3),IF($BN314&lt;=0,4,5)))</f>
        <v/>
      </c>
      <c r="BK314">
        <f>IF('Data Input'!Q165="","",'Data Input'!Q165)</f>
        <v/>
      </c>
      <c r="BL314">
        <f>IF('Data Input'!R165="","",'Data Input'!R165)</f>
        <v/>
      </c>
      <c r="BM314">
        <f>'Data Input'!S165</f>
        <v/>
      </c>
      <c r="BN314">
        <f>'Data Input'!Y165</f>
        <v/>
      </c>
      <c r="BO314">
        <f>IF($BM314&gt;=1,-999,MAX(($C$1-$A$1)*24,IF($BK314&lt;&gt;"",$BI314,$BP314-'Data Input'!E165)))</f>
        <v/>
      </c>
      <c r="BP314">
        <f>('Data Input'!D165+'Data Input'!Y165/24-$A$1)*24</f>
        <v/>
      </c>
    </row>
    <row r="315" ht="11.5" customHeight="1">
      <c r="A315" s="68">
        <f>'Data Input'!A166</f>
        <v/>
      </c>
      <c r="B315" s="69">
        <f>'Data Input'!B166</f>
        <v/>
      </c>
      <c r="C315" s="70">
        <f>'Data Input'!O166</f>
        <v/>
      </c>
      <c r="D315" s="71">
        <f>'Data Input'!D166</f>
        <v/>
      </c>
      <c r="E315" s="72">
        <f>'Data Input'!D166+'Data Input'!Y166/24</f>
        <v/>
      </c>
      <c r="F315" s="73">
        <f>'Data Input'!Y166</f>
        <v/>
      </c>
      <c r="G315" s="74">
        <f>'Data Input'!T166</f>
        <v/>
      </c>
      <c r="H315" s="75">
        <f>'Data Input'!S166</f>
        <v/>
      </c>
      <c r="I315" s="57" t="n"/>
      <c r="J315" s="76" t="inlineStr">
        <is>
          <t>P</t>
        </is>
      </c>
      <c r="K315" s="77" t="n"/>
      <c r="L315" s="77" t="n"/>
      <c r="M315" s="77" t="n"/>
      <c r="N315" s="77" t="n"/>
      <c r="O315" s="77" t="n"/>
      <c r="P315" s="77" t="n"/>
      <c r="Q315" s="77" t="n"/>
      <c r="R315" s="77" t="n"/>
      <c r="S315" s="77" t="n"/>
      <c r="T315" s="77" t="n"/>
      <c r="U315" s="77" t="n"/>
      <c r="V315" s="77" t="n"/>
      <c r="W315" s="77" t="n"/>
      <c r="X315" s="77" t="n"/>
      <c r="Y315" s="77" t="n"/>
      <c r="Z315" s="77" t="n"/>
      <c r="AA315" s="77" t="n"/>
      <c r="AB315" s="77" t="n"/>
      <c r="AC315" s="77" t="n"/>
      <c r="AD315" s="77" t="n"/>
      <c r="AE315" s="77" t="n"/>
      <c r="AF315" s="77" t="n"/>
      <c r="AG315" s="77" t="n"/>
      <c r="AH315" s="77" t="n"/>
      <c r="AI315" s="77" t="n"/>
      <c r="AJ315" s="77" t="n"/>
      <c r="AK315" s="77" t="n"/>
      <c r="AL315" s="77" t="n"/>
      <c r="AM315" s="77" t="n"/>
      <c r="AN315" s="77" t="n"/>
      <c r="AO315" s="77" t="n"/>
      <c r="AP315" s="77" t="n"/>
      <c r="AQ315" s="77" t="n"/>
      <c r="AR315" s="77" t="n"/>
      <c r="AS315" s="77" t="n"/>
      <c r="AT315" s="77" t="n"/>
      <c r="AU315" s="77" t="n"/>
      <c r="AV315" s="77" t="n"/>
      <c r="AW315" s="77" t="n"/>
      <c r="AX315" s="77" t="n"/>
      <c r="AY315" s="77" t="n"/>
      <c r="AZ315" s="77" t="n"/>
      <c r="BA315" s="77" t="n"/>
      <c r="BB315" s="77" t="n"/>
      <c r="BC315" s="77" t="n"/>
      <c r="BD315" s="77" t="n"/>
      <c r="BE315" s="77" t="n"/>
      <c r="BF315" s="77" t="n"/>
      <c r="BH315">
        <f>('Data Input'!C166-$A$1)*24</f>
        <v/>
      </c>
      <c r="BI315">
        <f>('Data Input'!D166-$A$1)*24</f>
        <v/>
      </c>
      <c r="BJ315" t="n">
        <v>1</v>
      </c>
      <c r="BO315" t="n">
        <v>-999</v>
      </c>
      <c r="BP315" t="n">
        <v>-999</v>
      </c>
    </row>
    <row r="316" ht="11.5" customHeight="1">
      <c r="A316" s="78" t="n"/>
      <c r="B316" s="78" t="n"/>
      <c r="C316" s="78" t="n"/>
      <c r="D316" s="78" t="n"/>
      <c r="E316" s="78" t="n"/>
      <c r="F316" s="78" t="n"/>
      <c r="G316" s="78" t="n"/>
      <c r="H316" s="78" t="n"/>
      <c r="I316" s="78" t="n"/>
      <c r="J316" s="76" t="inlineStr">
        <is>
          <t>A</t>
        </is>
      </c>
      <c r="K316" s="79" t="n"/>
      <c r="L316" s="79" t="n"/>
      <c r="M316" s="79" t="n"/>
      <c r="N316" s="79" t="n"/>
      <c r="O316" s="79" t="n"/>
      <c r="P316" s="79" t="n"/>
      <c r="Q316" s="79" t="n"/>
      <c r="R316" s="79" t="n"/>
      <c r="S316" s="79" t="n"/>
      <c r="T316" s="79" t="n"/>
      <c r="U316" s="79" t="n"/>
      <c r="V316" s="79" t="n"/>
      <c r="W316" s="79" t="n"/>
      <c r="X316" s="79" t="n"/>
      <c r="Y316" s="79" t="n"/>
      <c r="Z316" s="79" t="n"/>
      <c r="AA316" s="79" t="n"/>
      <c r="AB316" s="79" t="n"/>
      <c r="AC316" s="79" t="n"/>
      <c r="AD316" s="79" t="n"/>
      <c r="AE316" s="79" t="n"/>
      <c r="AF316" s="79" t="n"/>
      <c r="AG316" s="79" t="n"/>
      <c r="AH316" s="79" t="n"/>
      <c r="AI316" s="79" t="n"/>
      <c r="AJ316" s="79" t="n"/>
      <c r="AK316" s="79" t="n"/>
      <c r="AL316" s="79" t="n"/>
      <c r="AM316" s="79" t="n"/>
      <c r="AN316" s="79" t="n"/>
      <c r="AO316" s="79" t="n"/>
      <c r="AP316" s="79" t="n"/>
      <c r="AQ316" s="79" t="n"/>
      <c r="AR316" s="79" t="n"/>
      <c r="AS316" s="79" t="n"/>
      <c r="AT316" s="79" t="n"/>
      <c r="AU316" s="79" t="n"/>
      <c r="AV316" s="79" t="n"/>
      <c r="AW316" s="79" t="n"/>
      <c r="AX316" s="79" t="n"/>
      <c r="AY316" s="79" t="n"/>
      <c r="AZ316" s="79" t="n"/>
      <c r="BA316" s="79" t="n"/>
      <c r="BB316" s="79" t="n"/>
      <c r="BC316" s="79" t="n"/>
      <c r="BD316" s="79" t="n"/>
      <c r="BE316" s="79" t="n"/>
      <c r="BF316" s="79" t="n"/>
      <c r="BH316">
        <f>IF($BK316="",-999,($BK316-$A$1)*24)</f>
        <v/>
      </c>
      <c r="BI316">
        <f>IF($BK316="",-999,(IF($BL316&lt;&gt;"",$BL316,IF($C$1&gt;$BK316,$C$1,$BK316+MAX('Data Input'!E166*$BM316,0.5)/24))-$A$1)*24)</f>
        <v/>
      </c>
      <c r="BJ316">
        <f>IF($BK316="",0,IF($BM316&gt;=1,IF($BN316&lt;=0,2,3),IF($BN316&lt;=0,4,5)))</f>
        <v/>
      </c>
      <c r="BK316">
        <f>IF('Data Input'!Q166="","",'Data Input'!Q166)</f>
        <v/>
      </c>
      <c r="BL316">
        <f>IF('Data Input'!R166="","",'Data Input'!R166)</f>
        <v/>
      </c>
      <c r="BM316">
        <f>'Data Input'!S166</f>
        <v/>
      </c>
      <c r="BN316">
        <f>'Data Input'!Y166</f>
        <v/>
      </c>
      <c r="BO316">
        <f>IF($BM316&gt;=1,-999,MAX(($C$1-$A$1)*24,IF($BK316&lt;&gt;"",$BI316,$BP316-'Data Input'!E166)))</f>
        <v/>
      </c>
      <c r="BP316">
        <f>('Data Input'!D166+'Data Input'!Y166/24-$A$1)*24</f>
        <v/>
      </c>
    </row>
    <row r="317" ht="11.5" customHeight="1">
      <c r="A317" s="68">
        <f>'Data Input'!A167</f>
        <v/>
      </c>
      <c r="B317" s="69">
        <f>'Data Input'!B167</f>
        <v/>
      </c>
      <c r="C317" s="70">
        <f>'Data Input'!O167</f>
        <v/>
      </c>
      <c r="D317" s="71">
        <f>'Data Input'!D167</f>
        <v/>
      </c>
      <c r="E317" s="72">
        <f>'Data Input'!D167+'Data Input'!Y167/24</f>
        <v/>
      </c>
      <c r="F317" s="73">
        <f>'Data Input'!Y167</f>
        <v/>
      </c>
      <c r="G317" s="74">
        <f>'Data Input'!T167</f>
        <v/>
      </c>
      <c r="H317" s="75">
        <f>'Data Input'!S167</f>
        <v/>
      </c>
      <c r="I317" s="57" t="n"/>
      <c r="J317" s="76" t="inlineStr">
        <is>
          <t>P</t>
        </is>
      </c>
      <c r="K317" s="77" t="n"/>
      <c r="L317" s="77" t="n"/>
      <c r="M317" s="77" t="n"/>
      <c r="N317" s="77" t="n"/>
      <c r="O317" s="77" t="n"/>
      <c r="P317" s="77" t="n"/>
      <c r="Q317" s="77" t="n"/>
      <c r="R317" s="77" t="n"/>
      <c r="S317" s="77" t="n"/>
      <c r="T317" s="77" t="n"/>
      <c r="U317" s="77" t="n"/>
      <c r="V317" s="77" t="n"/>
      <c r="W317" s="77" t="n"/>
      <c r="X317" s="77" t="n"/>
      <c r="Y317" s="77" t="n"/>
      <c r="Z317" s="77" t="n"/>
      <c r="AA317" s="77" t="n"/>
      <c r="AB317" s="77" t="n"/>
      <c r="AC317" s="77" t="n"/>
      <c r="AD317" s="77" t="n"/>
      <c r="AE317" s="77" t="n"/>
      <c r="AF317" s="77" t="n"/>
      <c r="AG317" s="77" t="n"/>
      <c r="AH317" s="77" t="n"/>
      <c r="AI317" s="77" t="n"/>
      <c r="AJ317" s="77" t="n"/>
      <c r="AK317" s="77" t="n"/>
      <c r="AL317" s="77" t="n"/>
      <c r="AM317" s="77" t="n"/>
      <c r="AN317" s="77" t="n"/>
      <c r="AO317" s="77" t="n"/>
      <c r="AP317" s="77" t="n"/>
      <c r="AQ317" s="77" t="n"/>
      <c r="AR317" s="77" t="n"/>
      <c r="AS317" s="77" t="n"/>
      <c r="AT317" s="77" t="n"/>
      <c r="AU317" s="77" t="n"/>
      <c r="AV317" s="77" t="n"/>
      <c r="AW317" s="77" t="n"/>
      <c r="AX317" s="77" t="n"/>
      <c r="AY317" s="77" t="n"/>
      <c r="AZ317" s="77" t="n"/>
      <c r="BA317" s="77" t="n"/>
      <c r="BB317" s="77" t="n"/>
      <c r="BC317" s="77" t="n"/>
      <c r="BD317" s="77" t="n"/>
      <c r="BE317" s="77" t="n"/>
      <c r="BF317" s="77" t="n"/>
      <c r="BH317">
        <f>('Data Input'!C167-$A$1)*24</f>
        <v/>
      </c>
      <c r="BI317">
        <f>('Data Input'!D167-$A$1)*24</f>
        <v/>
      </c>
      <c r="BJ317" t="n">
        <v>1</v>
      </c>
      <c r="BO317" t="n">
        <v>-999</v>
      </c>
      <c r="BP317" t="n">
        <v>-999</v>
      </c>
    </row>
    <row r="318" ht="11.5" customHeight="1">
      <c r="A318" s="78" t="n"/>
      <c r="B318" s="78" t="n"/>
      <c r="C318" s="78" t="n"/>
      <c r="D318" s="78" t="n"/>
      <c r="E318" s="78" t="n"/>
      <c r="F318" s="78" t="n"/>
      <c r="G318" s="78" t="n"/>
      <c r="H318" s="78" t="n"/>
      <c r="I318" s="78" t="n"/>
      <c r="J318" s="76" t="inlineStr">
        <is>
          <t>A</t>
        </is>
      </c>
      <c r="K318" s="79" t="n"/>
      <c r="L318" s="79" t="n"/>
      <c r="M318" s="79" t="n"/>
      <c r="N318" s="79" t="n"/>
      <c r="O318" s="79" t="n"/>
      <c r="P318" s="79" t="n"/>
      <c r="Q318" s="79" t="n"/>
      <c r="R318" s="79" t="n"/>
      <c r="S318" s="79" t="n"/>
      <c r="T318" s="79" t="n"/>
      <c r="U318" s="79" t="n"/>
      <c r="V318" s="79" t="n"/>
      <c r="W318" s="79" t="n"/>
      <c r="X318" s="79" t="n"/>
      <c r="Y318" s="79" t="n"/>
      <c r="Z318" s="79" t="n"/>
      <c r="AA318" s="79" t="n"/>
      <c r="AB318" s="79" t="n"/>
      <c r="AC318" s="79" t="n"/>
      <c r="AD318" s="79" t="n"/>
      <c r="AE318" s="79" t="n"/>
      <c r="AF318" s="79" t="n"/>
      <c r="AG318" s="79" t="n"/>
      <c r="AH318" s="79" t="n"/>
      <c r="AI318" s="79" t="n"/>
      <c r="AJ318" s="79" t="n"/>
      <c r="AK318" s="79" t="n"/>
      <c r="AL318" s="79" t="n"/>
      <c r="AM318" s="79" t="n"/>
      <c r="AN318" s="79" t="n"/>
      <c r="AO318" s="79" t="n"/>
      <c r="AP318" s="79" t="n"/>
      <c r="AQ318" s="79" t="n"/>
      <c r="AR318" s="79" t="n"/>
      <c r="AS318" s="79" t="n"/>
      <c r="AT318" s="79" t="n"/>
      <c r="AU318" s="79" t="n"/>
      <c r="AV318" s="79" t="n"/>
      <c r="AW318" s="79" t="n"/>
      <c r="AX318" s="79" t="n"/>
      <c r="AY318" s="79" t="n"/>
      <c r="AZ318" s="79" t="n"/>
      <c r="BA318" s="79" t="n"/>
      <c r="BB318" s="79" t="n"/>
      <c r="BC318" s="79" t="n"/>
      <c r="BD318" s="79" t="n"/>
      <c r="BE318" s="79" t="n"/>
      <c r="BF318" s="79" t="n"/>
      <c r="BH318">
        <f>IF($BK318="",-999,($BK318-$A$1)*24)</f>
        <v/>
      </c>
      <c r="BI318">
        <f>IF($BK318="",-999,(IF($BL318&lt;&gt;"",$BL318,IF($C$1&gt;$BK318,$C$1,$BK318+MAX('Data Input'!E167*$BM318,0.5)/24))-$A$1)*24)</f>
        <v/>
      </c>
      <c r="BJ318">
        <f>IF($BK318="",0,IF($BM318&gt;=1,IF($BN318&lt;=0,2,3),IF($BN318&lt;=0,4,5)))</f>
        <v/>
      </c>
      <c r="BK318">
        <f>IF('Data Input'!Q167="","",'Data Input'!Q167)</f>
        <v/>
      </c>
      <c r="BL318">
        <f>IF('Data Input'!R167="","",'Data Input'!R167)</f>
        <v/>
      </c>
      <c r="BM318">
        <f>'Data Input'!S167</f>
        <v/>
      </c>
      <c r="BN318">
        <f>'Data Input'!Y167</f>
        <v/>
      </c>
      <c r="BO318">
        <f>IF($BM318&gt;=1,-999,MAX(($C$1-$A$1)*24,IF($BK318&lt;&gt;"",$BI318,$BP318-'Data Input'!E167)))</f>
        <v/>
      </c>
      <c r="BP318">
        <f>('Data Input'!D167+'Data Input'!Y167/24-$A$1)*24</f>
        <v/>
      </c>
    </row>
    <row r="319" ht="11.5" customHeight="1">
      <c r="A319" s="68">
        <f>'Data Input'!A168</f>
        <v/>
      </c>
      <c r="B319" s="69">
        <f>'Data Input'!B168</f>
        <v/>
      </c>
      <c r="C319" s="70">
        <f>'Data Input'!O168</f>
        <v/>
      </c>
      <c r="D319" s="71">
        <f>'Data Input'!D168</f>
        <v/>
      </c>
      <c r="E319" s="72">
        <f>'Data Input'!D168+'Data Input'!Y168/24</f>
        <v/>
      </c>
      <c r="F319" s="73">
        <f>'Data Input'!Y168</f>
        <v/>
      </c>
      <c r="G319" s="74">
        <f>'Data Input'!T168</f>
        <v/>
      </c>
      <c r="H319" s="75">
        <f>'Data Input'!S168</f>
        <v/>
      </c>
      <c r="I319" s="57" t="n"/>
      <c r="J319" s="76" t="inlineStr">
        <is>
          <t>P</t>
        </is>
      </c>
      <c r="K319" s="77" t="n"/>
      <c r="L319" s="77" t="n"/>
      <c r="M319" s="77" t="n"/>
      <c r="N319" s="77" t="n"/>
      <c r="O319" s="77" t="n"/>
      <c r="P319" s="77" t="n"/>
      <c r="Q319" s="77" t="n"/>
      <c r="R319" s="77" t="n"/>
      <c r="S319" s="77" t="n"/>
      <c r="T319" s="77" t="n"/>
      <c r="U319" s="77" t="n"/>
      <c r="V319" s="77" t="n"/>
      <c r="W319" s="77" t="n"/>
      <c r="X319" s="77" t="n"/>
      <c r="Y319" s="77" t="n"/>
      <c r="Z319" s="77" t="n"/>
      <c r="AA319" s="77" t="n"/>
      <c r="AB319" s="77" t="n"/>
      <c r="AC319" s="77" t="n"/>
      <c r="AD319" s="77" t="n"/>
      <c r="AE319" s="77" t="n"/>
      <c r="AF319" s="77" t="n"/>
      <c r="AG319" s="77" t="n"/>
      <c r="AH319" s="77" t="n"/>
      <c r="AI319" s="77" t="n"/>
      <c r="AJ319" s="77" t="n"/>
      <c r="AK319" s="77" t="n"/>
      <c r="AL319" s="77" t="n"/>
      <c r="AM319" s="77" t="n"/>
      <c r="AN319" s="77" t="n"/>
      <c r="AO319" s="77" t="n"/>
      <c r="AP319" s="77" t="n"/>
      <c r="AQ319" s="77" t="n"/>
      <c r="AR319" s="77" t="n"/>
      <c r="AS319" s="77" t="n"/>
      <c r="AT319" s="77" t="n"/>
      <c r="AU319" s="77" t="n"/>
      <c r="AV319" s="77" t="n"/>
      <c r="AW319" s="77" t="n"/>
      <c r="AX319" s="77" t="n"/>
      <c r="AY319" s="77" t="n"/>
      <c r="AZ319" s="77" t="n"/>
      <c r="BA319" s="77" t="n"/>
      <c r="BB319" s="77" t="n"/>
      <c r="BC319" s="77" t="n"/>
      <c r="BD319" s="77" t="n"/>
      <c r="BE319" s="77" t="n"/>
      <c r="BF319" s="77" t="n"/>
      <c r="BH319">
        <f>('Data Input'!C168-$A$1)*24</f>
        <v/>
      </c>
      <c r="BI319">
        <f>('Data Input'!D168-$A$1)*24</f>
        <v/>
      </c>
      <c r="BJ319" t="n">
        <v>1</v>
      </c>
      <c r="BO319" t="n">
        <v>-999</v>
      </c>
      <c r="BP319" t="n">
        <v>-999</v>
      </c>
    </row>
    <row r="320" ht="11.5" customHeight="1">
      <c r="A320" s="78" t="n"/>
      <c r="B320" s="78" t="n"/>
      <c r="C320" s="78" t="n"/>
      <c r="D320" s="78" t="n"/>
      <c r="E320" s="78" t="n"/>
      <c r="F320" s="78" t="n"/>
      <c r="G320" s="78" t="n"/>
      <c r="H320" s="78" t="n"/>
      <c r="I320" s="78" t="n"/>
      <c r="J320" s="76" t="inlineStr">
        <is>
          <t>A</t>
        </is>
      </c>
      <c r="K320" s="79" t="n"/>
      <c r="L320" s="79" t="n"/>
      <c r="M320" s="79" t="n"/>
      <c r="N320" s="79" t="n"/>
      <c r="O320" s="79" t="n"/>
      <c r="P320" s="79" t="n"/>
      <c r="Q320" s="79" t="n"/>
      <c r="R320" s="79" t="n"/>
      <c r="S320" s="79" t="n"/>
      <c r="T320" s="79" t="n"/>
      <c r="U320" s="79" t="n"/>
      <c r="V320" s="79" t="n"/>
      <c r="W320" s="79" t="n"/>
      <c r="X320" s="79" t="n"/>
      <c r="Y320" s="79" t="n"/>
      <c r="Z320" s="79" t="n"/>
      <c r="AA320" s="79" t="n"/>
      <c r="AB320" s="79" t="n"/>
      <c r="AC320" s="79" t="n"/>
      <c r="AD320" s="79" t="n"/>
      <c r="AE320" s="79" t="n"/>
      <c r="AF320" s="79" t="n"/>
      <c r="AG320" s="79" t="n"/>
      <c r="AH320" s="79" t="n"/>
      <c r="AI320" s="79" t="n"/>
      <c r="AJ320" s="79" t="n"/>
      <c r="AK320" s="79" t="n"/>
      <c r="AL320" s="79" t="n"/>
      <c r="AM320" s="79" t="n"/>
      <c r="AN320" s="79" t="n"/>
      <c r="AO320" s="79" t="n"/>
      <c r="AP320" s="79" t="n"/>
      <c r="AQ320" s="79" t="n"/>
      <c r="AR320" s="79" t="n"/>
      <c r="AS320" s="79" t="n"/>
      <c r="AT320" s="79" t="n"/>
      <c r="AU320" s="79" t="n"/>
      <c r="AV320" s="79" t="n"/>
      <c r="AW320" s="79" t="n"/>
      <c r="AX320" s="79" t="n"/>
      <c r="AY320" s="79" t="n"/>
      <c r="AZ320" s="79" t="n"/>
      <c r="BA320" s="79" t="n"/>
      <c r="BB320" s="79" t="n"/>
      <c r="BC320" s="79" t="n"/>
      <c r="BD320" s="79" t="n"/>
      <c r="BE320" s="79" t="n"/>
      <c r="BF320" s="79" t="n"/>
      <c r="BH320">
        <f>IF($BK320="",-999,($BK320-$A$1)*24)</f>
        <v/>
      </c>
      <c r="BI320">
        <f>IF($BK320="",-999,(IF($BL320&lt;&gt;"",$BL320,IF($C$1&gt;$BK320,$C$1,$BK320+MAX('Data Input'!E168*$BM320,0.5)/24))-$A$1)*24)</f>
        <v/>
      </c>
      <c r="BJ320">
        <f>IF($BK320="",0,IF($BM320&gt;=1,IF($BN320&lt;=0,2,3),IF($BN320&lt;=0,4,5)))</f>
        <v/>
      </c>
      <c r="BK320">
        <f>IF('Data Input'!Q168="","",'Data Input'!Q168)</f>
        <v/>
      </c>
      <c r="BL320">
        <f>IF('Data Input'!R168="","",'Data Input'!R168)</f>
        <v/>
      </c>
      <c r="BM320">
        <f>'Data Input'!S168</f>
        <v/>
      </c>
      <c r="BN320">
        <f>'Data Input'!Y168</f>
        <v/>
      </c>
      <c r="BO320">
        <f>IF($BM320&gt;=1,-999,MAX(($C$1-$A$1)*24,IF($BK320&lt;&gt;"",$BI320,$BP320-'Data Input'!E168)))</f>
        <v/>
      </c>
      <c r="BP320">
        <f>('Data Input'!D168+'Data Input'!Y168/24-$A$1)*24</f>
        <v/>
      </c>
    </row>
    <row r="321" ht="11.5" customHeight="1">
      <c r="A321" s="68">
        <f>'Data Input'!A169</f>
        <v/>
      </c>
      <c r="B321" s="69">
        <f>'Data Input'!B169</f>
        <v/>
      </c>
      <c r="C321" s="70">
        <f>'Data Input'!O169</f>
        <v/>
      </c>
      <c r="D321" s="71">
        <f>'Data Input'!D169</f>
        <v/>
      </c>
      <c r="E321" s="72">
        <f>'Data Input'!D169+'Data Input'!Y169/24</f>
        <v/>
      </c>
      <c r="F321" s="73">
        <f>'Data Input'!Y169</f>
        <v/>
      </c>
      <c r="G321" s="74">
        <f>'Data Input'!T169</f>
        <v/>
      </c>
      <c r="H321" s="75">
        <f>'Data Input'!S169</f>
        <v/>
      </c>
      <c r="I321" s="57" t="n"/>
      <c r="J321" s="76" t="inlineStr">
        <is>
          <t>P</t>
        </is>
      </c>
      <c r="K321" s="77" t="n"/>
      <c r="L321" s="77" t="n"/>
      <c r="M321" s="77" t="n"/>
      <c r="N321" s="77" t="n"/>
      <c r="O321" s="77" t="n"/>
      <c r="P321" s="77" t="n"/>
      <c r="Q321" s="77" t="n"/>
      <c r="R321" s="77" t="n"/>
      <c r="S321" s="77" t="n"/>
      <c r="T321" s="77" t="n"/>
      <c r="U321" s="77" t="n"/>
      <c r="V321" s="77" t="n"/>
      <c r="W321" s="77" t="n"/>
      <c r="X321" s="77" t="n"/>
      <c r="Y321" s="77" t="n"/>
      <c r="Z321" s="77" t="n"/>
      <c r="AA321" s="77" t="n"/>
      <c r="AB321" s="77" t="n"/>
      <c r="AC321" s="77" t="n"/>
      <c r="AD321" s="77" t="n"/>
      <c r="AE321" s="77" t="n"/>
      <c r="AF321" s="77" t="n"/>
      <c r="AG321" s="77" t="n"/>
      <c r="AH321" s="77" t="n"/>
      <c r="AI321" s="77" t="n"/>
      <c r="AJ321" s="77" t="n"/>
      <c r="AK321" s="77" t="n"/>
      <c r="AL321" s="77" t="n"/>
      <c r="AM321" s="77" t="n"/>
      <c r="AN321" s="77" t="n"/>
      <c r="AO321" s="77" t="n"/>
      <c r="AP321" s="77" t="n"/>
      <c r="AQ321" s="77" t="n"/>
      <c r="AR321" s="77" t="n"/>
      <c r="AS321" s="77" t="n"/>
      <c r="AT321" s="77" t="n"/>
      <c r="AU321" s="77" t="n"/>
      <c r="AV321" s="77" t="n"/>
      <c r="AW321" s="77" t="n"/>
      <c r="AX321" s="77" t="n"/>
      <c r="AY321" s="77" t="n"/>
      <c r="AZ321" s="77" t="n"/>
      <c r="BA321" s="77" t="n"/>
      <c r="BB321" s="77" t="n"/>
      <c r="BC321" s="77" t="n"/>
      <c r="BD321" s="77" t="n"/>
      <c r="BE321" s="77" t="n"/>
      <c r="BF321" s="77" t="n"/>
      <c r="BH321">
        <f>('Data Input'!C169-$A$1)*24</f>
        <v/>
      </c>
      <c r="BI321">
        <f>('Data Input'!D169-$A$1)*24</f>
        <v/>
      </c>
      <c r="BJ321" t="n">
        <v>1</v>
      </c>
      <c r="BO321" t="n">
        <v>-999</v>
      </c>
      <c r="BP321" t="n">
        <v>-999</v>
      </c>
    </row>
    <row r="322" ht="11.5" customHeight="1">
      <c r="A322" s="78" t="n"/>
      <c r="B322" s="78" t="n"/>
      <c r="C322" s="78" t="n"/>
      <c r="D322" s="78" t="n"/>
      <c r="E322" s="78" t="n"/>
      <c r="F322" s="78" t="n"/>
      <c r="G322" s="78" t="n"/>
      <c r="H322" s="78" t="n"/>
      <c r="I322" s="78" t="n"/>
      <c r="J322" s="76" t="inlineStr">
        <is>
          <t>A</t>
        </is>
      </c>
      <c r="K322" s="79" t="n"/>
      <c r="L322" s="79" t="n"/>
      <c r="M322" s="79" t="n"/>
      <c r="N322" s="79" t="n"/>
      <c r="O322" s="79" t="n"/>
      <c r="P322" s="79" t="n"/>
      <c r="Q322" s="79" t="n"/>
      <c r="R322" s="79" t="n"/>
      <c r="S322" s="79" t="n"/>
      <c r="T322" s="79" t="n"/>
      <c r="U322" s="79" t="n"/>
      <c r="V322" s="79" t="n"/>
      <c r="W322" s="79" t="n"/>
      <c r="X322" s="79" t="n"/>
      <c r="Y322" s="79" t="n"/>
      <c r="Z322" s="79" t="n"/>
      <c r="AA322" s="79" t="n"/>
      <c r="AB322" s="79" t="n"/>
      <c r="AC322" s="79" t="n"/>
      <c r="AD322" s="79" t="n"/>
      <c r="AE322" s="79" t="n"/>
      <c r="AF322" s="79" t="n"/>
      <c r="AG322" s="79" t="n"/>
      <c r="AH322" s="79" t="n"/>
      <c r="AI322" s="79" t="n"/>
      <c r="AJ322" s="79" t="n"/>
      <c r="AK322" s="79" t="n"/>
      <c r="AL322" s="79" t="n"/>
      <c r="AM322" s="79" t="n"/>
      <c r="AN322" s="79" t="n"/>
      <c r="AO322" s="79" t="n"/>
      <c r="AP322" s="79" t="n"/>
      <c r="AQ322" s="79" t="n"/>
      <c r="AR322" s="79" t="n"/>
      <c r="AS322" s="79" t="n"/>
      <c r="AT322" s="79" t="n"/>
      <c r="AU322" s="79" t="n"/>
      <c r="AV322" s="79" t="n"/>
      <c r="AW322" s="79" t="n"/>
      <c r="AX322" s="79" t="n"/>
      <c r="AY322" s="79" t="n"/>
      <c r="AZ322" s="79" t="n"/>
      <c r="BA322" s="79" t="n"/>
      <c r="BB322" s="79" t="n"/>
      <c r="BC322" s="79" t="n"/>
      <c r="BD322" s="79" t="n"/>
      <c r="BE322" s="79" t="n"/>
      <c r="BF322" s="79" t="n"/>
      <c r="BH322">
        <f>IF($BK322="",-999,($BK322-$A$1)*24)</f>
        <v/>
      </c>
      <c r="BI322">
        <f>IF($BK322="",-999,(IF($BL322&lt;&gt;"",$BL322,IF($C$1&gt;$BK322,$C$1,$BK322+MAX('Data Input'!E169*$BM322,0.5)/24))-$A$1)*24)</f>
        <v/>
      </c>
      <c r="BJ322">
        <f>IF($BK322="",0,IF($BM322&gt;=1,IF($BN322&lt;=0,2,3),IF($BN322&lt;=0,4,5)))</f>
        <v/>
      </c>
      <c r="BK322">
        <f>IF('Data Input'!Q169="","",'Data Input'!Q169)</f>
        <v/>
      </c>
      <c r="BL322">
        <f>IF('Data Input'!R169="","",'Data Input'!R169)</f>
        <v/>
      </c>
      <c r="BM322">
        <f>'Data Input'!S169</f>
        <v/>
      </c>
      <c r="BN322">
        <f>'Data Input'!Y169</f>
        <v/>
      </c>
      <c r="BO322">
        <f>IF($BM322&gt;=1,-999,MAX(($C$1-$A$1)*24,IF($BK322&lt;&gt;"",$BI322,$BP322-'Data Input'!E169)))</f>
        <v/>
      </c>
      <c r="BP322">
        <f>('Data Input'!D169+'Data Input'!Y169/24-$A$1)*24</f>
        <v/>
      </c>
    </row>
    <row r="323" ht="11.5" customHeight="1">
      <c r="A323" s="68">
        <f>'Data Input'!A170</f>
        <v/>
      </c>
      <c r="B323" s="69">
        <f>'Data Input'!B170</f>
        <v/>
      </c>
      <c r="C323" s="70">
        <f>'Data Input'!O170</f>
        <v/>
      </c>
      <c r="D323" s="71">
        <f>'Data Input'!D170</f>
        <v/>
      </c>
      <c r="E323" s="72">
        <f>'Data Input'!D170+'Data Input'!Y170/24</f>
        <v/>
      </c>
      <c r="F323" s="73">
        <f>'Data Input'!Y170</f>
        <v/>
      </c>
      <c r="G323" s="74">
        <f>'Data Input'!T170</f>
        <v/>
      </c>
      <c r="H323" s="75">
        <f>'Data Input'!S170</f>
        <v/>
      </c>
      <c r="I323" s="57" t="n"/>
      <c r="J323" s="76" t="inlineStr">
        <is>
          <t>P</t>
        </is>
      </c>
      <c r="K323" s="77" t="n"/>
      <c r="L323" s="77" t="n"/>
      <c r="M323" s="77" t="n"/>
      <c r="N323" s="77" t="n"/>
      <c r="O323" s="77" t="n"/>
      <c r="P323" s="77" t="n"/>
      <c r="Q323" s="77" t="n"/>
      <c r="R323" s="77" t="n"/>
      <c r="S323" s="77" t="n"/>
      <c r="T323" s="77" t="n"/>
      <c r="U323" s="77" t="n"/>
      <c r="V323" s="77" t="n"/>
      <c r="W323" s="77" t="n"/>
      <c r="X323" s="77" t="n"/>
      <c r="Y323" s="77" t="n"/>
      <c r="Z323" s="77" t="n"/>
      <c r="AA323" s="77" t="n"/>
      <c r="AB323" s="77" t="n"/>
      <c r="AC323" s="77" t="n"/>
      <c r="AD323" s="77" t="n"/>
      <c r="AE323" s="77" t="n"/>
      <c r="AF323" s="77" t="n"/>
      <c r="AG323" s="77" t="n"/>
      <c r="AH323" s="77" t="n"/>
      <c r="AI323" s="77" t="n"/>
      <c r="AJ323" s="77" t="n"/>
      <c r="AK323" s="77" t="n"/>
      <c r="AL323" s="77" t="n"/>
      <c r="AM323" s="77" t="n"/>
      <c r="AN323" s="77" t="n"/>
      <c r="AO323" s="77" t="n"/>
      <c r="AP323" s="77" t="n"/>
      <c r="AQ323" s="77" t="n"/>
      <c r="AR323" s="77" t="n"/>
      <c r="AS323" s="77" t="n"/>
      <c r="AT323" s="77" t="n"/>
      <c r="AU323" s="77" t="n"/>
      <c r="AV323" s="77" t="n"/>
      <c r="AW323" s="77" t="n"/>
      <c r="AX323" s="77" t="n"/>
      <c r="AY323" s="77" t="n"/>
      <c r="AZ323" s="77" t="n"/>
      <c r="BA323" s="77" t="n"/>
      <c r="BB323" s="77" t="n"/>
      <c r="BC323" s="77" t="n"/>
      <c r="BD323" s="77" t="n"/>
      <c r="BE323" s="77" t="n"/>
      <c r="BF323" s="77" t="n"/>
      <c r="BH323">
        <f>('Data Input'!C170-$A$1)*24</f>
        <v/>
      </c>
      <c r="BI323">
        <f>('Data Input'!D170-$A$1)*24</f>
        <v/>
      </c>
      <c r="BJ323" t="n">
        <v>1</v>
      </c>
      <c r="BO323" t="n">
        <v>-999</v>
      </c>
      <c r="BP323" t="n">
        <v>-999</v>
      </c>
    </row>
    <row r="324" ht="11.5" customHeight="1">
      <c r="A324" s="78" t="n"/>
      <c r="B324" s="78" t="n"/>
      <c r="C324" s="78" t="n"/>
      <c r="D324" s="78" t="n"/>
      <c r="E324" s="78" t="n"/>
      <c r="F324" s="78" t="n"/>
      <c r="G324" s="78" t="n"/>
      <c r="H324" s="78" t="n"/>
      <c r="I324" s="78" t="n"/>
      <c r="J324" s="76" t="inlineStr">
        <is>
          <t>A</t>
        </is>
      </c>
      <c r="K324" s="79" t="n"/>
      <c r="L324" s="79" t="n"/>
      <c r="M324" s="79" t="n"/>
      <c r="N324" s="79" t="n"/>
      <c r="O324" s="79" t="n"/>
      <c r="P324" s="79" t="n"/>
      <c r="Q324" s="79" t="n"/>
      <c r="R324" s="79" t="n"/>
      <c r="S324" s="79" t="n"/>
      <c r="T324" s="79" t="n"/>
      <c r="U324" s="79" t="n"/>
      <c r="V324" s="79" t="n"/>
      <c r="W324" s="79" t="n"/>
      <c r="X324" s="79" t="n"/>
      <c r="Y324" s="79" t="n"/>
      <c r="Z324" s="79" t="n"/>
      <c r="AA324" s="79" t="n"/>
      <c r="AB324" s="79" t="n"/>
      <c r="AC324" s="79" t="n"/>
      <c r="AD324" s="79" t="n"/>
      <c r="AE324" s="79" t="n"/>
      <c r="AF324" s="79" t="n"/>
      <c r="AG324" s="79" t="n"/>
      <c r="AH324" s="79" t="n"/>
      <c r="AI324" s="79" t="n"/>
      <c r="AJ324" s="79" t="n"/>
      <c r="AK324" s="79" t="n"/>
      <c r="AL324" s="79" t="n"/>
      <c r="AM324" s="79" t="n"/>
      <c r="AN324" s="79" t="n"/>
      <c r="AO324" s="79" t="n"/>
      <c r="AP324" s="79" t="n"/>
      <c r="AQ324" s="79" t="n"/>
      <c r="AR324" s="79" t="n"/>
      <c r="AS324" s="79" t="n"/>
      <c r="AT324" s="79" t="n"/>
      <c r="AU324" s="79" t="n"/>
      <c r="AV324" s="79" t="n"/>
      <c r="AW324" s="79" t="n"/>
      <c r="AX324" s="79" t="n"/>
      <c r="AY324" s="79" t="n"/>
      <c r="AZ324" s="79" t="n"/>
      <c r="BA324" s="79" t="n"/>
      <c r="BB324" s="79" t="n"/>
      <c r="BC324" s="79" t="n"/>
      <c r="BD324" s="79" t="n"/>
      <c r="BE324" s="79" t="n"/>
      <c r="BF324" s="79" t="n"/>
      <c r="BH324">
        <f>IF($BK324="",-999,($BK324-$A$1)*24)</f>
        <v/>
      </c>
      <c r="BI324">
        <f>IF($BK324="",-999,(IF($BL324&lt;&gt;"",$BL324,IF($C$1&gt;$BK324,$C$1,$BK324+MAX('Data Input'!E170*$BM324,0.5)/24))-$A$1)*24)</f>
        <v/>
      </c>
      <c r="BJ324">
        <f>IF($BK324="",0,IF($BM324&gt;=1,IF($BN324&lt;=0,2,3),IF($BN324&lt;=0,4,5)))</f>
        <v/>
      </c>
      <c r="BK324">
        <f>IF('Data Input'!Q170="","",'Data Input'!Q170)</f>
        <v/>
      </c>
      <c r="BL324">
        <f>IF('Data Input'!R170="","",'Data Input'!R170)</f>
        <v/>
      </c>
      <c r="BM324">
        <f>'Data Input'!S170</f>
        <v/>
      </c>
      <c r="BN324">
        <f>'Data Input'!Y170</f>
        <v/>
      </c>
      <c r="BO324">
        <f>IF($BM324&gt;=1,-999,MAX(($C$1-$A$1)*24,IF($BK324&lt;&gt;"",$BI324,$BP324-'Data Input'!E170)))</f>
        <v/>
      </c>
      <c r="BP324">
        <f>('Data Input'!D170+'Data Input'!Y170/24-$A$1)*24</f>
        <v/>
      </c>
    </row>
    <row r="325" ht="11.5" customHeight="1">
      <c r="A325" s="68">
        <f>'Data Input'!A171</f>
        <v/>
      </c>
      <c r="B325" s="69">
        <f>'Data Input'!B171</f>
        <v/>
      </c>
      <c r="C325" s="70">
        <f>'Data Input'!O171</f>
        <v/>
      </c>
      <c r="D325" s="71">
        <f>'Data Input'!D171</f>
        <v/>
      </c>
      <c r="E325" s="72">
        <f>'Data Input'!D171+'Data Input'!Y171/24</f>
        <v/>
      </c>
      <c r="F325" s="73">
        <f>'Data Input'!Y171</f>
        <v/>
      </c>
      <c r="G325" s="74">
        <f>'Data Input'!T171</f>
        <v/>
      </c>
      <c r="H325" s="75">
        <f>'Data Input'!S171</f>
        <v/>
      </c>
      <c r="I325" s="57" t="n"/>
      <c r="J325" s="76" t="inlineStr">
        <is>
          <t>P</t>
        </is>
      </c>
      <c r="K325" s="77" t="n"/>
      <c r="L325" s="77" t="n"/>
      <c r="M325" s="77" t="n"/>
      <c r="N325" s="77" t="n"/>
      <c r="O325" s="77" t="n"/>
      <c r="P325" s="77" t="n"/>
      <c r="Q325" s="77" t="n"/>
      <c r="R325" s="77" t="n"/>
      <c r="S325" s="77" t="n"/>
      <c r="T325" s="77" t="n"/>
      <c r="U325" s="77" t="n"/>
      <c r="V325" s="77" t="n"/>
      <c r="W325" s="77" t="n"/>
      <c r="X325" s="77" t="n"/>
      <c r="Y325" s="77" t="n"/>
      <c r="Z325" s="77" t="n"/>
      <c r="AA325" s="77" t="n"/>
      <c r="AB325" s="77" t="n"/>
      <c r="AC325" s="77" t="n"/>
      <c r="AD325" s="77" t="n"/>
      <c r="AE325" s="77" t="n"/>
      <c r="AF325" s="77" t="n"/>
      <c r="AG325" s="77" t="n"/>
      <c r="AH325" s="77" t="n"/>
      <c r="AI325" s="77" t="n"/>
      <c r="AJ325" s="77" t="n"/>
      <c r="AK325" s="77" t="n"/>
      <c r="AL325" s="77" t="n"/>
      <c r="AM325" s="77" t="n"/>
      <c r="AN325" s="77" t="n"/>
      <c r="AO325" s="77" t="n"/>
      <c r="AP325" s="77" t="n"/>
      <c r="AQ325" s="77" t="n"/>
      <c r="AR325" s="77" t="n"/>
      <c r="AS325" s="77" t="n"/>
      <c r="AT325" s="77" t="n"/>
      <c r="AU325" s="77" t="n"/>
      <c r="AV325" s="77" t="n"/>
      <c r="AW325" s="77" t="n"/>
      <c r="AX325" s="77" t="n"/>
      <c r="AY325" s="77" t="n"/>
      <c r="AZ325" s="77" t="n"/>
      <c r="BA325" s="77" t="n"/>
      <c r="BB325" s="77" t="n"/>
      <c r="BC325" s="77" t="n"/>
      <c r="BD325" s="77" t="n"/>
      <c r="BE325" s="77" t="n"/>
      <c r="BF325" s="77" t="n"/>
      <c r="BH325">
        <f>('Data Input'!C171-$A$1)*24</f>
        <v/>
      </c>
      <c r="BI325">
        <f>('Data Input'!D171-$A$1)*24</f>
        <v/>
      </c>
      <c r="BJ325" t="n">
        <v>1</v>
      </c>
      <c r="BO325" t="n">
        <v>-999</v>
      </c>
      <c r="BP325" t="n">
        <v>-999</v>
      </c>
    </row>
    <row r="326" ht="11.5" customHeight="1">
      <c r="A326" s="78" t="n"/>
      <c r="B326" s="78" t="n"/>
      <c r="C326" s="78" t="n"/>
      <c r="D326" s="78" t="n"/>
      <c r="E326" s="78" t="n"/>
      <c r="F326" s="78" t="n"/>
      <c r="G326" s="78" t="n"/>
      <c r="H326" s="78" t="n"/>
      <c r="I326" s="78" t="n"/>
      <c r="J326" s="76" t="inlineStr">
        <is>
          <t>A</t>
        </is>
      </c>
      <c r="K326" s="79" t="n"/>
      <c r="L326" s="79" t="n"/>
      <c r="M326" s="79" t="n"/>
      <c r="N326" s="79" t="n"/>
      <c r="O326" s="79" t="n"/>
      <c r="P326" s="79" t="n"/>
      <c r="Q326" s="79" t="n"/>
      <c r="R326" s="79" t="n"/>
      <c r="S326" s="79" t="n"/>
      <c r="T326" s="79" t="n"/>
      <c r="U326" s="79" t="n"/>
      <c r="V326" s="79" t="n"/>
      <c r="W326" s="79" t="n"/>
      <c r="X326" s="79" t="n"/>
      <c r="Y326" s="79" t="n"/>
      <c r="Z326" s="79" t="n"/>
      <c r="AA326" s="79" t="n"/>
      <c r="AB326" s="79" t="n"/>
      <c r="AC326" s="79" t="n"/>
      <c r="AD326" s="79" t="n"/>
      <c r="AE326" s="79" t="n"/>
      <c r="AF326" s="79" t="n"/>
      <c r="AG326" s="79" t="n"/>
      <c r="AH326" s="79" t="n"/>
      <c r="AI326" s="79" t="n"/>
      <c r="AJ326" s="79" t="n"/>
      <c r="AK326" s="79" t="n"/>
      <c r="AL326" s="79" t="n"/>
      <c r="AM326" s="79" t="n"/>
      <c r="AN326" s="79" t="n"/>
      <c r="AO326" s="79" t="n"/>
      <c r="AP326" s="79" t="n"/>
      <c r="AQ326" s="79" t="n"/>
      <c r="AR326" s="79" t="n"/>
      <c r="AS326" s="79" t="n"/>
      <c r="AT326" s="79" t="n"/>
      <c r="AU326" s="79" t="n"/>
      <c r="AV326" s="79" t="n"/>
      <c r="AW326" s="79" t="n"/>
      <c r="AX326" s="79" t="n"/>
      <c r="AY326" s="79" t="n"/>
      <c r="AZ326" s="79" t="n"/>
      <c r="BA326" s="79" t="n"/>
      <c r="BB326" s="79" t="n"/>
      <c r="BC326" s="79" t="n"/>
      <c r="BD326" s="79" t="n"/>
      <c r="BE326" s="79" t="n"/>
      <c r="BF326" s="79" t="n"/>
      <c r="BH326">
        <f>IF($BK326="",-999,($BK326-$A$1)*24)</f>
        <v/>
      </c>
      <c r="BI326">
        <f>IF($BK326="",-999,(IF($BL326&lt;&gt;"",$BL326,IF($C$1&gt;$BK326,$C$1,$BK326+MAX('Data Input'!E171*$BM326,0.5)/24))-$A$1)*24)</f>
        <v/>
      </c>
      <c r="BJ326">
        <f>IF($BK326="",0,IF($BM326&gt;=1,IF($BN326&lt;=0,2,3),IF($BN326&lt;=0,4,5)))</f>
        <v/>
      </c>
      <c r="BK326">
        <f>IF('Data Input'!Q171="","",'Data Input'!Q171)</f>
        <v/>
      </c>
      <c r="BL326">
        <f>IF('Data Input'!R171="","",'Data Input'!R171)</f>
        <v/>
      </c>
      <c r="BM326">
        <f>'Data Input'!S171</f>
        <v/>
      </c>
      <c r="BN326">
        <f>'Data Input'!Y171</f>
        <v/>
      </c>
      <c r="BO326">
        <f>IF($BM326&gt;=1,-999,MAX(($C$1-$A$1)*24,IF($BK326&lt;&gt;"",$BI326,$BP326-'Data Input'!E171)))</f>
        <v/>
      </c>
      <c r="BP326">
        <f>('Data Input'!D171+'Data Input'!Y171/24-$A$1)*24</f>
        <v/>
      </c>
    </row>
    <row r="327" ht="11.5" customHeight="1">
      <c r="A327" s="68">
        <f>'Data Input'!A172</f>
        <v/>
      </c>
      <c r="B327" s="69">
        <f>'Data Input'!B172</f>
        <v/>
      </c>
      <c r="C327" s="70">
        <f>'Data Input'!O172</f>
        <v/>
      </c>
      <c r="D327" s="71">
        <f>'Data Input'!D172</f>
        <v/>
      </c>
      <c r="E327" s="72">
        <f>'Data Input'!D172+'Data Input'!Y172/24</f>
        <v/>
      </c>
      <c r="F327" s="73">
        <f>'Data Input'!Y172</f>
        <v/>
      </c>
      <c r="G327" s="74">
        <f>'Data Input'!T172</f>
        <v/>
      </c>
      <c r="H327" s="75">
        <f>'Data Input'!S172</f>
        <v/>
      </c>
      <c r="I327" s="57" t="n"/>
      <c r="J327" s="76" t="inlineStr">
        <is>
          <t>P</t>
        </is>
      </c>
      <c r="K327" s="77" t="n"/>
      <c r="L327" s="77" t="n"/>
      <c r="M327" s="77" t="n"/>
      <c r="N327" s="77" t="n"/>
      <c r="O327" s="77" t="n"/>
      <c r="P327" s="77" t="n"/>
      <c r="Q327" s="77" t="n"/>
      <c r="R327" s="77" t="n"/>
      <c r="S327" s="77" t="n"/>
      <c r="T327" s="77" t="n"/>
      <c r="U327" s="77" t="n"/>
      <c r="V327" s="77" t="n"/>
      <c r="W327" s="77" t="n"/>
      <c r="X327" s="77" t="n"/>
      <c r="Y327" s="77" t="n"/>
      <c r="Z327" s="77" t="n"/>
      <c r="AA327" s="77" t="n"/>
      <c r="AB327" s="77" t="n"/>
      <c r="AC327" s="77" t="n"/>
      <c r="AD327" s="77" t="n"/>
      <c r="AE327" s="77" t="n"/>
      <c r="AF327" s="77" t="n"/>
      <c r="AG327" s="77" t="n"/>
      <c r="AH327" s="77" t="n"/>
      <c r="AI327" s="77" t="n"/>
      <c r="AJ327" s="77" t="n"/>
      <c r="AK327" s="77" t="n"/>
      <c r="AL327" s="77" t="n"/>
      <c r="AM327" s="77" t="n"/>
      <c r="AN327" s="77" t="n"/>
      <c r="AO327" s="77" t="n"/>
      <c r="AP327" s="77" t="n"/>
      <c r="AQ327" s="77" t="n"/>
      <c r="AR327" s="77" t="n"/>
      <c r="AS327" s="77" t="n"/>
      <c r="AT327" s="77" t="n"/>
      <c r="AU327" s="77" t="n"/>
      <c r="AV327" s="77" t="n"/>
      <c r="AW327" s="77" t="n"/>
      <c r="AX327" s="77" t="n"/>
      <c r="AY327" s="77" t="n"/>
      <c r="AZ327" s="77" t="n"/>
      <c r="BA327" s="77" t="n"/>
      <c r="BB327" s="77" t="n"/>
      <c r="BC327" s="77" t="n"/>
      <c r="BD327" s="77" t="n"/>
      <c r="BE327" s="77" t="n"/>
      <c r="BF327" s="77" t="n"/>
      <c r="BH327">
        <f>('Data Input'!C172-$A$1)*24</f>
        <v/>
      </c>
      <c r="BI327">
        <f>('Data Input'!D172-$A$1)*24</f>
        <v/>
      </c>
      <c r="BJ327" t="n">
        <v>1</v>
      </c>
      <c r="BO327" t="n">
        <v>-999</v>
      </c>
      <c r="BP327" t="n">
        <v>-999</v>
      </c>
    </row>
    <row r="328" ht="11.5" customHeight="1">
      <c r="A328" s="78" t="n"/>
      <c r="B328" s="78" t="n"/>
      <c r="C328" s="78" t="n"/>
      <c r="D328" s="78" t="n"/>
      <c r="E328" s="78" t="n"/>
      <c r="F328" s="78" t="n"/>
      <c r="G328" s="78" t="n"/>
      <c r="H328" s="78" t="n"/>
      <c r="I328" s="78" t="n"/>
      <c r="J328" s="76" t="inlineStr">
        <is>
          <t>A</t>
        </is>
      </c>
      <c r="K328" s="79" t="n"/>
      <c r="L328" s="79" t="n"/>
      <c r="M328" s="79" t="n"/>
      <c r="N328" s="79" t="n"/>
      <c r="O328" s="79" t="n"/>
      <c r="P328" s="79" t="n"/>
      <c r="Q328" s="79" t="n"/>
      <c r="R328" s="79" t="n"/>
      <c r="S328" s="79" t="n"/>
      <c r="T328" s="79" t="n"/>
      <c r="U328" s="79" t="n"/>
      <c r="V328" s="79" t="n"/>
      <c r="W328" s="79" t="n"/>
      <c r="X328" s="79" t="n"/>
      <c r="Y328" s="79" t="n"/>
      <c r="Z328" s="79" t="n"/>
      <c r="AA328" s="79" t="n"/>
      <c r="AB328" s="79" t="n"/>
      <c r="AC328" s="79" t="n"/>
      <c r="AD328" s="79" t="n"/>
      <c r="AE328" s="79" t="n"/>
      <c r="AF328" s="79" t="n"/>
      <c r="AG328" s="79" t="n"/>
      <c r="AH328" s="79" t="n"/>
      <c r="AI328" s="79" t="n"/>
      <c r="AJ328" s="79" t="n"/>
      <c r="AK328" s="79" t="n"/>
      <c r="AL328" s="79" t="n"/>
      <c r="AM328" s="79" t="n"/>
      <c r="AN328" s="79" t="n"/>
      <c r="AO328" s="79" t="n"/>
      <c r="AP328" s="79" t="n"/>
      <c r="AQ328" s="79" t="n"/>
      <c r="AR328" s="79" t="n"/>
      <c r="AS328" s="79" t="n"/>
      <c r="AT328" s="79" t="n"/>
      <c r="AU328" s="79" t="n"/>
      <c r="AV328" s="79" t="n"/>
      <c r="AW328" s="79" t="n"/>
      <c r="AX328" s="79" t="n"/>
      <c r="AY328" s="79" t="n"/>
      <c r="AZ328" s="79" t="n"/>
      <c r="BA328" s="79" t="n"/>
      <c r="BB328" s="79" t="n"/>
      <c r="BC328" s="79" t="n"/>
      <c r="BD328" s="79" t="n"/>
      <c r="BE328" s="79" t="n"/>
      <c r="BF328" s="79" t="n"/>
      <c r="BH328">
        <f>IF($BK328="",-999,($BK328-$A$1)*24)</f>
        <v/>
      </c>
      <c r="BI328">
        <f>IF($BK328="",-999,(IF($BL328&lt;&gt;"",$BL328,IF($C$1&gt;$BK328,$C$1,$BK328+MAX('Data Input'!E172*$BM328,0.5)/24))-$A$1)*24)</f>
        <v/>
      </c>
      <c r="BJ328">
        <f>IF($BK328="",0,IF($BM328&gt;=1,IF($BN328&lt;=0,2,3),IF($BN328&lt;=0,4,5)))</f>
        <v/>
      </c>
      <c r="BK328">
        <f>IF('Data Input'!Q172="","",'Data Input'!Q172)</f>
        <v/>
      </c>
      <c r="BL328">
        <f>IF('Data Input'!R172="","",'Data Input'!R172)</f>
        <v/>
      </c>
      <c r="BM328">
        <f>'Data Input'!S172</f>
        <v/>
      </c>
      <c r="BN328">
        <f>'Data Input'!Y172</f>
        <v/>
      </c>
      <c r="BO328">
        <f>IF($BM328&gt;=1,-999,MAX(($C$1-$A$1)*24,IF($BK328&lt;&gt;"",$BI328,$BP328-'Data Input'!E172)))</f>
        <v/>
      </c>
      <c r="BP328">
        <f>('Data Input'!D172+'Data Input'!Y172/24-$A$1)*24</f>
        <v/>
      </c>
    </row>
    <row r="329" ht="21" customHeight="1">
      <c r="A329" s="80">
        <f>"  TOTAL  -  "&amp;'Data Input'!$B$19</f>
        <v/>
      </c>
      <c r="B329" s="103" t="n"/>
      <c r="C329" s="81">
        <f>C17</f>
        <v/>
      </c>
      <c r="D329" s="82">
        <f>D17</f>
        <v/>
      </c>
      <c r="E329" s="82">
        <f>E17</f>
        <v/>
      </c>
      <c r="F329" s="83">
        <f>F17</f>
        <v/>
      </c>
      <c r="G329" s="84">
        <f>G17</f>
        <v/>
      </c>
      <c r="H329" s="85">
        <f>H17</f>
        <v/>
      </c>
      <c r="I329" s="86">
        <f>I17</f>
        <v/>
      </c>
      <c r="J329" s="38" t="n"/>
      <c r="K329" s="87">
        <f>"TOTAL  "&amp;TEXT(SUM('Data Input'!E147:E172),"0.0")&amp;" activity hours          Possession elapsed  "&amp;TEXT(MEDIAN(0,($C$1-$A$1)*24,($B$1-$A$1)*24),"0.0")&amp;"  of  "&amp;TEXT(($B$1-$A$1)*24,"0.0")&amp;" h          Report cut-off  "&amp;TEXT($C$1,"ddd dd-mmm hh:mm")</f>
        <v/>
      </c>
      <c r="L329" s="102" t="n"/>
      <c r="M329" s="102" t="n"/>
      <c r="N329" s="102" t="n"/>
      <c r="O329" s="102" t="n"/>
      <c r="P329" s="102" t="n"/>
      <c r="Q329" s="102" t="n"/>
      <c r="R329" s="102" t="n"/>
      <c r="S329" s="102" t="n"/>
      <c r="T329" s="102" t="n"/>
      <c r="U329" s="102" t="n"/>
      <c r="V329" s="102" t="n"/>
      <c r="W329" s="102" t="n"/>
      <c r="X329" s="102" t="n"/>
      <c r="Y329" s="102" t="n"/>
      <c r="Z329" s="102" t="n"/>
      <c r="AA329" s="102" t="n"/>
      <c r="AB329" s="102" t="n"/>
      <c r="AC329" s="102" t="n"/>
      <c r="AD329" s="102" t="n"/>
      <c r="AE329" s="102" t="n"/>
      <c r="AF329" s="102" t="n"/>
      <c r="AG329" s="102" t="n"/>
      <c r="AH329" s="102" t="n"/>
      <c r="AI329" s="102" t="n"/>
      <c r="AJ329" s="102" t="n"/>
      <c r="AK329" s="102" t="n"/>
      <c r="AL329" s="102" t="n"/>
      <c r="AM329" s="102" t="n"/>
      <c r="AN329" s="102" t="n"/>
      <c r="AO329" s="102" t="n"/>
      <c r="AP329" s="102" t="n"/>
      <c r="AQ329" s="102" t="n"/>
      <c r="AR329" s="102" t="n"/>
      <c r="AS329" s="102" t="n"/>
      <c r="AT329" s="102" t="n"/>
      <c r="AU329" s="102" t="n"/>
      <c r="AV329" s="102" t="n"/>
      <c r="AW329" s="102" t="n"/>
      <c r="AX329" s="102" t="n"/>
      <c r="AY329" s="102" t="n"/>
      <c r="AZ329" s="102" t="n"/>
      <c r="BA329" s="102" t="n"/>
      <c r="BB329" s="102" t="n"/>
      <c r="BC329" s="102" t="n"/>
      <c r="BD329" s="102" t="n"/>
      <c r="BE329" s="102" t="n"/>
      <c r="BF329" s="103" t="n"/>
    </row>
    <row r="330" ht="16" customHeight="1">
      <c r="A330" s="88" t="n"/>
      <c r="B330" s="89" t="inlineStr">
        <is>
          <t>Planned (baseline)</t>
        </is>
      </c>
      <c r="D330" s="90" t="inlineStr">
        <is>
          <t>Black line = report cut-off</t>
        </is>
      </c>
      <c r="G330" s="90" t="inlineStr">
        <is>
          <t>Time Variance = Forecast vs Planned Finish</t>
        </is>
      </c>
      <c r="O330" s="91" t="n"/>
      <c r="P330" s="89" t="inlineStr">
        <is>
          <t>Done on time</t>
        </is>
      </c>
      <c r="X330" s="92" t="n"/>
      <c r="Y330" s="89" t="inlineStr">
        <is>
          <t>Done late</t>
        </is>
      </c>
      <c r="AG330" s="93" t="n"/>
      <c r="AH330" s="89" t="inlineStr">
        <is>
          <t>In progress</t>
        </is>
      </c>
      <c r="AP330" s="94" t="n"/>
      <c r="AQ330" s="89" t="inlineStr">
        <is>
          <t>Behind</t>
        </is>
      </c>
      <c r="AY330" s="95" t="n"/>
      <c r="AZ330" s="89" t="inlineStr">
        <is>
          <t>Forecast</t>
        </is>
      </c>
    </row>
  </sheetData>
  <mergeCells count="1305">
    <mergeCell ref="G268:G269"/>
    <mergeCell ref="G297:G298"/>
    <mergeCell ref="B165:B166"/>
    <mergeCell ref="F173:F174"/>
    <mergeCell ref="G299:G300"/>
    <mergeCell ref="I57:I58"/>
    <mergeCell ref="D254:D255"/>
    <mergeCell ref="AH330:AN330"/>
    <mergeCell ref="I146:I147"/>
    <mergeCell ref="C132:C133"/>
    <mergeCell ref="D283:D284"/>
    <mergeCell ref="D285:D286"/>
    <mergeCell ref="F313:F314"/>
    <mergeCell ref="E254:E255"/>
    <mergeCell ref="B209:B210"/>
    <mergeCell ref="E248:E249"/>
    <mergeCell ref="C185:C186"/>
    <mergeCell ref="G136:G137"/>
    <mergeCell ref="D311:D312"/>
    <mergeCell ref="I71:I72"/>
    <mergeCell ref="C201:C202"/>
    <mergeCell ref="I73:I74"/>
    <mergeCell ref="C203:C204"/>
    <mergeCell ref="P330:V330"/>
    <mergeCell ref="K211:BF211"/>
    <mergeCell ref="A140:A141"/>
    <mergeCell ref="B108:B109"/>
    <mergeCell ref="B230:B231"/>
    <mergeCell ref="E91:E92"/>
    <mergeCell ref="B266:B267"/>
    <mergeCell ref="A171:A172"/>
    <mergeCell ref="B268:B269"/>
    <mergeCell ref="I124:I125"/>
    <mergeCell ref="A173:A174"/>
    <mergeCell ref="F299:F300"/>
    <mergeCell ref="E262:E263"/>
    <mergeCell ref="H146:H147"/>
    <mergeCell ref="I126:I127"/>
    <mergeCell ref="A41:A42"/>
    <mergeCell ref="K276:P276"/>
    <mergeCell ref="B167:B168"/>
    <mergeCell ref="A193:A194"/>
    <mergeCell ref="B161:B162"/>
    <mergeCell ref="E295:E296"/>
    <mergeCell ref="B250:B251"/>
    <mergeCell ref="K12:BF12"/>
    <mergeCell ref="I142:I143"/>
    <mergeCell ref="B279:B280"/>
    <mergeCell ref="A274:I274"/>
    <mergeCell ref="G79:G80"/>
    <mergeCell ref="E315:E316"/>
    <mergeCell ref="A209:A210"/>
    <mergeCell ref="D220:D221"/>
    <mergeCell ref="G81:G82"/>
    <mergeCell ref="Q158:V158"/>
    <mergeCell ref="D256:D257"/>
    <mergeCell ref="B193:B194"/>
    <mergeCell ref="D222:D223"/>
    <mergeCell ref="C161:C162"/>
    <mergeCell ref="C283:C284"/>
    <mergeCell ref="C285:C286"/>
    <mergeCell ref="E43:E44"/>
    <mergeCell ref="H73:H74"/>
    <mergeCell ref="I163:I164"/>
    <mergeCell ref="B175:B176"/>
    <mergeCell ref="A108:A109"/>
    <mergeCell ref="I165:I166"/>
    <mergeCell ref="D91:D92"/>
    <mergeCell ref="C301:C302"/>
    <mergeCell ref="B177:B178"/>
    <mergeCell ref="C303:C304"/>
    <mergeCell ref="E61:E62"/>
    <mergeCell ref="K275:AH275"/>
    <mergeCell ref="I69:I70"/>
    <mergeCell ref="H126:H127"/>
    <mergeCell ref="W99:AB99"/>
    <mergeCell ref="C323:C324"/>
    <mergeCell ref="B264:B265"/>
    <mergeCell ref="D295:D296"/>
    <mergeCell ref="A250:A251"/>
    <mergeCell ref="A169:A170"/>
    <mergeCell ref="I209:I210"/>
    <mergeCell ref="A283:A284"/>
    <mergeCell ref="D163:D164"/>
    <mergeCell ref="E260:E261"/>
    <mergeCell ref="D321:D322"/>
    <mergeCell ref="F79:F80"/>
    <mergeCell ref="H144:H145"/>
    <mergeCell ref="C226:C227"/>
    <mergeCell ref="D323:D324"/>
    <mergeCell ref="F81:F82"/>
    <mergeCell ref="E291:E292"/>
    <mergeCell ref="G49:G50"/>
    <mergeCell ref="B246:B247"/>
    <mergeCell ref="G207:G208"/>
    <mergeCell ref="C228:C229"/>
    <mergeCell ref="C222:C223"/>
    <mergeCell ref="A309:A310"/>
    <mergeCell ref="F226:F227"/>
    <mergeCell ref="C69:C70"/>
    <mergeCell ref="B277:B278"/>
    <mergeCell ref="K215:BF215"/>
    <mergeCell ref="I108:I109"/>
    <mergeCell ref="D305:D306"/>
    <mergeCell ref="F63:F64"/>
    <mergeCell ref="B330:C330"/>
    <mergeCell ref="B301:B302"/>
    <mergeCell ref="G191:G192"/>
    <mergeCell ref="F309:F310"/>
    <mergeCell ref="A177:A178"/>
    <mergeCell ref="E128:E129"/>
    <mergeCell ref="B303:B304"/>
    <mergeCell ref="G220:G221"/>
    <mergeCell ref="F311:F312"/>
    <mergeCell ref="H69:H70"/>
    <mergeCell ref="I167:I168"/>
    <mergeCell ref="I161:I162"/>
    <mergeCell ref="G63:G64"/>
    <mergeCell ref="C297:C298"/>
    <mergeCell ref="I250:I251"/>
    <mergeCell ref="C299:C300"/>
    <mergeCell ref="E57:E58"/>
    <mergeCell ref="E146:E147"/>
    <mergeCell ref="C83:C84"/>
    <mergeCell ref="H209:H210"/>
    <mergeCell ref="AU40:AZ40"/>
    <mergeCell ref="I179:I180"/>
    <mergeCell ref="G116:G117"/>
    <mergeCell ref="D291:D292"/>
    <mergeCell ref="B228:B229"/>
    <mergeCell ref="G118:G119"/>
    <mergeCell ref="A254:A255"/>
    <mergeCell ref="D293:D294"/>
    <mergeCell ref="A248:A249"/>
    <mergeCell ref="F181:F182"/>
    <mergeCell ref="E114:E115"/>
    <mergeCell ref="G134:G135"/>
    <mergeCell ref="G144:G145"/>
    <mergeCell ref="E71:E72"/>
    <mergeCell ref="C307:C308"/>
    <mergeCell ref="B248:B249"/>
    <mergeCell ref="D128:D129"/>
    <mergeCell ref="A146:A147"/>
    <mergeCell ref="H167:H168"/>
    <mergeCell ref="A277:A278"/>
    <mergeCell ref="I264:I265"/>
    <mergeCell ref="A16:B16"/>
    <mergeCell ref="H250:H251"/>
    <mergeCell ref="H169:H170"/>
    <mergeCell ref="B299:B300"/>
    <mergeCell ref="A18:B18"/>
    <mergeCell ref="D146:D147"/>
    <mergeCell ref="G218:G219"/>
    <mergeCell ref="G59:G60"/>
    <mergeCell ref="I246:I247"/>
    <mergeCell ref="A295:A296"/>
    <mergeCell ref="F116:F117"/>
    <mergeCell ref="H309:H310"/>
    <mergeCell ref="C79:C80"/>
    <mergeCell ref="F118:F119"/>
    <mergeCell ref="A315:A316"/>
    <mergeCell ref="H311:H312"/>
    <mergeCell ref="G244:G245"/>
    <mergeCell ref="AH153:AN153"/>
    <mergeCell ref="E181:E182"/>
    <mergeCell ref="G87:G88"/>
    <mergeCell ref="G201:G202"/>
    <mergeCell ref="I301:I302"/>
    <mergeCell ref="F134:F135"/>
    <mergeCell ref="B313:B314"/>
    <mergeCell ref="D71:D72"/>
    <mergeCell ref="I303:I304"/>
    <mergeCell ref="F258:F259"/>
    <mergeCell ref="D73:D74"/>
    <mergeCell ref="E163:E164"/>
    <mergeCell ref="F266:F267"/>
    <mergeCell ref="F260:F261"/>
    <mergeCell ref="E199:E200"/>
    <mergeCell ref="I207:I208"/>
    <mergeCell ref="A59:A60"/>
    <mergeCell ref="I232:I233"/>
    <mergeCell ref="A61:A62"/>
    <mergeCell ref="G169:G170"/>
    <mergeCell ref="D126:D127"/>
    <mergeCell ref="C65:C66"/>
    <mergeCell ref="D301:D302"/>
    <mergeCell ref="C120:C121"/>
    <mergeCell ref="H246:H247"/>
    <mergeCell ref="K39:AH39"/>
    <mergeCell ref="F61:F62"/>
    <mergeCell ref="H248:H249"/>
    <mergeCell ref="G309:G310"/>
    <mergeCell ref="D142:D143"/>
    <mergeCell ref="E124:E125"/>
    <mergeCell ref="B79:B80"/>
    <mergeCell ref="G311:G312"/>
    <mergeCell ref="D144:D145"/>
    <mergeCell ref="AZ212:BF212"/>
    <mergeCell ref="E126:E127"/>
    <mergeCell ref="B81:B82"/>
    <mergeCell ref="A291:A292"/>
    <mergeCell ref="AI40:AN40"/>
    <mergeCell ref="C49:C50"/>
    <mergeCell ref="I77:I78"/>
    <mergeCell ref="F218:F219"/>
    <mergeCell ref="F201:F202"/>
    <mergeCell ref="F89:F90"/>
    <mergeCell ref="E108:E109"/>
    <mergeCell ref="E266:E267"/>
    <mergeCell ref="D171:D172"/>
    <mergeCell ref="I297:I298"/>
    <mergeCell ref="D165:D166"/>
    <mergeCell ref="E268:E269"/>
    <mergeCell ref="D173:D174"/>
    <mergeCell ref="I299:I300"/>
    <mergeCell ref="C106:C107"/>
    <mergeCell ref="F256:F257"/>
    <mergeCell ref="E195:E196"/>
    <mergeCell ref="A211:B211"/>
    <mergeCell ref="B120:B121"/>
    <mergeCell ref="I317:I318"/>
    <mergeCell ref="G254:G255"/>
    <mergeCell ref="D209:D210"/>
    <mergeCell ref="G248:G249"/>
    <mergeCell ref="Y271:AE271"/>
    <mergeCell ref="F159:F160"/>
    <mergeCell ref="G256:G257"/>
    <mergeCell ref="C150:C151"/>
    <mergeCell ref="F161:F162"/>
    <mergeCell ref="A81:A82"/>
    <mergeCell ref="H77:H78"/>
    <mergeCell ref="G281:G282"/>
    <mergeCell ref="E218:E219"/>
    <mergeCell ref="K329:BF329"/>
    <mergeCell ref="E209:E210"/>
    <mergeCell ref="A114:A115"/>
    <mergeCell ref="E203:E204"/>
    <mergeCell ref="A37:BF37"/>
    <mergeCell ref="D108:D109"/>
    <mergeCell ref="F301:F302"/>
    <mergeCell ref="H59:H60"/>
    <mergeCell ref="D266:D267"/>
    <mergeCell ref="C134:C135"/>
    <mergeCell ref="E234:E235"/>
    <mergeCell ref="F295:F296"/>
    <mergeCell ref="A71:A72"/>
    <mergeCell ref="C171:C172"/>
    <mergeCell ref="F303:F304"/>
    <mergeCell ref="H61:H62"/>
    <mergeCell ref="D268:D269"/>
    <mergeCell ref="E236:E237"/>
    <mergeCell ref="C173:C174"/>
    <mergeCell ref="B226:B227"/>
    <mergeCell ref="A311:A312"/>
    <mergeCell ref="D167:D168"/>
    <mergeCell ref="B63:B64"/>
    <mergeCell ref="E264:E265"/>
    <mergeCell ref="D250:D251"/>
    <mergeCell ref="D169:D170"/>
    <mergeCell ref="AO217:AT217"/>
    <mergeCell ref="C191:C192"/>
    <mergeCell ref="C218:C219"/>
    <mergeCell ref="H291:H292"/>
    <mergeCell ref="G224:G225"/>
    <mergeCell ref="E161:E162"/>
    <mergeCell ref="B116:B117"/>
    <mergeCell ref="I112:I113"/>
    <mergeCell ref="AO276:AT276"/>
    <mergeCell ref="B118:B119"/>
    <mergeCell ref="A57:A58"/>
    <mergeCell ref="I114:I115"/>
    <mergeCell ref="C244:C245"/>
    <mergeCell ref="A181:A182"/>
    <mergeCell ref="D271:F271"/>
    <mergeCell ref="C87:C88"/>
    <mergeCell ref="E301:E302"/>
    <mergeCell ref="B134:B135"/>
    <mergeCell ref="C116:C117"/>
    <mergeCell ref="B144:B145"/>
    <mergeCell ref="AU158:AZ158"/>
    <mergeCell ref="G67:G68"/>
    <mergeCell ref="E303:E304"/>
    <mergeCell ref="G61:G62"/>
    <mergeCell ref="AI217:AN217"/>
    <mergeCell ref="G69:G70"/>
    <mergeCell ref="F297:F298"/>
    <mergeCell ref="F327:F328"/>
    <mergeCell ref="C167:C168"/>
    <mergeCell ref="H57:H58"/>
    <mergeCell ref="D264:D265"/>
    <mergeCell ref="E232:E233"/>
    <mergeCell ref="C169:C170"/>
    <mergeCell ref="C258:C259"/>
    <mergeCell ref="B163:B164"/>
    <mergeCell ref="B218:B219"/>
    <mergeCell ref="G291:G292"/>
    <mergeCell ref="I49:I50"/>
    <mergeCell ref="D246:D247"/>
    <mergeCell ref="G293:G294"/>
    <mergeCell ref="H112:H113"/>
    <mergeCell ref="D248:D249"/>
    <mergeCell ref="C187:C188"/>
    <mergeCell ref="C309:C310"/>
    <mergeCell ref="A124:A125"/>
    <mergeCell ref="A118:A119"/>
    <mergeCell ref="H114:H115"/>
    <mergeCell ref="C311:C312"/>
    <mergeCell ref="A126:A127"/>
    <mergeCell ref="E77:E78"/>
    <mergeCell ref="B87:B88"/>
    <mergeCell ref="H71:H72"/>
    <mergeCell ref="E246:E247"/>
    <mergeCell ref="B201:B202"/>
    <mergeCell ref="I191:I192"/>
    <mergeCell ref="B89:B90"/>
    <mergeCell ref="I110:I111"/>
    <mergeCell ref="D309:D310"/>
    <mergeCell ref="F67:F68"/>
    <mergeCell ref="A142:A143"/>
    <mergeCell ref="D303:D304"/>
    <mergeCell ref="I199:I200"/>
    <mergeCell ref="AI157:BF157"/>
    <mergeCell ref="A13:B13"/>
    <mergeCell ref="F69:F70"/>
    <mergeCell ref="A266:A267"/>
    <mergeCell ref="A260:A261"/>
    <mergeCell ref="I228:I229"/>
    <mergeCell ref="E297:E298"/>
    <mergeCell ref="A15:B15"/>
    <mergeCell ref="A268:A269"/>
    <mergeCell ref="E299:E300"/>
    <mergeCell ref="C114:C115"/>
    <mergeCell ref="G65:G66"/>
    <mergeCell ref="A4:BF4"/>
    <mergeCell ref="B258:B259"/>
    <mergeCell ref="F262:F263"/>
    <mergeCell ref="A163:A164"/>
    <mergeCell ref="F122:F123"/>
    <mergeCell ref="A155:BF155"/>
    <mergeCell ref="AC217:AH217"/>
    <mergeCell ref="C254:C255"/>
    <mergeCell ref="F293:F294"/>
    <mergeCell ref="C248:C249"/>
    <mergeCell ref="B159:B160"/>
    <mergeCell ref="C256:C257"/>
    <mergeCell ref="G122:G123"/>
    <mergeCell ref="D77:D78"/>
    <mergeCell ref="I134:I135"/>
    <mergeCell ref="C281:C282"/>
    <mergeCell ref="A87:A88"/>
    <mergeCell ref="A218:A219"/>
    <mergeCell ref="A89:A90"/>
    <mergeCell ref="H110:H111"/>
    <mergeCell ref="G73:G74"/>
    <mergeCell ref="H199:H200"/>
    <mergeCell ref="G104:G105"/>
    <mergeCell ref="A234:A235"/>
    <mergeCell ref="G106:G107"/>
    <mergeCell ref="AZ330:BF330"/>
    <mergeCell ref="D299:D300"/>
    <mergeCell ref="I195:I196"/>
    <mergeCell ref="I189:I190"/>
    <mergeCell ref="AQ94:AW94"/>
    <mergeCell ref="G126:G127"/>
    <mergeCell ref="F65:F66"/>
    <mergeCell ref="H252:H253"/>
    <mergeCell ref="A264:A265"/>
    <mergeCell ref="E59:E60"/>
    <mergeCell ref="C295:C296"/>
    <mergeCell ref="G142:G143"/>
    <mergeCell ref="A38:I38"/>
    <mergeCell ref="H124:H125"/>
    <mergeCell ref="B254:B255"/>
    <mergeCell ref="D319:D320"/>
    <mergeCell ref="A159:A160"/>
    <mergeCell ref="B256:B257"/>
    <mergeCell ref="F49:F50"/>
    <mergeCell ref="C224:C225"/>
    <mergeCell ref="I252:I253"/>
    <mergeCell ref="F207:F208"/>
    <mergeCell ref="A161:A162"/>
    <mergeCell ref="E112:E113"/>
    <mergeCell ref="C77:C78"/>
    <mergeCell ref="B94:C94"/>
    <mergeCell ref="H134:H135"/>
    <mergeCell ref="I89:I90"/>
    <mergeCell ref="BA158:BF158"/>
    <mergeCell ref="H142:H143"/>
    <mergeCell ref="H108:H109"/>
    <mergeCell ref="H266:H267"/>
    <mergeCell ref="I234:I235"/>
    <mergeCell ref="G199:G200"/>
    <mergeCell ref="G171:G172"/>
    <mergeCell ref="F104:F105"/>
    <mergeCell ref="A179:A180"/>
    <mergeCell ref="A301:A302"/>
    <mergeCell ref="I236:I237"/>
    <mergeCell ref="A97:I97"/>
    <mergeCell ref="C67:C68"/>
    <mergeCell ref="F106:F107"/>
    <mergeCell ref="A303:A304"/>
    <mergeCell ref="C61:C62"/>
    <mergeCell ref="H195:H196"/>
    <mergeCell ref="G100:G101"/>
    <mergeCell ref="H197:H198"/>
    <mergeCell ref="G102:G103"/>
    <mergeCell ref="D59:D60"/>
    <mergeCell ref="B295:B296"/>
    <mergeCell ref="D61:D62"/>
    <mergeCell ref="I159:I160"/>
    <mergeCell ref="F150:F151"/>
    <mergeCell ref="F144:F145"/>
    <mergeCell ref="C291:C292"/>
    <mergeCell ref="E49:E50"/>
    <mergeCell ref="E207:E208"/>
    <mergeCell ref="H218:H219"/>
    <mergeCell ref="C293:C294"/>
    <mergeCell ref="D112:D113"/>
    <mergeCell ref="D114:D115"/>
    <mergeCell ref="H122:H123"/>
    <mergeCell ref="Y153:AE153"/>
    <mergeCell ref="H234:H235"/>
    <mergeCell ref="A246:A247"/>
    <mergeCell ref="H236:H237"/>
    <mergeCell ref="I85:I86"/>
    <mergeCell ref="B67:B68"/>
    <mergeCell ref="E226:E227"/>
    <mergeCell ref="I230:I231"/>
    <mergeCell ref="B69:B70"/>
    <mergeCell ref="G195:G196"/>
    <mergeCell ref="Y212:AE212"/>
    <mergeCell ref="G167:G168"/>
    <mergeCell ref="F100:F101"/>
    <mergeCell ref="H264:H265"/>
    <mergeCell ref="A297:A298"/>
    <mergeCell ref="G197:G198"/>
    <mergeCell ref="F102:F103"/>
    <mergeCell ref="A299:A300"/>
    <mergeCell ref="H289:H290"/>
    <mergeCell ref="F191:F192"/>
    <mergeCell ref="I256:I257"/>
    <mergeCell ref="B122:B123"/>
    <mergeCell ref="E150:E151"/>
    <mergeCell ref="G179:G180"/>
    <mergeCell ref="H161:H162"/>
    <mergeCell ref="B297:B298"/>
    <mergeCell ref="B291:B292"/>
    <mergeCell ref="I287:I288"/>
    <mergeCell ref="F242:F243"/>
    <mergeCell ref="E118:E119"/>
    <mergeCell ref="D57:D58"/>
    <mergeCell ref="B293:B294"/>
    <mergeCell ref="I289:I290"/>
    <mergeCell ref="F244:F245"/>
    <mergeCell ref="AI276:AN276"/>
    <mergeCell ref="D181:D182"/>
    <mergeCell ref="G271:I271"/>
    <mergeCell ref="AQ212:AW212"/>
    <mergeCell ref="C122:C123"/>
    <mergeCell ref="H179:H180"/>
    <mergeCell ref="H301:H302"/>
    <mergeCell ref="E134:E135"/>
    <mergeCell ref="E144:E145"/>
    <mergeCell ref="H303:H304"/>
    <mergeCell ref="G242:G243"/>
    <mergeCell ref="G236:G237"/>
    <mergeCell ref="D110:D111"/>
    <mergeCell ref="AO158:AT158"/>
    <mergeCell ref="A67:A68"/>
    <mergeCell ref="D199:D200"/>
    <mergeCell ref="I325:I326"/>
    <mergeCell ref="B136:B137"/>
    <mergeCell ref="C104:C105"/>
    <mergeCell ref="A69:A70"/>
    <mergeCell ref="H230:H231"/>
    <mergeCell ref="I327:I328"/>
    <mergeCell ref="G264:G265"/>
    <mergeCell ref="H232:H233"/>
    <mergeCell ref="F169:F170"/>
    <mergeCell ref="E191:E192"/>
    <mergeCell ref="E110:E111"/>
    <mergeCell ref="B65:B66"/>
    <mergeCell ref="I55:I56"/>
    <mergeCell ref="F187:F188"/>
    <mergeCell ref="D124:D125"/>
    <mergeCell ref="F189:F190"/>
    <mergeCell ref="C146:C147"/>
    <mergeCell ref="D297:D298"/>
    <mergeCell ref="E252:E253"/>
    <mergeCell ref="E87:E88"/>
    <mergeCell ref="D134:D135"/>
    <mergeCell ref="E89:E90"/>
    <mergeCell ref="I67:I68"/>
    <mergeCell ref="C199:C200"/>
    <mergeCell ref="G150:G151"/>
    <mergeCell ref="B104:B105"/>
    <mergeCell ref="F112:F113"/>
    <mergeCell ref="H299:H300"/>
    <mergeCell ref="G238:G239"/>
    <mergeCell ref="B106:B107"/>
    <mergeCell ref="G232:G233"/>
    <mergeCell ref="G240:G241"/>
    <mergeCell ref="A3:BF3"/>
    <mergeCell ref="D195:D196"/>
    <mergeCell ref="AH271:AN271"/>
    <mergeCell ref="I87:I88"/>
    <mergeCell ref="C100:C101"/>
    <mergeCell ref="A65:A66"/>
    <mergeCell ref="Q99:V99"/>
    <mergeCell ref="I122:I123"/>
    <mergeCell ref="A5:BF5"/>
    <mergeCell ref="D197:D198"/>
    <mergeCell ref="H317:H318"/>
    <mergeCell ref="F254:F255"/>
    <mergeCell ref="E187:E188"/>
    <mergeCell ref="H319:H320"/>
    <mergeCell ref="I138:I139"/>
    <mergeCell ref="E159:E160"/>
    <mergeCell ref="B150:B151"/>
    <mergeCell ref="E189:E190"/>
    <mergeCell ref="F279:F280"/>
    <mergeCell ref="I140:I141"/>
    <mergeCell ref="C126:C127"/>
    <mergeCell ref="A49:A50"/>
    <mergeCell ref="G77:G78"/>
    <mergeCell ref="D252:D253"/>
    <mergeCell ref="F281:F282"/>
    <mergeCell ref="A207:A208"/>
    <mergeCell ref="D218:D219"/>
    <mergeCell ref="AI275:BF275"/>
    <mergeCell ref="C142:C143"/>
    <mergeCell ref="C144:C145"/>
    <mergeCell ref="D234:D235"/>
    <mergeCell ref="P271:V271"/>
    <mergeCell ref="B49:B50"/>
    <mergeCell ref="B171:B172"/>
    <mergeCell ref="A104:A105"/>
    <mergeCell ref="B207:B208"/>
    <mergeCell ref="D236:D237"/>
    <mergeCell ref="B173:B174"/>
    <mergeCell ref="A112:A113"/>
    <mergeCell ref="A106:A107"/>
    <mergeCell ref="A226:A227"/>
    <mergeCell ref="I65:I66"/>
    <mergeCell ref="C195:C196"/>
    <mergeCell ref="K18:BF18"/>
    <mergeCell ref="B100:B101"/>
    <mergeCell ref="C197:C198"/>
    <mergeCell ref="H89:H90"/>
    <mergeCell ref="B102:B103"/>
    <mergeCell ref="B191:B192"/>
    <mergeCell ref="G317:G318"/>
    <mergeCell ref="I83:I84"/>
    <mergeCell ref="G319:G320"/>
    <mergeCell ref="A215:I215"/>
    <mergeCell ref="E256:E257"/>
    <mergeCell ref="F224:F225"/>
    <mergeCell ref="A150:A151"/>
    <mergeCell ref="H140:H141"/>
    <mergeCell ref="D161:D162"/>
    <mergeCell ref="F77:F78"/>
    <mergeCell ref="E287:E288"/>
    <mergeCell ref="G45:G46"/>
    <mergeCell ref="E289:E290"/>
    <mergeCell ref="G47:G48"/>
    <mergeCell ref="I104:I105"/>
    <mergeCell ref="D179:D180"/>
    <mergeCell ref="F59:F60"/>
    <mergeCell ref="C234:C235"/>
    <mergeCell ref="I106:I107"/>
    <mergeCell ref="C242:C243"/>
    <mergeCell ref="C236:C237"/>
    <mergeCell ref="H159:H160"/>
    <mergeCell ref="G187:G188"/>
    <mergeCell ref="K216:AH216"/>
    <mergeCell ref="H65:H66"/>
    <mergeCell ref="A77:A78"/>
    <mergeCell ref="W40:AB40"/>
    <mergeCell ref="C264:C265"/>
    <mergeCell ref="B197:B198"/>
    <mergeCell ref="I193:I194"/>
    <mergeCell ref="B169:B170"/>
    <mergeCell ref="A102:A103"/>
    <mergeCell ref="A191:A192"/>
    <mergeCell ref="E142:E143"/>
    <mergeCell ref="A110:A111"/>
    <mergeCell ref="BA99:BF99"/>
    <mergeCell ref="I150:I151"/>
    <mergeCell ref="E55:E56"/>
    <mergeCell ref="F325:F326"/>
    <mergeCell ref="H83:H84"/>
    <mergeCell ref="F319:F320"/>
    <mergeCell ref="F291:F292"/>
    <mergeCell ref="H49:H50"/>
    <mergeCell ref="E230:E231"/>
    <mergeCell ref="E224:E225"/>
    <mergeCell ref="H85:H86"/>
    <mergeCell ref="H207:H208"/>
    <mergeCell ref="I175:I176"/>
    <mergeCell ref="G112:G113"/>
    <mergeCell ref="B187:B188"/>
    <mergeCell ref="D287:D288"/>
    <mergeCell ref="G148:G149"/>
    <mergeCell ref="I177:I178"/>
    <mergeCell ref="H238:H239"/>
    <mergeCell ref="G114:G115"/>
    <mergeCell ref="D289:D290"/>
    <mergeCell ref="A244:A245"/>
    <mergeCell ref="F167:F168"/>
    <mergeCell ref="H75:H76"/>
    <mergeCell ref="K156:BF156"/>
    <mergeCell ref="H104:H105"/>
    <mergeCell ref="C179:C180"/>
    <mergeCell ref="G130:G131"/>
    <mergeCell ref="E67:E68"/>
    <mergeCell ref="H106:H107"/>
    <mergeCell ref="B242:B243"/>
    <mergeCell ref="G132:G133"/>
    <mergeCell ref="E69:E70"/>
    <mergeCell ref="B244:B245"/>
    <mergeCell ref="I100:I101"/>
    <mergeCell ref="F91:F92"/>
    <mergeCell ref="I102:I103"/>
    <mergeCell ref="C238:C239"/>
    <mergeCell ref="A12:B12"/>
    <mergeCell ref="A134:A135"/>
    <mergeCell ref="C240:C241"/>
    <mergeCell ref="A14:B14"/>
    <mergeCell ref="A258:A259"/>
    <mergeCell ref="H150:H151"/>
    <mergeCell ref="I120:I121"/>
    <mergeCell ref="G57:G58"/>
    <mergeCell ref="E293:E294"/>
    <mergeCell ref="A187:A188"/>
    <mergeCell ref="E138:E139"/>
    <mergeCell ref="F114:F115"/>
    <mergeCell ref="A189:A190"/>
    <mergeCell ref="E167:E168"/>
    <mergeCell ref="AC40:AH40"/>
    <mergeCell ref="F130:F131"/>
    <mergeCell ref="I262:I263"/>
    <mergeCell ref="G110:G111"/>
    <mergeCell ref="G85:G86"/>
    <mergeCell ref="B309:B310"/>
    <mergeCell ref="D67:D68"/>
    <mergeCell ref="F132:F133"/>
    <mergeCell ref="B311:B312"/>
    <mergeCell ref="D69:D70"/>
    <mergeCell ref="C279:C280"/>
    <mergeCell ref="K152:BF152"/>
    <mergeCell ref="I197:I198"/>
    <mergeCell ref="H102:H103"/>
    <mergeCell ref="B238:B239"/>
    <mergeCell ref="H191:H192"/>
    <mergeCell ref="E65:E66"/>
    <mergeCell ref="B240:B241"/>
    <mergeCell ref="D87:D88"/>
    <mergeCell ref="G212:I212"/>
    <mergeCell ref="E179:E180"/>
    <mergeCell ref="I187:I188"/>
    <mergeCell ref="H120:H121"/>
    <mergeCell ref="F57:F58"/>
    <mergeCell ref="C327:C328"/>
    <mergeCell ref="H244:H245"/>
    <mergeCell ref="G183:G184"/>
    <mergeCell ref="W217:AB217"/>
    <mergeCell ref="A256:A257"/>
    <mergeCell ref="G185:G186"/>
    <mergeCell ref="D140:D141"/>
    <mergeCell ref="AH94:AN94"/>
    <mergeCell ref="E122:E123"/>
    <mergeCell ref="B77:B78"/>
    <mergeCell ref="A287:A288"/>
    <mergeCell ref="C45:C46"/>
    <mergeCell ref="A281:A282"/>
    <mergeCell ref="I242:I243"/>
    <mergeCell ref="C47:C48"/>
    <mergeCell ref="F75:F76"/>
    <mergeCell ref="H262:H263"/>
    <mergeCell ref="F110:F111"/>
    <mergeCell ref="I244:I245"/>
    <mergeCell ref="F199:F200"/>
    <mergeCell ref="G325:G326"/>
    <mergeCell ref="E104:E105"/>
    <mergeCell ref="F230:F231"/>
    <mergeCell ref="AO99:AT99"/>
    <mergeCell ref="E106:E107"/>
    <mergeCell ref="B281:B282"/>
    <mergeCell ref="D159:D160"/>
    <mergeCell ref="D65:D66"/>
    <mergeCell ref="C277:C278"/>
    <mergeCell ref="C59:C60"/>
    <mergeCell ref="H187:H188"/>
    <mergeCell ref="A20:BF20"/>
    <mergeCell ref="I313:I314"/>
    <mergeCell ref="K270:BF270"/>
    <mergeCell ref="H189:H190"/>
    <mergeCell ref="B325:B326"/>
    <mergeCell ref="D83:D84"/>
    <mergeCell ref="B319:B320"/>
    <mergeCell ref="I315:I316"/>
    <mergeCell ref="A224:A225"/>
    <mergeCell ref="G252:G253"/>
    <mergeCell ref="D85:D86"/>
    <mergeCell ref="D207:D208"/>
    <mergeCell ref="H205:H206"/>
    <mergeCell ref="H240:H241"/>
    <mergeCell ref="F142:F143"/>
    <mergeCell ref="B47:B48"/>
    <mergeCell ref="AH212:AN212"/>
    <mergeCell ref="D104:D105"/>
    <mergeCell ref="C130:C131"/>
    <mergeCell ref="I238:I239"/>
    <mergeCell ref="D106:D107"/>
    <mergeCell ref="C159:C160"/>
    <mergeCell ref="I240:I241"/>
    <mergeCell ref="H268:H269"/>
    <mergeCell ref="F195:F196"/>
    <mergeCell ref="D153:F153"/>
    <mergeCell ref="G321:G322"/>
    <mergeCell ref="B189:B190"/>
    <mergeCell ref="E100:E101"/>
    <mergeCell ref="K38:BF38"/>
    <mergeCell ref="F197:F198"/>
    <mergeCell ref="E136:E137"/>
    <mergeCell ref="A152:B152"/>
    <mergeCell ref="E102:E103"/>
    <mergeCell ref="B59:B60"/>
    <mergeCell ref="B271:C271"/>
    <mergeCell ref="B61:B62"/>
    <mergeCell ref="I258:I259"/>
    <mergeCell ref="D212:F212"/>
    <mergeCell ref="D150:D151"/>
    <mergeCell ref="H163:H164"/>
    <mergeCell ref="G189:G190"/>
    <mergeCell ref="I224:I225"/>
    <mergeCell ref="H287:H288"/>
    <mergeCell ref="H281:H282"/>
    <mergeCell ref="A327:A328"/>
    <mergeCell ref="C57:C58"/>
    <mergeCell ref="A293:A294"/>
    <mergeCell ref="B112:B113"/>
    <mergeCell ref="G222:G223"/>
    <mergeCell ref="D177:D178"/>
    <mergeCell ref="B114:B115"/>
    <mergeCell ref="A53:A54"/>
    <mergeCell ref="K217:P217"/>
    <mergeCell ref="A167:A168"/>
    <mergeCell ref="I279:I280"/>
    <mergeCell ref="F234:F235"/>
    <mergeCell ref="D49:D50"/>
    <mergeCell ref="A319:A320"/>
    <mergeCell ref="I281:I282"/>
    <mergeCell ref="F236:F237"/>
    <mergeCell ref="E175:E176"/>
    <mergeCell ref="B130:B131"/>
    <mergeCell ref="C85:C86"/>
    <mergeCell ref="C112:C113"/>
    <mergeCell ref="E177:E178"/>
    <mergeCell ref="B132:B133"/>
    <mergeCell ref="G205:G206"/>
    <mergeCell ref="A195:A196"/>
    <mergeCell ref="E197:E198"/>
    <mergeCell ref="G234:G235"/>
    <mergeCell ref="I148:I149"/>
    <mergeCell ref="D102:D103"/>
    <mergeCell ref="E228:E229"/>
    <mergeCell ref="D191:D192"/>
    <mergeCell ref="E317:E318"/>
    <mergeCell ref="G75:G76"/>
    <mergeCell ref="I319:I320"/>
    <mergeCell ref="H224:H225"/>
    <mergeCell ref="AZ153:BF153"/>
    <mergeCell ref="G287:G288"/>
    <mergeCell ref="D242:D243"/>
    <mergeCell ref="G279:G280"/>
    <mergeCell ref="F307:F308"/>
    <mergeCell ref="B57:B58"/>
    <mergeCell ref="I53:I54"/>
    <mergeCell ref="G289:G290"/>
    <mergeCell ref="I47:I48"/>
    <mergeCell ref="D244:D245"/>
    <mergeCell ref="C183:C184"/>
    <mergeCell ref="H100:H101"/>
    <mergeCell ref="AC276:AH276"/>
    <mergeCell ref="K157:AH157"/>
    <mergeCell ref="A262:A263"/>
    <mergeCell ref="H283:H284"/>
    <mergeCell ref="A122:A123"/>
    <mergeCell ref="F179:F180"/>
    <mergeCell ref="G305:G306"/>
    <mergeCell ref="I63:I64"/>
    <mergeCell ref="H285:H286"/>
    <mergeCell ref="H67:H68"/>
    <mergeCell ref="E242:E243"/>
    <mergeCell ref="B75:B76"/>
    <mergeCell ref="G307:G308"/>
    <mergeCell ref="D262:D263"/>
    <mergeCell ref="B110:B111"/>
    <mergeCell ref="B85:B86"/>
    <mergeCell ref="E244:E245"/>
    <mergeCell ref="B199:B200"/>
    <mergeCell ref="A138:A139"/>
    <mergeCell ref="AI158:AN158"/>
    <mergeCell ref="A132:A133"/>
    <mergeCell ref="C325:C326"/>
    <mergeCell ref="F205:F206"/>
    <mergeCell ref="I91:I92"/>
    <mergeCell ref="G327:G328"/>
    <mergeCell ref="D7:BF7"/>
    <mergeCell ref="F238:F239"/>
    <mergeCell ref="I277:I278"/>
    <mergeCell ref="F232:F233"/>
    <mergeCell ref="F268:F269"/>
    <mergeCell ref="D8:BF8"/>
    <mergeCell ref="E173:E174"/>
    <mergeCell ref="I205:I206"/>
    <mergeCell ref="C110:C111"/>
    <mergeCell ref="D317:D318"/>
    <mergeCell ref="G230:G231"/>
    <mergeCell ref="H327:H328"/>
    <mergeCell ref="I295:I296"/>
    <mergeCell ref="BA40:BF40"/>
    <mergeCell ref="D187:D188"/>
    <mergeCell ref="E313:E314"/>
    <mergeCell ref="A329:B329"/>
    <mergeCell ref="H53:H54"/>
    <mergeCell ref="D189:D190"/>
    <mergeCell ref="C128:C129"/>
    <mergeCell ref="F289:F290"/>
    <mergeCell ref="H55:H56"/>
    <mergeCell ref="C252:C253"/>
    <mergeCell ref="G283:G284"/>
    <mergeCell ref="I130:I131"/>
    <mergeCell ref="G285:G286"/>
    <mergeCell ref="I43:I44"/>
    <mergeCell ref="B142:B143"/>
    <mergeCell ref="I132:I133"/>
    <mergeCell ref="C262:C263"/>
    <mergeCell ref="I51:I52"/>
    <mergeCell ref="A199:A200"/>
    <mergeCell ref="AI98:BF98"/>
    <mergeCell ref="H91:H92"/>
    <mergeCell ref="A230:A231"/>
    <mergeCell ref="B327:B328"/>
    <mergeCell ref="E238:E239"/>
    <mergeCell ref="A232:A233"/>
    <mergeCell ref="E240:E241"/>
    <mergeCell ref="C321:C322"/>
    <mergeCell ref="W276:AB276"/>
    <mergeCell ref="F203:F204"/>
    <mergeCell ref="A96:BF96"/>
    <mergeCell ref="F317:F318"/>
    <mergeCell ref="G138:G139"/>
    <mergeCell ref="D313:D314"/>
    <mergeCell ref="AC158:AH158"/>
    <mergeCell ref="C189:C190"/>
    <mergeCell ref="G140:G141"/>
    <mergeCell ref="D315:D316"/>
    <mergeCell ref="B252:B253"/>
    <mergeCell ref="C220:C221"/>
    <mergeCell ref="I75:I76"/>
    <mergeCell ref="F285:F286"/>
    <mergeCell ref="H138:H139"/>
    <mergeCell ref="H132:H133"/>
    <mergeCell ref="H51:H52"/>
    <mergeCell ref="E279:E280"/>
    <mergeCell ref="Q276:V276"/>
    <mergeCell ref="A144:A145"/>
    <mergeCell ref="B234:B235"/>
    <mergeCell ref="E281:E282"/>
    <mergeCell ref="A175:A176"/>
    <mergeCell ref="C91:C92"/>
    <mergeCell ref="I128:I129"/>
    <mergeCell ref="A11:BF11"/>
    <mergeCell ref="D240:D241"/>
    <mergeCell ref="F87:F88"/>
    <mergeCell ref="W158:AB158"/>
    <mergeCell ref="A197:A198"/>
    <mergeCell ref="H193:H194"/>
    <mergeCell ref="B323:B324"/>
    <mergeCell ref="A228:A229"/>
    <mergeCell ref="A317:A318"/>
    <mergeCell ref="C75:C76"/>
    <mergeCell ref="G83:G84"/>
    <mergeCell ref="E319:E320"/>
    <mergeCell ref="D224:D225"/>
    <mergeCell ref="C163:C164"/>
    <mergeCell ref="D260:D261"/>
    <mergeCell ref="A100:A101"/>
    <mergeCell ref="C287:C288"/>
    <mergeCell ref="E45:E46"/>
    <mergeCell ref="C165:C166"/>
    <mergeCell ref="F148:F149"/>
    <mergeCell ref="E53:E54"/>
    <mergeCell ref="C289:C290"/>
    <mergeCell ref="E47:E48"/>
    <mergeCell ref="B222:B223"/>
    <mergeCell ref="D100:D101"/>
    <mergeCell ref="B179:B180"/>
    <mergeCell ref="C305:C306"/>
    <mergeCell ref="E63:E64"/>
    <mergeCell ref="F45:F46"/>
    <mergeCell ref="D281:D282"/>
    <mergeCell ref="A242:A243"/>
    <mergeCell ref="A236:A237"/>
    <mergeCell ref="F47:F48"/>
    <mergeCell ref="H128:H129"/>
    <mergeCell ref="G153:I153"/>
    <mergeCell ref="H136:H137"/>
    <mergeCell ref="B205:B206"/>
    <mergeCell ref="I226:I227"/>
    <mergeCell ref="G41:G42"/>
    <mergeCell ref="E277:E278"/>
    <mergeCell ref="G193:G194"/>
    <mergeCell ref="B236:B237"/>
    <mergeCell ref="D325:D326"/>
    <mergeCell ref="F83:F84"/>
    <mergeCell ref="AU99:AZ99"/>
    <mergeCell ref="G209:G210"/>
    <mergeCell ref="C230:C231"/>
    <mergeCell ref="F85:F86"/>
    <mergeCell ref="G175:G176"/>
    <mergeCell ref="B287:B288"/>
    <mergeCell ref="E148:E149"/>
    <mergeCell ref="G177:G178"/>
    <mergeCell ref="A313:A314"/>
    <mergeCell ref="D53:D54"/>
    <mergeCell ref="B289:B290"/>
    <mergeCell ref="F240:F241"/>
    <mergeCell ref="D55:D56"/>
    <mergeCell ref="Y94:AE94"/>
    <mergeCell ref="C102:C103"/>
    <mergeCell ref="H175:H176"/>
    <mergeCell ref="G203:G204"/>
    <mergeCell ref="A93:B93"/>
    <mergeCell ref="E130:E131"/>
    <mergeCell ref="B305:B306"/>
    <mergeCell ref="H177:H178"/>
    <mergeCell ref="E132:E133"/>
    <mergeCell ref="B307:B308"/>
    <mergeCell ref="E51:E52"/>
    <mergeCell ref="I171:I172"/>
    <mergeCell ref="A205:A206"/>
    <mergeCell ref="H226:H227"/>
    <mergeCell ref="I323:I324"/>
    <mergeCell ref="F41:F42"/>
    <mergeCell ref="D277:D278"/>
    <mergeCell ref="A238:A239"/>
    <mergeCell ref="H228:H229"/>
    <mergeCell ref="F43:F44"/>
    <mergeCell ref="A240:A241"/>
    <mergeCell ref="G250:G251"/>
    <mergeCell ref="A83:A84"/>
    <mergeCell ref="B203:B204"/>
    <mergeCell ref="G120:G121"/>
    <mergeCell ref="B232:B233"/>
    <mergeCell ref="F183:F184"/>
    <mergeCell ref="I222:I223"/>
    <mergeCell ref="E205:E206"/>
    <mergeCell ref="F185:F186"/>
    <mergeCell ref="A8:C8"/>
    <mergeCell ref="D122:D123"/>
    <mergeCell ref="C55:C56"/>
    <mergeCell ref="G146:G147"/>
    <mergeCell ref="H242:H243"/>
    <mergeCell ref="E75:E76"/>
    <mergeCell ref="E85:E86"/>
    <mergeCell ref="B285:B286"/>
    <mergeCell ref="D138:D139"/>
    <mergeCell ref="D132:D133"/>
    <mergeCell ref="D51:D52"/>
    <mergeCell ref="A279:A280"/>
    <mergeCell ref="I266:I267"/>
    <mergeCell ref="H171:H172"/>
    <mergeCell ref="I268:I269"/>
    <mergeCell ref="A273:BF273"/>
    <mergeCell ref="H173:H174"/>
    <mergeCell ref="P153:V153"/>
    <mergeCell ref="D193:D194"/>
    <mergeCell ref="A203:A204"/>
    <mergeCell ref="F120:F121"/>
    <mergeCell ref="H313:H314"/>
    <mergeCell ref="AI216:BF216"/>
    <mergeCell ref="G246:G247"/>
    <mergeCell ref="E183:E184"/>
    <mergeCell ref="H315:H316"/>
    <mergeCell ref="AZ271:BF271"/>
    <mergeCell ref="F252:F253"/>
    <mergeCell ref="E185:E186"/>
    <mergeCell ref="B140:B141"/>
    <mergeCell ref="A79:A80"/>
    <mergeCell ref="I136:I137"/>
    <mergeCell ref="K99:P99"/>
    <mergeCell ref="A45:A46"/>
    <mergeCell ref="F146:F147"/>
    <mergeCell ref="B148:B149"/>
    <mergeCell ref="H41:H42"/>
    <mergeCell ref="F277:F278"/>
    <mergeCell ref="I305:I306"/>
    <mergeCell ref="I218:I219"/>
    <mergeCell ref="D75:D76"/>
    <mergeCell ref="I307:I308"/>
    <mergeCell ref="D9:BF9"/>
    <mergeCell ref="E201:E202"/>
    <mergeCell ref="C138:C139"/>
    <mergeCell ref="E325:E326"/>
    <mergeCell ref="C51:C52"/>
    <mergeCell ref="C140:C141"/>
    <mergeCell ref="D230:D231"/>
    <mergeCell ref="A63:A64"/>
    <mergeCell ref="G91:G92"/>
    <mergeCell ref="E327:E328"/>
    <mergeCell ref="B45:B46"/>
    <mergeCell ref="D232:D233"/>
    <mergeCell ref="E81:E82"/>
    <mergeCell ref="G173:G174"/>
    <mergeCell ref="G262:G263"/>
    <mergeCell ref="A270:B270"/>
    <mergeCell ref="D136:D137"/>
    <mergeCell ref="I203:I204"/>
    <mergeCell ref="Q40:V40"/>
    <mergeCell ref="C193:C194"/>
    <mergeCell ref="G313:G314"/>
    <mergeCell ref="A120:A121"/>
    <mergeCell ref="B83:B84"/>
    <mergeCell ref="I79:I80"/>
    <mergeCell ref="G315:G316"/>
    <mergeCell ref="C209:C210"/>
    <mergeCell ref="F220:F221"/>
    <mergeCell ref="I81:I82"/>
    <mergeCell ref="AI39:BF39"/>
    <mergeCell ref="F222:F223"/>
    <mergeCell ref="A148:A149"/>
    <mergeCell ref="E285:E286"/>
    <mergeCell ref="G43:G44"/>
    <mergeCell ref="H279:H280"/>
    <mergeCell ref="C207:C208"/>
    <mergeCell ref="D175:D176"/>
    <mergeCell ref="D327:D328"/>
    <mergeCell ref="C232:C233"/>
    <mergeCell ref="AQ330:AW330"/>
    <mergeCell ref="A47:A48"/>
    <mergeCell ref="E321:E322"/>
    <mergeCell ref="C136:C137"/>
    <mergeCell ref="D226:D227"/>
    <mergeCell ref="E323:E324"/>
    <mergeCell ref="B41:B42"/>
    <mergeCell ref="D228:D229"/>
    <mergeCell ref="B43:B44"/>
    <mergeCell ref="C250:C251"/>
    <mergeCell ref="G258:G259"/>
    <mergeCell ref="F163:F164"/>
    <mergeCell ref="F321:F322"/>
    <mergeCell ref="H79:H80"/>
    <mergeCell ref="F315:F316"/>
    <mergeCell ref="F287:F288"/>
    <mergeCell ref="H45:H46"/>
    <mergeCell ref="A91:A92"/>
    <mergeCell ref="A85:A86"/>
    <mergeCell ref="E220:E221"/>
    <mergeCell ref="F323:F324"/>
    <mergeCell ref="H81:H82"/>
    <mergeCell ref="AC99:AH99"/>
    <mergeCell ref="H47:H48"/>
    <mergeCell ref="B183:B184"/>
    <mergeCell ref="E222:E223"/>
    <mergeCell ref="A116:A117"/>
    <mergeCell ref="I173:I174"/>
    <mergeCell ref="B185:B186"/>
    <mergeCell ref="D330:F330"/>
    <mergeCell ref="Y330:AE330"/>
    <mergeCell ref="F305:F306"/>
    <mergeCell ref="H63:H64"/>
    <mergeCell ref="I45:I46"/>
    <mergeCell ref="C175:C176"/>
    <mergeCell ref="AU217:AZ217"/>
    <mergeCell ref="C177:C178"/>
    <mergeCell ref="G128:G129"/>
    <mergeCell ref="H277:H278"/>
    <mergeCell ref="A130:A131"/>
    <mergeCell ref="C317:C318"/>
    <mergeCell ref="A43:A44"/>
    <mergeCell ref="E83:E84"/>
    <mergeCell ref="C319:C320"/>
    <mergeCell ref="B224:B225"/>
    <mergeCell ref="C73:C74"/>
    <mergeCell ref="E165:E166"/>
    <mergeCell ref="H148:H149"/>
    <mergeCell ref="I116:I117"/>
    <mergeCell ref="C246:C247"/>
    <mergeCell ref="G53:G54"/>
    <mergeCell ref="A183:A184"/>
    <mergeCell ref="I118:I119"/>
    <mergeCell ref="G55:G56"/>
    <mergeCell ref="A185:A186"/>
    <mergeCell ref="G94:I94"/>
    <mergeCell ref="B146:B147"/>
    <mergeCell ref="K97:BF97"/>
    <mergeCell ref="E305:E306"/>
    <mergeCell ref="I169:I170"/>
    <mergeCell ref="G71:G72"/>
    <mergeCell ref="E307:E308"/>
    <mergeCell ref="A201:A202"/>
    <mergeCell ref="F128:F129"/>
    <mergeCell ref="A325:A326"/>
    <mergeCell ref="I41:I42"/>
    <mergeCell ref="D238:D239"/>
    <mergeCell ref="P212:V212"/>
    <mergeCell ref="G124:G125"/>
    <mergeCell ref="B317:B318"/>
    <mergeCell ref="I59:I60"/>
    <mergeCell ref="H87:H88"/>
    <mergeCell ref="G295:G296"/>
    <mergeCell ref="I183:I184"/>
    <mergeCell ref="H116:H117"/>
    <mergeCell ref="C313:C314"/>
    <mergeCell ref="F53:F54"/>
    <mergeCell ref="A128:A129"/>
    <mergeCell ref="AU276:AZ276"/>
    <mergeCell ref="I185:I186"/>
    <mergeCell ref="E79:E80"/>
    <mergeCell ref="H118:H119"/>
    <mergeCell ref="C315:C316"/>
    <mergeCell ref="E73:E74"/>
    <mergeCell ref="F55:F56"/>
    <mergeCell ref="A252:A253"/>
    <mergeCell ref="B220:B221"/>
    <mergeCell ref="G181:G182"/>
    <mergeCell ref="C41:C42"/>
    <mergeCell ref="I201:I202"/>
    <mergeCell ref="A285:A286"/>
    <mergeCell ref="C43:C44"/>
    <mergeCell ref="F71:F72"/>
    <mergeCell ref="D307:D308"/>
    <mergeCell ref="G51:G52"/>
    <mergeCell ref="H258:H259"/>
    <mergeCell ref="D279:D280"/>
    <mergeCell ref="Q217:V217"/>
    <mergeCell ref="A17:B17"/>
    <mergeCell ref="F73:F74"/>
    <mergeCell ref="G163:G164"/>
    <mergeCell ref="H260:H261"/>
    <mergeCell ref="K93:BF93"/>
    <mergeCell ref="G165:G166"/>
    <mergeCell ref="B91:B92"/>
    <mergeCell ref="H130:H131"/>
    <mergeCell ref="H43:H44"/>
    <mergeCell ref="AQ153:AW153"/>
    <mergeCell ref="F124:F125"/>
    <mergeCell ref="B262:B263"/>
    <mergeCell ref="I283:I284"/>
    <mergeCell ref="F126:F127"/>
    <mergeCell ref="I285:I286"/>
    <mergeCell ref="E120:E121"/>
    <mergeCell ref="H183:H184"/>
    <mergeCell ref="G89:G90"/>
    <mergeCell ref="I309:I310"/>
    <mergeCell ref="C268:C269"/>
    <mergeCell ref="H185:H186"/>
    <mergeCell ref="B321:B322"/>
    <mergeCell ref="D79:D80"/>
    <mergeCell ref="B315:B316"/>
    <mergeCell ref="I311:I312"/>
    <mergeCell ref="A220:A221"/>
    <mergeCell ref="D81:D82"/>
    <mergeCell ref="B153:C153"/>
    <mergeCell ref="A222:A223"/>
    <mergeCell ref="BA217:BF217"/>
    <mergeCell ref="A214:BF214"/>
    <mergeCell ref="H201:H202"/>
    <mergeCell ref="I181:I182"/>
    <mergeCell ref="F138:F139"/>
    <mergeCell ref="H203:H204"/>
    <mergeCell ref="H325:H326"/>
    <mergeCell ref="F51:F52"/>
    <mergeCell ref="F140:F141"/>
    <mergeCell ref="G108:G109"/>
    <mergeCell ref="P94:V94"/>
    <mergeCell ref="G266:G267"/>
    <mergeCell ref="G260:G261"/>
    <mergeCell ref="A156:I156"/>
    <mergeCell ref="AO40:AT40"/>
    <mergeCell ref="F165:F166"/>
    <mergeCell ref="BA276:BF276"/>
    <mergeCell ref="H254:H255"/>
    <mergeCell ref="K274:BF274"/>
    <mergeCell ref="G159:G160"/>
    <mergeCell ref="H256:H257"/>
    <mergeCell ref="F193:F194"/>
    <mergeCell ref="G161:G162"/>
    <mergeCell ref="K40:P40"/>
    <mergeCell ref="D120:D121"/>
    <mergeCell ref="A75:A76"/>
    <mergeCell ref="I254:I255"/>
    <mergeCell ref="F209:F210"/>
    <mergeCell ref="I248:I249"/>
    <mergeCell ref="I220:I221"/>
    <mergeCell ref="B260:B261"/>
    <mergeCell ref="A321:A322"/>
    <mergeCell ref="A165:A166"/>
    <mergeCell ref="A9:C9"/>
    <mergeCell ref="D148:D149"/>
    <mergeCell ref="E116:E117"/>
    <mergeCell ref="C81:C82"/>
    <mergeCell ref="A323:A324"/>
    <mergeCell ref="C53:C54"/>
    <mergeCell ref="A289:A290"/>
    <mergeCell ref="H181:H182"/>
    <mergeCell ref="A51:A52"/>
    <mergeCell ref="E140:E141"/>
    <mergeCell ref="F108:F109"/>
    <mergeCell ref="A305:A306"/>
    <mergeCell ref="C63:C64"/>
    <mergeCell ref="H295:H296"/>
    <mergeCell ref="I144:I145"/>
    <mergeCell ref="D45:D46"/>
    <mergeCell ref="C71:C72"/>
    <mergeCell ref="E171:E172"/>
    <mergeCell ref="A307:A308"/>
    <mergeCell ref="D47:D48"/>
    <mergeCell ref="H321:H322"/>
    <mergeCell ref="B128:B129"/>
    <mergeCell ref="F136:F137"/>
    <mergeCell ref="D94:F94"/>
    <mergeCell ref="E41:E42"/>
    <mergeCell ref="E193:E194"/>
    <mergeCell ref="D63:D64"/>
    <mergeCell ref="F250:F251"/>
    <mergeCell ref="B212:C212"/>
    <mergeCell ref="F283:F284"/>
    <mergeCell ref="I321:I322"/>
    <mergeCell ref="H220:H221"/>
    <mergeCell ref="H222:H223"/>
    <mergeCell ref="C148:C149"/>
    <mergeCell ref="D116:D117"/>
    <mergeCell ref="D205:D206"/>
    <mergeCell ref="B53:B54"/>
    <mergeCell ref="D118:D119"/>
    <mergeCell ref="G330:I330"/>
    <mergeCell ref="G277:G278"/>
    <mergeCell ref="AQ271:AW271"/>
    <mergeCell ref="B55:B56"/>
    <mergeCell ref="K158:P158"/>
    <mergeCell ref="C181:C182"/>
    <mergeCell ref="F175:F176"/>
    <mergeCell ref="G301:G302"/>
    <mergeCell ref="A7:C7"/>
    <mergeCell ref="F177:F178"/>
    <mergeCell ref="B71:B72"/>
    <mergeCell ref="G303:G304"/>
    <mergeCell ref="I61:I62"/>
    <mergeCell ref="D258:D259"/>
    <mergeCell ref="B73:B74"/>
    <mergeCell ref="B195:B196"/>
    <mergeCell ref="H297:H298"/>
    <mergeCell ref="A136:A137"/>
    <mergeCell ref="G323:G324"/>
    <mergeCell ref="B283:B284"/>
    <mergeCell ref="D41:D42"/>
    <mergeCell ref="F228:F229"/>
    <mergeCell ref="D130:D131"/>
    <mergeCell ref="F264:F265"/>
    <mergeCell ref="H293:H294"/>
    <mergeCell ref="D43:D44"/>
    <mergeCell ref="E250:E251"/>
    <mergeCell ref="E169:E170"/>
    <mergeCell ref="B124:B125"/>
    <mergeCell ref="E283:E284"/>
    <mergeCell ref="E258:E259"/>
    <mergeCell ref="I260:I261"/>
    <mergeCell ref="B126:B127"/>
    <mergeCell ref="H165:H166"/>
    <mergeCell ref="G226:G227"/>
    <mergeCell ref="AZ94:BF94"/>
    <mergeCell ref="H323:H324"/>
    <mergeCell ref="I291:I292"/>
    <mergeCell ref="F246:F247"/>
    <mergeCell ref="G228:G229"/>
    <mergeCell ref="D183:D184"/>
    <mergeCell ref="C89:C90"/>
    <mergeCell ref="I293:I294"/>
    <mergeCell ref="F248:F249"/>
    <mergeCell ref="E309:E310"/>
    <mergeCell ref="C205:C206"/>
    <mergeCell ref="D185:D186"/>
    <mergeCell ref="C124:C125"/>
    <mergeCell ref="C118:C119"/>
    <mergeCell ref="E311:E312"/>
    <mergeCell ref="A55:A56"/>
    <mergeCell ref="B181:B182"/>
    <mergeCell ref="H305:H306"/>
    <mergeCell ref="K98:AH98"/>
    <mergeCell ref="H307:H308"/>
    <mergeCell ref="D201:D202"/>
    <mergeCell ref="D89:D90"/>
    <mergeCell ref="B138:B139"/>
    <mergeCell ref="D203:D204"/>
    <mergeCell ref="B51:B52"/>
    <mergeCell ref="AI99:AN99"/>
    <mergeCell ref="C108:C109"/>
    <mergeCell ref="A73:A74"/>
    <mergeCell ref="C266:C267"/>
    <mergeCell ref="C260:C261"/>
    <mergeCell ref="F171:F172"/>
  </mergeCells>
  <conditionalFormatting sqref="K13:BF17">
    <cfRule type="expression" priority="1" dxfId="4" stopIfTrue="0">
      <formula>AND($A$1&lt;&gt;"",K$1=ROUND(MEDIAN(0,($C$1-$A$1)/($B$1-$A$1),1)*48,0))</formula>
    </cfRule>
    <cfRule type="expression" priority="2" dxfId="5" stopIfTrue="1">
      <formula>AND($H13&gt;0,K$1&lt;$H13*48,$C13="AT RISK")</formula>
    </cfRule>
    <cfRule type="expression" priority="3" dxfId="5" stopIfTrue="1">
      <formula>AND($H13&gt;0,K$1&lt;$H13*48,$C13="BEHIND")</formula>
    </cfRule>
    <cfRule type="expression" priority="4" dxfId="6" stopIfTrue="1">
      <formula>AND($H13&gt;0,K$1&lt;$H13*48,$C13="TIGHT")</formula>
    </cfRule>
    <cfRule type="expression" priority="5" dxfId="7" stopIfTrue="1">
      <formula>AND($H13&gt;0,K$1&lt;$H13*48,$C13="AHEAD")</formula>
    </cfRule>
    <cfRule type="expression" priority="6" dxfId="8" stopIfTrue="1">
      <formula>AND($H13&gt;0,K$1&lt;$H13*48,TRUE)</formula>
    </cfRule>
  </conditionalFormatting>
  <conditionalFormatting sqref="C13:C18">
    <cfRule type="expression" priority="7" dxfId="9" stopIfTrue="1">
      <formula>$C13="AT RISK"</formula>
    </cfRule>
    <cfRule type="expression" priority="8" dxfId="9" stopIfTrue="1">
      <formula>$C13="BEHIND"</formula>
    </cfRule>
    <cfRule type="expression" priority="9" dxfId="10" stopIfTrue="1">
      <formula>$C13="TIGHT"</formula>
    </cfRule>
    <cfRule type="expression" priority="10" dxfId="11" stopIfTrue="1">
      <formula>$C13="AHEAD"</formula>
    </cfRule>
    <cfRule type="expression" priority="11" dxfId="12" stopIfTrue="1">
      <formula>$C13="ON TIME"</formula>
    </cfRule>
  </conditionalFormatting>
  <conditionalFormatting sqref="I13:I18">
    <cfRule type="expression" priority="12" dxfId="9" stopIfTrue="1">
      <formula>$C13="AT RISK"</formula>
    </cfRule>
    <cfRule type="expression" priority="13" dxfId="9" stopIfTrue="1">
      <formula>$C13="BEHIND"</formula>
    </cfRule>
    <cfRule type="expression" priority="14" dxfId="10" stopIfTrue="1">
      <formula>$C13="TIGHT"</formula>
    </cfRule>
    <cfRule type="expression" priority="15" dxfId="11" stopIfTrue="1">
      <formula>$C13="AHEAD"</formula>
    </cfRule>
    <cfRule type="expression" priority="16" dxfId="12" stopIfTrue="1">
      <formula>$C13="ON TIME"</formula>
    </cfRule>
  </conditionalFormatting>
  <conditionalFormatting sqref="K41:BF92">
    <cfRule type="expression" priority="17" dxfId="13" stopIfTrue="0">
      <formula>MOD(K$1,6)=0</formula>
    </cfRule>
    <cfRule type="expression" priority="18" dxfId="14" stopIfTrue="0">
      <formula>MOD(K$1,24)=0</formula>
    </cfRule>
    <cfRule type="expression" priority="19" dxfId="4" stopIfTrue="0">
      <formula>AND($C$1&gt;=$A$1,$C$1&lt;=$B$1,K$1=ROUND((($C$1-$A$1)*24-$D$1)/$E$1,0))</formula>
    </cfRule>
    <cfRule type="expression" priority="20" dxfId="15" stopIfTrue="1">
      <formula>AND($BH41&lt;&gt;-999,$BH41&lt;$D$1+(K$1+1)*$E$1,$BI41&gt;$D$1+K$1*$E$1,$BJ41=1)</formula>
    </cfRule>
    <cfRule type="expression" priority="21" dxfId="8" stopIfTrue="1">
      <formula>AND($BH41&lt;&gt;-999,$BH41&lt;$D$1+(K$1+1)*$E$1,$BI41&gt;$D$1+K$1*$E$1,$BJ41=2)</formula>
    </cfRule>
    <cfRule type="expression" priority="22" dxfId="5" stopIfTrue="1">
      <formula>AND($BH41&lt;&gt;-999,$BH41&lt;$D$1+(K$1+1)*$E$1,$BI41&gt;$D$1+K$1*$E$1,$BJ41=3)</formula>
    </cfRule>
    <cfRule type="expression" priority="23" dxfId="7" stopIfTrue="1">
      <formula>AND($BH41&lt;&gt;-999,$BH41&lt;$D$1+(K$1+1)*$E$1,$BI41&gt;$D$1+K$1*$E$1,$BJ41=4)</formula>
    </cfRule>
    <cfRule type="expression" priority="24" dxfId="6" stopIfTrue="1">
      <formula>AND($BH41&lt;&gt;-999,$BH41&lt;$D$1+(K$1+1)*$E$1,$BI41&gt;$D$1+K$1*$E$1,$BJ41=5)</formula>
    </cfRule>
    <cfRule type="expression" priority="25" dxfId="16" stopIfTrue="1">
      <formula>AND($BO41&lt;&gt;-999,$BO41&lt;$D$1+(K$1+1)*$E$1,$BP41&gt;$D$1+K$1*$E$1)</formula>
    </cfRule>
  </conditionalFormatting>
  <conditionalFormatting sqref="C41:C92">
    <cfRule type="expression" priority="26" dxfId="17" stopIfTrue="1">
      <formula>COUNTIF($C41,"!*")&gt;0</formula>
    </cfRule>
    <cfRule type="expression" priority="27" dxfId="17" stopIfTrue="1">
      <formula>COUNTIF($C41,"Completed*Delayed")&gt;0</formula>
    </cfRule>
    <cfRule type="expression" priority="28" dxfId="18" stopIfTrue="1">
      <formula>COUNTIF($C41,"Completed*")&gt;0</formula>
    </cfRule>
    <cfRule type="expression" priority="29" dxfId="19" stopIfTrue="1">
      <formula>COUNTIF($C41,"*BEHIND*")&gt;0</formula>
    </cfRule>
    <cfRule type="expression" priority="30" dxfId="20" stopIfTrue="1">
      <formula>COUNTIF($C41,"In Progress*")&gt;0</formula>
    </cfRule>
    <cfRule type="expression" priority="31" dxfId="17" stopIfTrue="1">
      <formula>COUNTIF($C41,"NOT STARTED - LATE")&gt;0</formula>
    </cfRule>
  </conditionalFormatting>
  <conditionalFormatting sqref="F41:F92">
    <cfRule type="expression" priority="32" dxfId="21">
      <formula>$F41&gt;0.1</formula>
    </cfRule>
    <cfRule type="expression" priority="33" dxfId="22">
      <formula>$F41&lt;-0.1</formula>
    </cfRule>
  </conditionalFormatting>
  <conditionalFormatting sqref="C93">
    <cfRule type="expression" priority="34" dxfId="23" stopIfTrue="1">
      <formula>$C$93="AT RISK"</formula>
    </cfRule>
    <cfRule type="expression" priority="36" dxfId="23" stopIfTrue="1">
      <formula>$C$93="BEHIND"</formula>
    </cfRule>
    <cfRule type="expression" priority="38" dxfId="24" stopIfTrue="1">
      <formula>$C$93="TIGHT"</formula>
    </cfRule>
    <cfRule type="expression" priority="40" dxfId="25" stopIfTrue="1">
      <formula>$C$93="AHEAD"</formula>
    </cfRule>
    <cfRule type="expression" priority="42" dxfId="26" stopIfTrue="1">
      <formula>$C$93="ON TIME"</formula>
    </cfRule>
  </conditionalFormatting>
  <conditionalFormatting sqref="I93">
    <cfRule type="expression" priority="35" dxfId="23" stopIfTrue="1">
      <formula>$C$93="AT RISK"</formula>
    </cfRule>
    <cfRule type="expression" priority="37" dxfId="23" stopIfTrue="1">
      <formula>$C$93="BEHIND"</formula>
    </cfRule>
    <cfRule type="expression" priority="39" dxfId="24" stopIfTrue="1">
      <formula>$C$93="TIGHT"</formula>
    </cfRule>
    <cfRule type="expression" priority="41" dxfId="25" stopIfTrue="1">
      <formula>$C$93="AHEAD"</formula>
    </cfRule>
    <cfRule type="expression" priority="43" dxfId="26" stopIfTrue="1">
      <formula>$C$93="ON TIME"</formula>
    </cfRule>
  </conditionalFormatting>
  <conditionalFormatting sqref="K100:BF151">
    <cfRule type="expression" priority="44" dxfId="13" stopIfTrue="0">
      <formula>MOD(K$1,6)=0</formula>
    </cfRule>
    <cfRule type="expression" priority="45" dxfId="14" stopIfTrue="0">
      <formula>MOD(K$1,24)=0</formula>
    </cfRule>
    <cfRule type="expression" priority="46" dxfId="4" stopIfTrue="0">
      <formula>AND($C$1&gt;=$A$1,$C$1&lt;=$B$1,K$1=ROUND((($C$1-$A$1)*24-$D$1)/$E$1,0))</formula>
    </cfRule>
    <cfRule type="expression" priority="47" dxfId="15" stopIfTrue="1">
      <formula>AND($BH100&lt;&gt;-999,$BH100&lt;$D$1+(K$1+1)*$E$1,$BI100&gt;$D$1+K$1*$E$1,$BJ100=1)</formula>
    </cfRule>
    <cfRule type="expression" priority="48" dxfId="8" stopIfTrue="1">
      <formula>AND($BH100&lt;&gt;-999,$BH100&lt;$D$1+(K$1+1)*$E$1,$BI100&gt;$D$1+K$1*$E$1,$BJ100=2)</formula>
    </cfRule>
    <cfRule type="expression" priority="49" dxfId="5" stopIfTrue="1">
      <formula>AND($BH100&lt;&gt;-999,$BH100&lt;$D$1+(K$1+1)*$E$1,$BI100&gt;$D$1+K$1*$E$1,$BJ100=3)</formula>
    </cfRule>
    <cfRule type="expression" priority="50" dxfId="7" stopIfTrue="1">
      <formula>AND($BH100&lt;&gt;-999,$BH100&lt;$D$1+(K$1+1)*$E$1,$BI100&gt;$D$1+K$1*$E$1,$BJ100=4)</formula>
    </cfRule>
    <cfRule type="expression" priority="51" dxfId="6" stopIfTrue="1">
      <formula>AND($BH100&lt;&gt;-999,$BH100&lt;$D$1+(K$1+1)*$E$1,$BI100&gt;$D$1+K$1*$E$1,$BJ100=5)</formula>
    </cfRule>
    <cfRule type="expression" priority="52" dxfId="16" stopIfTrue="1">
      <formula>AND($BO100&lt;&gt;-999,$BO100&lt;$D$1+(K$1+1)*$E$1,$BP100&gt;$D$1+K$1*$E$1)</formula>
    </cfRule>
  </conditionalFormatting>
  <conditionalFormatting sqref="C100:C151">
    <cfRule type="expression" priority="53" dxfId="17" stopIfTrue="1">
      <formula>COUNTIF($C100,"!*")&gt;0</formula>
    </cfRule>
    <cfRule type="expression" priority="54" dxfId="17" stopIfTrue="1">
      <formula>COUNTIF($C100,"Completed*Delayed")&gt;0</formula>
    </cfRule>
    <cfRule type="expression" priority="55" dxfId="18" stopIfTrue="1">
      <formula>COUNTIF($C100,"Completed*")&gt;0</formula>
    </cfRule>
    <cfRule type="expression" priority="56" dxfId="19" stopIfTrue="1">
      <formula>COUNTIF($C100,"*BEHIND*")&gt;0</formula>
    </cfRule>
    <cfRule type="expression" priority="57" dxfId="20" stopIfTrue="1">
      <formula>COUNTIF($C100,"In Progress*")&gt;0</formula>
    </cfRule>
    <cfRule type="expression" priority="58" dxfId="17" stopIfTrue="1">
      <formula>COUNTIF($C100,"NOT STARTED - LATE")&gt;0</formula>
    </cfRule>
  </conditionalFormatting>
  <conditionalFormatting sqref="F100:F151">
    <cfRule type="expression" priority="59" dxfId="21">
      <formula>$F100&gt;0.1</formula>
    </cfRule>
    <cfRule type="expression" priority="60" dxfId="22">
      <formula>$F100&lt;-0.1</formula>
    </cfRule>
  </conditionalFormatting>
  <conditionalFormatting sqref="C152">
    <cfRule type="expression" priority="61" dxfId="23" stopIfTrue="1">
      <formula>$C$152="AT RISK"</formula>
    </cfRule>
    <cfRule type="expression" priority="63" dxfId="23" stopIfTrue="1">
      <formula>$C$152="BEHIND"</formula>
    </cfRule>
    <cfRule type="expression" priority="65" dxfId="24" stopIfTrue="1">
      <formula>$C$152="TIGHT"</formula>
    </cfRule>
    <cfRule type="expression" priority="67" dxfId="25" stopIfTrue="1">
      <formula>$C$152="AHEAD"</formula>
    </cfRule>
    <cfRule type="expression" priority="69" dxfId="26" stopIfTrue="1">
      <formula>$C$152="ON TIME"</formula>
    </cfRule>
  </conditionalFormatting>
  <conditionalFormatting sqref="I152">
    <cfRule type="expression" priority="62" dxfId="23" stopIfTrue="1">
      <formula>$C$152="AT RISK"</formula>
    </cfRule>
    <cfRule type="expression" priority="64" dxfId="23" stopIfTrue="1">
      <formula>$C$152="BEHIND"</formula>
    </cfRule>
    <cfRule type="expression" priority="66" dxfId="24" stopIfTrue="1">
      <formula>$C$152="TIGHT"</formula>
    </cfRule>
    <cfRule type="expression" priority="68" dxfId="25" stopIfTrue="1">
      <formula>$C$152="AHEAD"</formula>
    </cfRule>
    <cfRule type="expression" priority="70" dxfId="26" stopIfTrue="1">
      <formula>$C$152="ON TIME"</formula>
    </cfRule>
  </conditionalFormatting>
  <conditionalFormatting sqref="K159:BF210">
    <cfRule type="expression" priority="71" dxfId="13" stopIfTrue="0">
      <formula>MOD(K$1,6)=0</formula>
    </cfRule>
    <cfRule type="expression" priority="72" dxfId="14" stopIfTrue="0">
      <formula>MOD(K$1,24)=0</formula>
    </cfRule>
    <cfRule type="expression" priority="73" dxfId="4" stopIfTrue="0">
      <formula>AND($C$1&gt;=$A$1,$C$1&lt;=$B$1,K$1=ROUND((($C$1-$A$1)*24-$D$1)/$E$1,0))</formula>
    </cfRule>
    <cfRule type="expression" priority="74" dxfId="15" stopIfTrue="1">
      <formula>AND($BH159&lt;&gt;-999,$BH159&lt;$D$1+(K$1+1)*$E$1,$BI159&gt;$D$1+K$1*$E$1,$BJ159=1)</formula>
    </cfRule>
    <cfRule type="expression" priority="75" dxfId="8" stopIfTrue="1">
      <formula>AND($BH159&lt;&gt;-999,$BH159&lt;$D$1+(K$1+1)*$E$1,$BI159&gt;$D$1+K$1*$E$1,$BJ159=2)</formula>
    </cfRule>
    <cfRule type="expression" priority="76" dxfId="5" stopIfTrue="1">
      <formula>AND($BH159&lt;&gt;-999,$BH159&lt;$D$1+(K$1+1)*$E$1,$BI159&gt;$D$1+K$1*$E$1,$BJ159=3)</formula>
    </cfRule>
    <cfRule type="expression" priority="77" dxfId="7" stopIfTrue="1">
      <formula>AND($BH159&lt;&gt;-999,$BH159&lt;$D$1+(K$1+1)*$E$1,$BI159&gt;$D$1+K$1*$E$1,$BJ159=4)</formula>
    </cfRule>
    <cfRule type="expression" priority="78" dxfId="6" stopIfTrue="1">
      <formula>AND($BH159&lt;&gt;-999,$BH159&lt;$D$1+(K$1+1)*$E$1,$BI159&gt;$D$1+K$1*$E$1,$BJ159=5)</formula>
    </cfRule>
    <cfRule type="expression" priority="79" dxfId="16" stopIfTrue="1">
      <formula>AND($BO159&lt;&gt;-999,$BO159&lt;$D$1+(K$1+1)*$E$1,$BP159&gt;$D$1+K$1*$E$1)</formula>
    </cfRule>
  </conditionalFormatting>
  <conditionalFormatting sqref="C159:C210">
    <cfRule type="expression" priority="80" dxfId="17" stopIfTrue="1">
      <formula>COUNTIF($C159,"!*")&gt;0</formula>
    </cfRule>
    <cfRule type="expression" priority="81" dxfId="17" stopIfTrue="1">
      <formula>COUNTIF($C159,"Completed*Delayed")&gt;0</formula>
    </cfRule>
    <cfRule type="expression" priority="82" dxfId="18" stopIfTrue="1">
      <formula>COUNTIF($C159,"Completed*")&gt;0</formula>
    </cfRule>
    <cfRule type="expression" priority="83" dxfId="19" stopIfTrue="1">
      <formula>COUNTIF($C159,"*BEHIND*")&gt;0</formula>
    </cfRule>
    <cfRule type="expression" priority="84" dxfId="20" stopIfTrue="1">
      <formula>COUNTIF($C159,"In Progress*")&gt;0</formula>
    </cfRule>
    <cfRule type="expression" priority="85" dxfId="17" stopIfTrue="1">
      <formula>COUNTIF($C159,"NOT STARTED - LATE")&gt;0</formula>
    </cfRule>
  </conditionalFormatting>
  <conditionalFormatting sqref="F159:F210">
    <cfRule type="expression" priority="86" dxfId="21">
      <formula>$F159&gt;0.1</formula>
    </cfRule>
    <cfRule type="expression" priority="87" dxfId="22">
      <formula>$F159&lt;-0.1</formula>
    </cfRule>
  </conditionalFormatting>
  <conditionalFormatting sqref="C211">
    <cfRule type="expression" priority="88" dxfId="23" stopIfTrue="1">
      <formula>$C$211="AT RISK"</formula>
    </cfRule>
    <cfRule type="expression" priority="90" dxfId="23" stopIfTrue="1">
      <formula>$C$211="BEHIND"</formula>
    </cfRule>
    <cfRule type="expression" priority="92" dxfId="24" stopIfTrue="1">
      <formula>$C$211="TIGHT"</formula>
    </cfRule>
    <cfRule type="expression" priority="94" dxfId="25" stopIfTrue="1">
      <formula>$C$211="AHEAD"</formula>
    </cfRule>
    <cfRule type="expression" priority="96" dxfId="26" stopIfTrue="1">
      <formula>$C$211="ON TIME"</formula>
    </cfRule>
  </conditionalFormatting>
  <conditionalFormatting sqref="I211">
    <cfRule type="expression" priority="89" dxfId="23" stopIfTrue="1">
      <formula>$C$211="AT RISK"</formula>
    </cfRule>
    <cfRule type="expression" priority="91" dxfId="23" stopIfTrue="1">
      <formula>$C$211="BEHIND"</formula>
    </cfRule>
    <cfRule type="expression" priority="93" dxfId="24" stopIfTrue="1">
      <formula>$C$211="TIGHT"</formula>
    </cfRule>
    <cfRule type="expression" priority="95" dxfId="25" stopIfTrue="1">
      <formula>$C$211="AHEAD"</formula>
    </cfRule>
    <cfRule type="expression" priority="97" dxfId="26" stopIfTrue="1">
      <formula>$C$211="ON TIME"</formula>
    </cfRule>
  </conditionalFormatting>
  <conditionalFormatting sqref="K218:BF269">
    <cfRule type="expression" priority="98" dxfId="13" stopIfTrue="0">
      <formula>MOD(K$1,6)=0</formula>
    </cfRule>
    <cfRule type="expression" priority="99" dxfId="14" stopIfTrue="0">
      <formula>MOD(K$1,24)=0</formula>
    </cfRule>
    <cfRule type="expression" priority="100" dxfId="4" stopIfTrue="0">
      <formula>AND($C$1&gt;=$A$1,$C$1&lt;=$B$1,K$1=ROUND((($C$1-$A$1)*24-$D$1)/$E$1,0))</formula>
    </cfRule>
    <cfRule type="expression" priority="101" dxfId="15" stopIfTrue="1">
      <formula>AND($BH218&lt;&gt;-999,$BH218&lt;$D$1+(K$1+1)*$E$1,$BI218&gt;$D$1+K$1*$E$1,$BJ218=1)</formula>
    </cfRule>
    <cfRule type="expression" priority="102" dxfId="8" stopIfTrue="1">
      <formula>AND($BH218&lt;&gt;-999,$BH218&lt;$D$1+(K$1+1)*$E$1,$BI218&gt;$D$1+K$1*$E$1,$BJ218=2)</formula>
    </cfRule>
    <cfRule type="expression" priority="103" dxfId="5" stopIfTrue="1">
      <formula>AND($BH218&lt;&gt;-999,$BH218&lt;$D$1+(K$1+1)*$E$1,$BI218&gt;$D$1+K$1*$E$1,$BJ218=3)</formula>
    </cfRule>
    <cfRule type="expression" priority="104" dxfId="7" stopIfTrue="1">
      <formula>AND($BH218&lt;&gt;-999,$BH218&lt;$D$1+(K$1+1)*$E$1,$BI218&gt;$D$1+K$1*$E$1,$BJ218=4)</formula>
    </cfRule>
    <cfRule type="expression" priority="105" dxfId="6" stopIfTrue="1">
      <formula>AND($BH218&lt;&gt;-999,$BH218&lt;$D$1+(K$1+1)*$E$1,$BI218&gt;$D$1+K$1*$E$1,$BJ218=5)</formula>
    </cfRule>
    <cfRule type="expression" priority="106" dxfId="16" stopIfTrue="1">
      <formula>AND($BO218&lt;&gt;-999,$BO218&lt;$D$1+(K$1+1)*$E$1,$BP218&gt;$D$1+K$1*$E$1)</formula>
    </cfRule>
  </conditionalFormatting>
  <conditionalFormatting sqref="C218:C269">
    <cfRule type="expression" priority="107" dxfId="17" stopIfTrue="1">
      <formula>COUNTIF($C218,"!*")&gt;0</formula>
    </cfRule>
    <cfRule type="expression" priority="108" dxfId="17" stopIfTrue="1">
      <formula>COUNTIF($C218,"Completed*Delayed")&gt;0</formula>
    </cfRule>
    <cfRule type="expression" priority="109" dxfId="18" stopIfTrue="1">
      <formula>COUNTIF($C218,"Completed*")&gt;0</formula>
    </cfRule>
    <cfRule type="expression" priority="110" dxfId="19" stopIfTrue="1">
      <formula>COUNTIF($C218,"*BEHIND*")&gt;0</formula>
    </cfRule>
    <cfRule type="expression" priority="111" dxfId="20" stopIfTrue="1">
      <formula>COUNTIF($C218,"In Progress*")&gt;0</formula>
    </cfRule>
    <cfRule type="expression" priority="112" dxfId="17" stopIfTrue="1">
      <formula>COUNTIF($C218,"NOT STARTED - LATE")&gt;0</formula>
    </cfRule>
  </conditionalFormatting>
  <conditionalFormatting sqref="F218:F269">
    <cfRule type="expression" priority="113" dxfId="21">
      <formula>$F218&gt;0.1</formula>
    </cfRule>
    <cfRule type="expression" priority="114" dxfId="22">
      <formula>$F218&lt;-0.1</formula>
    </cfRule>
  </conditionalFormatting>
  <conditionalFormatting sqref="C270">
    <cfRule type="expression" priority="115" dxfId="23" stopIfTrue="1">
      <formula>$C$270="AT RISK"</formula>
    </cfRule>
    <cfRule type="expression" priority="117" dxfId="23" stopIfTrue="1">
      <formula>$C$270="BEHIND"</formula>
    </cfRule>
    <cfRule type="expression" priority="119" dxfId="24" stopIfTrue="1">
      <formula>$C$270="TIGHT"</formula>
    </cfRule>
    <cfRule type="expression" priority="121" dxfId="25" stopIfTrue="1">
      <formula>$C$270="AHEAD"</formula>
    </cfRule>
    <cfRule type="expression" priority="123" dxfId="26" stopIfTrue="1">
      <formula>$C$270="ON TIME"</formula>
    </cfRule>
  </conditionalFormatting>
  <conditionalFormatting sqref="I270">
    <cfRule type="expression" priority="116" dxfId="23" stopIfTrue="1">
      <formula>$C$270="AT RISK"</formula>
    </cfRule>
    <cfRule type="expression" priority="118" dxfId="23" stopIfTrue="1">
      <formula>$C$270="BEHIND"</formula>
    </cfRule>
    <cfRule type="expression" priority="120" dxfId="24" stopIfTrue="1">
      <formula>$C$270="TIGHT"</formula>
    </cfRule>
    <cfRule type="expression" priority="122" dxfId="25" stopIfTrue="1">
      <formula>$C$270="AHEAD"</formula>
    </cfRule>
    <cfRule type="expression" priority="124" dxfId="26" stopIfTrue="1">
      <formula>$C$270="ON TIME"</formula>
    </cfRule>
  </conditionalFormatting>
  <conditionalFormatting sqref="K277:BF328">
    <cfRule type="expression" priority="125" dxfId="13" stopIfTrue="0">
      <formula>MOD(K$1,6)=0</formula>
    </cfRule>
    <cfRule type="expression" priority="126" dxfId="14" stopIfTrue="0">
      <formula>MOD(K$1,24)=0</formula>
    </cfRule>
    <cfRule type="expression" priority="127" dxfId="4" stopIfTrue="0">
      <formula>AND($C$1&gt;=$A$1,$C$1&lt;=$B$1,K$1=ROUND((($C$1-$A$1)*24-$D$1)/$E$1,0))</formula>
    </cfRule>
    <cfRule type="expression" priority="128" dxfId="15" stopIfTrue="1">
      <formula>AND($BH277&lt;&gt;-999,$BH277&lt;$D$1+(K$1+1)*$E$1,$BI277&gt;$D$1+K$1*$E$1,$BJ277=1)</formula>
    </cfRule>
    <cfRule type="expression" priority="129" dxfId="8" stopIfTrue="1">
      <formula>AND($BH277&lt;&gt;-999,$BH277&lt;$D$1+(K$1+1)*$E$1,$BI277&gt;$D$1+K$1*$E$1,$BJ277=2)</formula>
    </cfRule>
    <cfRule type="expression" priority="130" dxfId="5" stopIfTrue="1">
      <formula>AND($BH277&lt;&gt;-999,$BH277&lt;$D$1+(K$1+1)*$E$1,$BI277&gt;$D$1+K$1*$E$1,$BJ277=3)</formula>
    </cfRule>
    <cfRule type="expression" priority="131" dxfId="7" stopIfTrue="1">
      <formula>AND($BH277&lt;&gt;-999,$BH277&lt;$D$1+(K$1+1)*$E$1,$BI277&gt;$D$1+K$1*$E$1,$BJ277=4)</formula>
    </cfRule>
    <cfRule type="expression" priority="132" dxfId="6" stopIfTrue="1">
      <formula>AND($BH277&lt;&gt;-999,$BH277&lt;$D$1+(K$1+1)*$E$1,$BI277&gt;$D$1+K$1*$E$1,$BJ277=5)</formula>
    </cfRule>
    <cfRule type="expression" priority="133" dxfId="16" stopIfTrue="1">
      <formula>AND($BO277&lt;&gt;-999,$BO277&lt;$D$1+(K$1+1)*$E$1,$BP277&gt;$D$1+K$1*$E$1)</formula>
    </cfRule>
  </conditionalFormatting>
  <conditionalFormatting sqref="C277:C328">
    <cfRule type="expression" priority="134" dxfId="17" stopIfTrue="1">
      <formula>COUNTIF($C277,"!*")&gt;0</formula>
    </cfRule>
    <cfRule type="expression" priority="135" dxfId="17" stopIfTrue="1">
      <formula>COUNTIF($C277,"Completed*Delayed")&gt;0</formula>
    </cfRule>
    <cfRule type="expression" priority="136" dxfId="18" stopIfTrue="1">
      <formula>COUNTIF($C277,"Completed*")&gt;0</formula>
    </cfRule>
    <cfRule type="expression" priority="137" dxfId="19" stopIfTrue="1">
      <formula>COUNTIF($C277,"*BEHIND*")&gt;0</formula>
    </cfRule>
    <cfRule type="expression" priority="138" dxfId="20" stopIfTrue="1">
      <formula>COUNTIF($C277,"In Progress*")&gt;0</formula>
    </cfRule>
    <cfRule type="expression" priority="139" dxfId="17" stopIfTrue="1">
      <formula>COUNTIF($C277,"NOT STARTED - LATE")&gt;0</formula>
    </cfRule>
  </conditionalFormatting>
  <conditionalFormatting sqref="F277:F328">
    <cfRule type="expression" priority="140" dxfId="21">
      <formula>$F277&gt;0.1</formula>
    </cfRule>
    <cfRule type="expression" priority="141" dxfId="22">
      <formula>$F277&lt;-0.1</formula>
    </cfRule>
  </conditionalFormatting>
  <conditionalFormatting sqref="C329">
    <cfRule type="expression" priority="142" dxfId="23" stopIfTrue="1">
      <formula>$C$329="AT RISK"</formula>
    </cfRule>
    <cfRule type="expression" priority="144" dxfId="23" stopIfTrue="1">
      <formula>$C$329="BEHIND"</formula>
    </cfRule>
    <cfRule type="expression" priority="146" dxfId="24" stopIfTrue="1">
      <formula>$C$329="TIGHT"</formula>
    </cfRule>
    <cfRule type="expression" priority="148" dxfId="25" stopIfTrue="1">
      <formula>$C$329="AHEAD"</formula>
    </cfRule>
    <cfRule type="expression" priority="150" dxfId="26" stopIfTrue="1">
      <formula>$C$329="ON TIME"</formula>
    </cfRule>
  </conditionalFormatting>
  <conditionalFormatting sqref="I329">
    <cfRule type="expression" priority="143" dxfId="23" stopIfTrue="1">
      <formula>$C$329="AT RISK"</formula>
    </cfRule>
    <cfRule type="expression" priority="145" dxfId="23" stopIfTrue="1">
      <formula>$C$329="BEHIND"</formula>
    </cfRule>
    <cfRule type="expression" priority="147" dxfId="24" stopIfTrue="1">
      <formula>$C$329="TIGHT"</formula>
    </cfRule>
    <cfRule type="expression" priority="149" dxfId="25" stopIfTrue="1">
      <formula>$C$329="AHEAD"</formula>
    </cfRule>
    <cfRule type="expression" priority="151" dxfId="26" stopIfTrue="1">
      <formula>$C$329="ON TIME"</formula>
    </cfRule>
  </conditionalFormatting>
  <pageMargins left="0.2" right="0.2" top="0.25" bottom="0.25" header="0.12" footer="0.12"/>
  <pageSetup orientation="landscape" paperSize="9" fitToHeight="0" fitToWidth="1"/>
  <headerFooter>
    <oddHeader/>
    <oddFooter>&amp;L&amp;7 &amp;K768692EWR CULVERTS REPLACEMENT PHASE 2  –  SHUTDOWN 03 PROGRESS TRACKER&amp;R&amp;7 &amp;K768692Page &amp;P of &amp;N</oddFooter>
    <evenHeader/>
    <evenFooter/>
    <firstHeader/>
    <firstFooter/>
  </headerFooter>
  <rowBreaks count="5" manualBreakCount="5">
    <brk id="36" min="0" max="16383" man="1"/>
    <brk id="94" min="0" max="16383" man="1"/>
    <brk id="153" min="0" max="16383" man="1"/>
    <brk id="212" min="0" max="16383" man="1"/>
    <brk id="271" min="0" max="16383" man="1"/>
  </rowBreaks>
  <drawing xmlns:r="http://schemas.openxmlformats.org/officeDocument/2006/relationships" r:id="rId1"/>
</worksheet>
</file>

<file path=xl/worksheets/sheet2.xml><?xml version="1.0" encoding="utf-8"?>
<worksheet xmlns="http://schemas.openxmlformats.org/spreadsheetml/2006/main">
  <sheetPr>
    <tabColor rgb="00768692"/>
    <outlinePr summaryBelow="1" summaryRight="1"/>
    <pageSetUpPr fitToPage="1"/>
  </sheetPr>
  <dimension ref="A2:M68"/>
  <sheetViews>
    <sheetView showGridLines="0" tabSelected="0" workbookViewId="0">
      <selection activeCell="A1" sqref="A1"/>
    </sheetView>
  </sheetViews>
  <sheetFormatPr baseColWidth="8" defaultRowHeight="15"/>
  <cols>
    <col width="2.5"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2" ht="20" customHeight="1">
      <c r="A2" s="116" t="inlineStr">
        <is>
          <t>EWR CULVERTS REPLACEMENT PHASE 2  –  SHUTDOWN 03  –  SITE LAYOUTS</t>
        </is>
      </c>
    </row>
    <row r="3" ht="22" customHeight="1">
      <c r="A3" s="117" t="inlineStr">
        <is>
          <t>CULVERTS C263 · C265 · C267   –   KM 209+025 / 210+525 / 212+400</t>
        </is>
      </c>
    </row>
    <row r="4" ht="28" customHeight="1">
      <c r="A4" s="118" t="inlineStr">
        <is>
          <t>TSO OTMP stabled at Station 29 (KM 223) before the shutdown, then run out to Main Line 1 and Main Line 3. Hofuf lies to the west, Riyadh to the east.</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5" ht="20" customHeight="1">
      <c r="A35" s="116" t="inlineStr">
        <is>
          <t>EWR CULVERTS REPLACEMENT PHASE 2  –  SHUTDOWN 03  –  SITE LAYOUTS</t>
        </is>
      </c>
    </row>
    <row r="36" ht="22" customHeight="1">
      <c r="A36" s="117" t="inlineStr">
        <is>
          <t>CULVERTS C288 · C289   –   KM 337+391 / 338+491</t>
        </is>
      </c>
    </row>
    <row r="37" ht="28" customHeight="1">
      <c r="A37" s="118" t="inlineStr">
        <is>
          <t>SABATCO OTMP works Line 1 at both culverts (Phase 1), then transfers to Line 3 via Station 35 (Phase 2). Station 33 lies at KM 309.</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8">
      <c r="A68" s="119" t="inlineStr">
        <is>
          <t>Diagrams as supplied with the Shutdown 03 pack. They show OTMP movement phases for each culvert group, not individual culvert cross-sections.</t>
        </is>
      </c>
    </row>
  </sheetData>
  <mergeCells count="7">
    <mergeCell ref="A36:M36"/>
    <mergeCell ref="A68:M68"/>
    <mergeCell ref="A37:M37"/>
    <mergeCell ref="A35:M35"/>
    <mergeCell ref="A4:M4"/>
    <mergeCell ref="A3:M3"/>
    <mergeCell ref="A2:M2"/>
  </mergeCells>
  <pageMargins left="0.3" right="0.3" top="0.3" bottom="0.3" header="0.5" footer="0.5"/>
  <pageSetup orientation="landscape" paperSize="9" fitToHeight="0" fitToWidth="1"/>
  <rowBreaks count="1" manualBreakCount="1">
    <brk id="33" min="0" max="16383" man="1"/>
  </rowBreaks>
  <drawing xmlns:r="http://schemas.openxmlformats.org/officeDocument/2006/relationships" r:id="rId1"/>
</worksheet>
</file>

<file path=xl/worksheets/sheet3.xml><?xml version="1.0" encoding="utf-8"?>
<worksheet xmlns="http://schemas.openxmlformats.org/spreadsheetml/2006/main">
  <sheetPr>
    <tabColor rgb="0000778B"/>
    <outlinePr summaryBelow="1" summaryRight="1"/>
    <pageSetUpPr fitToPage="1"/>
  </sheetPr>
  <dimension ref="A1:AB173"/>
  <sheetViews>
    <sheetView showGridLines="0" tabSelected="0" workbookViewId="0">
      <pane ySplit="14" topLeftCell="A15" activePane="bottomLeft" state="frozen"/>
      <selection pane="bottomLeft" activeCell="A1" sqref="A1"/>
    </sheetView>
  </sheetViews>
  <sheetFormatPr baseColWidth="8" defaultRowHeight="15"/>
  <cols>
    <col width="5" customWidth="1" min="1" max="1"/>
    <col width="44" customWidth="1" min="2" max="2"/>
    <col width="15" customWidth="1" min="3" max="3"/>
    <col width="15" customWidth="1" min="4" max="4"/>
    <col width="8" customWidth="1" min="5" max="5"/>
    <col width="7.5" customWidth="1" min="6" max="6"/>
    <col width="7.5" customWidth="1" min="7" max="7"/>
    <col width="7" customWidth="1" min="8" max="8"/>
    <col width="12" customWidth="1" min="9" max="9"/>
    <col width="9" customWidth="1" min="10" max="10"/>
    <col width="12" customWidth="1" min="11" max="11"/>
    <col width="9" customWidth="1" min="12" max="12"/>
    <col width="9" customWidth="1" min="13" max="13"/>
    <col width="11" customWidth="1" min="14" max="14"/>
    <col width="21" customWidth="1" min="15" max="15"/>
    <col width="26" customWidth="1" min="16" max="16"/>
    <col hidden="1" width="12" customWidth="1" min="17" max="17"/>
    <col hidden="1" width="12" customWidth="1" min="18" max="18"/>
    <col hidden="1" width="12" customWidth="1" min="19" max="19"/>
    <col hidden="1" width="12" customWidth="1" min="20" max="20"/>
    <col hidden="1" width="12" customWidth="1" min="21" max="21"/>
    <col hidden="1" width="12" customWidth="1" min="22" max="22"/>
    <col hidden="1" width="12" customWidth="1" min="23" max="23"/>
    <col hidden="1" width="12" customWidth="1" min="24" max="24"/>
    <col hidden="1" width="12" customWidth="1" min="25" max="25"/>
    <col hidden="1" width="12" customWidth="1" min="26" max="26"/>
    <col hidden="1" width="12" customWidth="1" min="28" max="28"/>
  </cols>
  <sheetData>
    <row r="1" ht="27.75" customHeight="1">
      <c r="A1" s="1" t="inlineStr">
        <is>
          <t xml:space="preserve">   SAR  -  POSSESSION PROGRESS REPORT   |   DATA INPUT AND SETTINGS</t>
        </is>
      </c>
    </row>
    <row r="2" ht="15.75" customHeight="1">
      <c r="A2" s="2" t="inlineStr">
        <is>
          <t xml:space="preserve">   Everything below drives the report. Yellow cells are yours to edit - every other cell is locked and calculated.</t>
        </is>
      </c>
      <c r="Z2" t="inlineStr">
        <is>
          <t>FS</t>
        </is>
      </c>
    </row>
    <row r="3">
      <c r="Z3" t="inlineStr">
        <is>
          <t>SS</t>
        </is>
      </c>
    </row>
    <row r="4" ht="21.75" customHeight="1">
      <c r="A4" s="3" t="inlineStr">
        <is>
          <t>PROJECT NAME</t>
        </is>
      </c>
      <c r="C4" s="4" t="inlineStr">
        <is>
          <t>EWR CULVERTS REPLACEMENT PHASE 2</t>
        </is>
      </c>
      <c r="D4" s="96" t="n"/>
      <c r="E4" s="96" t="n"/>
      <c r="F4" s="96" t="n"/>
      <c r="G4" s="96" t="n"/>
      <c r="H4" s="97" t="n"/>
      <c r="I4" s="3" t="inlineStr">
        <is>
          <t>REPORT TITLE</t>
        </is>
      </c>
      <c r="K4" s="4" t="inlineStr">
        <is>
          <t>POSSESSION PROGRESS REPORT  -  PLANNED vs ACTUAL</t>
        </is>
      </c>
      <c r="L4" s="96" t="n"/>
      <c r="M4" s="96" t="n"/>
      <c r="N4" s="96" t="n"/>
      <c r="O4" s="96" t="n"/>
      <c r="P4" s="97" t="n"/>
      <c r="Z4" t="inlineStr">
        <is>
          <t>FF</t>
        </is>
      </c>
    </row>
    <row r="5" ht="19.5" customHeight="1">
      <c r="A5" s="3" t="inlineStr">
        <is>
          <t>SUBTITLE</t>
        </is>
      </c>
      <c r="C5" s="5" t="inlineStr">
        <is>
          <t>Culvert Replacement  –  Shutdown 03</t>
        </is>
      </c>
      <c r="D5" s="96" t="n"/>
      <c r="E5" s="96" t="n"/>
      <c r="F5" s="97" t="n"/>
      <c r="G5" s="3" t="inlineStr">
        <is>
          <t>PREPARED BY</t>
        </is>
      </c>
      <c r="I5" s="5" t="inlineStr">
        <is>
          <t>SAR IPMC – Planning</t>
        </is>
      </c>
      <c r="J5" s="97" t="n"/>
      <c r="K5" s="3" t="inlineStr">
        <is>
          <t>REPORT CUT-OFF</t>
        </is>
      </c>
      <c r="M5" s="98">
        <f>NOW()</f>
        <v/>
      </c>
      <c r="N5" s="96" t="n"/>
      <c r="O5" s="96" t="n"/>
      <c r="P5" s="97" t="n"/>
      <c r="Z5" t="inlineStr">
        <is>
          <t>SF</t>
        </is>
      </c>
    </row>
    <row r="7" ht="19.5" customHeight="1">
      <c r="A7" s="7" t="inlineStr">
        <is>
          <t xml:space="preserve">   POSSESSION WINDOW</t>
        </is>
      </c>
    </row>
    <row r="8" ht="19.5" customHeight="1">
      <c r="A8" s="3" t="inlineStr">
        <is>
          <t>WINDOW STARTS</t>
        </is>
      </c>
      <c r="C8" s="99" t="n">
        <v>46311</v>
      </c>
      <c r="D8" s="97" t="n"/>
      <c r="E8" s="3" t="inlineStr">
        <is>
          <t>DURATION</t>
        </is>
      </c>
      <c r="G8" s="100" t="n">
        <v>48</v>
      </c>
      <c r="H8" s="97" t="n"/>
      <c r="I8" s="3" t="inlineStr">
        <is>
          <t>UNIT</t>
        </is>
      </c>
      <c r="K8" s="10" t="inlineStr">
        <is>
          <t>hours</t>
        </is>
      </c>
      <c r="L8" s="3" t="inlineStr">
        <is>
          <t>WINDOW ENDS</t>
        </is>
      </c>
      <c r="N8" s="101">
        <f>$C$8+$G$8*IF($K$8="days",1,1/24)</f>
        <v/>
      </c>
      <c r="O8" s="102" t="n"/>
      <c r="P8" s="103" t="n"/>
      <c r="Z8" t="inlineStr">
        <is>
          <t>hours</t>
        </is>
      </c>
    </row>
    <row r="9" ht="19.5" customHeight="1">
      <c r="A9" s="3" t="inlineStr">
        <is>
          <t>GANTT STARTS</t>
        </is>
      </c>
      <c r="C9" s="99">
        <f>$C$8</f>
        <v/>
      </c>
      <c r="D9" s="97" t="n"/>
      <c r="E9" s="3" t="inlineStr">
        <is>
          <t>GANTT SPAN</t>
        </is>
      </c>
      <c r="G9" s="100" t="n">
        <v>48</v>
      </c>
      <c r="H9" s="97" t="n"/>
      <c r="I9" s="3" t="inlineStr">
        <is>
          <t>UNIT</t>
        </is>
      </c>
      <c r="K9" s="10" t="inlineStr">
        <is>
          <t>hours</t>
        </is>
      </c>
      <c r="L9" s="3" t="inlineStr">
        <is>
          <t>ONE COLUMN =</t>
        </is>
      </c>
      <c r="N9" s="12">
        <f>TEXT($G$9*IF($K$9="days",24,1)/48*60,"0")&amp;" min"</f>
        <v/>
      </c>
      <c r="O9" s="102" t="n"/>
      <c r="P9" s="103" t="n"/>
      <c r="Z9" t="inlineStr">
        <is>
          <t>days</t>
        </is>
      </c>
    </row>
    <row r="10" ht="19.5" customHeight="1">
      <c r="A10" s="3" t="inlineStr">
        <is>
          <t>TOTAL HOURS</t>
        </is>
      </c>
      <c r="C10" s="104">
        <f>($N$8-$C$8)*24</f>
        <v/>
      </c>
      <c r="D10" s="103" t="n"/>
      <c r="E10" s="3" t="inlineStr">
        <is>
          <t>ELAPSED</t>
        </is>
      </c>
      <c r="G10" s="12">
        <f>TEXT(MEDIAN(0,($M$5-$C$8)*24,$C$10),"0.0")&amp;" h  of  "&amp;TEXT($C$10,"0.0")&amp;" h"</f>
        <v/>
      </c>
      <c r="H10" s="102" t="n"/>
      <c r="I10" s="102" t="n"/>
      <c r="J10" s="103" t="n"/>
      <c r="K10" s="3" t="inlineStr">
        <is>
          <t>LOCATIONS</t>
        </is>
      </c>
      <c r="M10" s="14" t="n">
        <v>5</v>
      </c>
      <c r="N10" s="3" t="inlineStr">
        <is>
          <t>ACTIVITIES</t>
        </is>
      </c>
      <c r="O10" s="14" t="n">
        <v>26</v>
      </c>
      <c r="P10" s="103" t="n"/>
    </row>
    <row r="11">
      <c r="A11" s="15" t="inlineStr">
        <is>
          <t xml:space="preserve">   The Gantt is always 48 columns wide - a shorter span gives finer columns.   Delivered with 5 locations x 26 activities per location; blank an ACTIVITY name to switch that row off.</t>
        </is>
      </c>
    </row>
    <row r="12">
      <c r="Z12" s="105">
        <f>INT($C$8)+0</f>
        <v/>
      </c>
    </row>
    <row r="13" ht="19.5" customHeight="1">
      <c r="A13" s="7" t="inlineStr">
        <is>
          <t xml:space="preserve">   LOCATIONS</t>
        </is>
      </c>
      <c r="Z13" s="105">
        <f>INT($C$8)+1</f>
        <v/>
      </c>
    </row>
    <row r="14" ht="18" customHeight="1">
      <c r="A14" s="17" t="inlineStr">
        <is>
          <t>No</t>
        </is>
      </c>
      <c r="B14" s="17" t="inlineStr">
        <is>
          <t>LOCATION NAME</t>
        </is>
      </c>
      <c r="C14" s="102" t="n"/>
      <c r="D14" s="102" t="n"/>
      <c r="E14" s="102" t="n"/>
      <c r="F14" s="102" t="n"/>
      <c r="G14" s="102" t="n"/>
      <c r="H14" s="103" t="n"/>
      <c r="I14" s="17" t="inlineStr">
        <is>
          <t>SCOPE / SUB-TITLE SHOWN ON THE PAGE</t>
        </is>
      </c>
      <c r="J14" s="102" t="n"/>
      <c r="K14" s="102" t="n"/>
      <c r="L14" s="102" t="n"/>
      <c r="M14" s="102" t="n"/>
      <c r="N14" s="102" t="n"/>
      <c r="O14" s="102" t="n"/>
      <c r="P14" s="103" t="n"/>
      <c r="Z14" s="105">
        <f>INT($C$8)+2</f>
        <v/>
      </c>
    </row>
    <row r="15" ht="18" customHeight="1">
      <c r="A15" s="18" t="n">
        <v>1</v>
      </c>
      <c r="B15" s="19" t="inlineStr">
        <is>
          <t>C263  –  KM 209+025</t>
        </is>
      </c>
      <c r="C15" s="96" t="n"/>
      <c r="D15" s="96" t="n"/>
      <c r="E15" s="96" t="n"/>
      <c r="F15" s="96" t="n"/>
      <c r="G15" s="96" t="n"/>
      <c r="H15" s="97" t="n"/>
      <c r="I15" s="20" t="inlineStr">
        <is>
          <t>1 cell  │  Main Line 1 &amp; Main Line 3  │  TSO OTMP from Station 29</t>
        </is>
      </c>
      <c r="J15" s="96" t="n"/>
      <c r="K15" s="96" t="n"/>
      <c r="L15" s="96" t="n"/>
      <c r="M15" s="96" t="n"/>
      <c r="N15" s="96" t="n"/>
      <c r="O15" s="96" t="n"/>
      <c r="P15" s="97" t="n"/>
      <c r="Z15" s="105">
        <f>INT($C$8)+3</f>
        <v/>
      </c>
    </row>
    <row r="16" ht="18" customHeight="1">
      <c r="A16" s="18" t="n">
        <v>2</v>
      </c>
      <c r="B16" s="19" t="inlineStr">
        <is>
          <t>C265  –  KM 210+525</t>
        </is>
      </c>
      <c r="C16" s="96" t="n"/>
      <c r="D16" s="96" t="n"/>
      <c r="E16" s="96" t="n"/>
      <c r="F16" s="96" t="n"/>
      <c r="G16" s="96" t="n"/>
      <c r="H16" s="97" t="n"/>
      <c r="I16" s="20" t="inlineStr">
        <is>
          <t>3 cells  │  Main Line 1 &amp; Main Line 3  │  TSO OTMP from Station 29</t>
        </is>
      </c>
      <c r="J16" s="96" t="n"/>
      <c r="K16" s="96" t="n"/>
      <c r="L16" s="96" t="n"/>
      <c r="M16" s="96" t="n"/>
      <c r="N16" s="96" t="n"/>
      <c r="O16" s="96" t="n"/>
      <c r="P16" s="97" t="n"/>
      <c r="Z16" s="105">
        <f>INT($C$8)+4</f>
        <v/>
      </c>
    </row>
    <row r="17" ht="18" customHeight="1">
      <c r="A17" s="18" t="n">
        <v>3</v>
      </c>
      <c r="B17" s="19" t="inlineStr">
        <is>
          <t>C267  –  KM 212+400</t>
        </is>
      </c>
      <c r="C17" s="96" t="n"/>
      <c r="D17" s="96" t="n"/>
      <c r="E17" s="96" t="n"/>
      <c r="F17" s="96" t="n"/>
      <c r="G17" s="96" t="n"/>
      <c r="H17" s="97" t="n"/>
      <c r="I17" s="20" t="inlineStr">
        <is>
          <t>3 cells  │  Main Line 1 &amp; Main Line 3  │  TSO OTMP from Station 29</t>
        </is>
      </c>
      <c r="J17" s="96" t="n"/>
      <c r="K17" s="96" t="n"/>
      <c r="L17" s="96" t="n"/>
      <c r="M17" s="96" t="n"/>
      <c r="N17" s="96" t="n"/>
      <c r="O17" s="96" t="n"/>
      <c r="P17" s="97" t="n"/>
    </row>
    <row r="18" ht="18" customHeight="1">
      <c r="A18" s="18" t="n">
        <v>4</v>
      </c>
      <c r="B18" s="19" t="inlineStr">
        <is>
          <t>C288  –  KM 337+391</t>
        </is>
      </c>
      <c r="C18" s="96" t="n"/>
      <c r="D18" s="96" t="n"/>
      <c r="E18" s="96" t="n"/>
      <c r="F18" s="96" t="n"/>
      <c r="G18" s="96" t="n"/>
      <c r="H18" s="97" t="n"/>
      <c r="I18" s="20" t="inlineStr">
        <is>
          <t>3 cells  │  Main Line 1 &amp; Main Line 3  │  SABATCO OTMP from Station 35</t>
        </is>
      </c>
      <c r="J18" s="96" t="n"/>
      <c r="K18" s="96" t="n"/>
      <c r="L18" s="96" t="n"/>
      <c r="M18" s="96" t="n"/>
      <c r="N18" s="96" t="n"/>
      <c r="O18" s="96" t="n"/>
      <c r="P18" s="97" t="n"/>
    </row>
    <row r="19" ht="18" customHeight="1">
      <c r="A19" s="18" t="n">
        <v>5</v>
      </c>
      <c r="B19" s="19" t="inlineStr">
        <is>
          <t>C289  –  KM 338+491</t>
        </is>
      </c>
      <c r="C19" s="96" t="n"/>
      <c r="D19" s="96" t="n"/>
      <c r="E19" s="96" t="n"/>
      <c r="F19" s="96" t="n"/>
      <c r="G19" s="96" t="n"/>
      <c r="H19" s="97" t="n"/>
      <c r="I19" s="20" t="inlineStr">
        <is>
          <t>3 cells  │  Main Line 1 &amp; Main Line 3  │  SABATCO OTMP from Station 35</t>
        </is>
      </c>
      <c r="J19" s="96" t="n"/>
      <c r="K19" s="96" t="n"/>
      <c r="L19" s="96" t="n"/>
      <c r="M19" s="96" t="n"/>
      <c r="N19" s="96" t="n"/>
      <c r="O19" s="96" t="n"/>
      <c r="P19" s="97" t="n"/>
    </row>
    <row r="25" ht="24" customHeight="1">
      <c r="A25" s="21">
        <f>IF($B$15="","LOCATION 1  -  not used","   LOCATION 1  -  "&amp;$B$15)</f>
        <v/>
      </c>
    </row>
    <row r="26" ht="30" customHeight="1">
      <c r="A26" s="22" t="inlineStr">
        <is>
          <t>No</t>
        </is>
      </c>
      <c r="B26" s="22" t="inlineStr">
        <is>
          <t>ACTIVITY  (leave blank to switch the row off)</t>
        </is>
      </c>
      <c r="C26" s="22" t="inlineStr">
        <is>
          <t>Planned
Start</t>
        </is>
      </c>
      <c r="D26" s="22" t="inlineStr">
        <is>
          <t>Planned
Finish</t>
        </is>
      </c>
      <c r="E26" s="22" t="inlineStr">
        <is>
          <t>DUR
(h)</t>
        </is>
      </c>
      <c r="F26" s="22" t="inlineStr">
        <is>
          <t>PRED
No</t>
        </is>
      </c>
      <c r="G26" s="22" t="inlineStr">
        <is>
          <t>REL</t>
        </is>
      </c>
      <c r="H26" s="22" t="inlineStr">
        <is>
          <t>LAG
(h)</t>
        </is>
      </c>
      <c r="I26" s="23" t="inlineStr">
        <is>
          <t>ACT START
Date</t>
        </is>
      </c>
      <c r="J26" s="23" t="inlineStr">
        <is>
          <t>ACT START
Time</t>
        </is>
      </c>
      <c r="K26" s="23" t="inlineStr">
        <is>
          <t>ACT FINISH
Date</t>
        </is>
      </c>
      <c r="L26" s="23" t="inlineStr">
        <is>
          <t>ACT FINISH
Time</t>
        </is>
      </c>
      <c r="M26" s="22" t="inlineStr">
        <is>
          <t>ACT
Dur</t>
        </is>
      </c>
      <c r="N26" s="23" t="inlineStr">
        <is>
          <t>% COMP</t>
        </is>
      </c>
      <c r="O26" s="22" t="inlineStr">
        <is>
          <t>STATUS  (auto)</t>
        </is>
      </c>
      <c r="P26" s="23" t="inlineStr">
        <is>
          <t>REMARKS</t>
        </is>
      </c>
    </row>
    <row r="27" ht="19.5" customHeight="1">
      <c r="A27" s="24">
        <f>IF(OR($B27="",1&gt;$O$10),"",1)</f>
        <v/>
      </c>
      <c r="B27" s="25" t="inlineStr">
        <is>
          <t>OTMP moves from station 29 to Main Line 1</t>
        </is>
      </c>
      <c r="C27" s="106">
        <f>IF(OR($B27="",1&gt;$O$10),"",IF($F27=0,$C$8,IF($G27="SS",OFFSET($C$26,$F27,0)+$H27/24,IF($G27="FF",OFFSET($D$26,$F27,0)+$H27/24-$E27/24,IF($G27="SF",OFFSET($C$26,$F27,0)+$H27/24-$E27/24,OFFSET($D$26,$F27,0)+$H27/24)))))</f>
        <v/>
      </c>
      <c r="D27" s="106">
        <f>IF(OR($B27="",1&gt;$O$10),"",$C27+$E27/24)</f>
        <v/>
      </c>
      <c r="E27" s="107" t="n">
        <v>1</v>
      </c>
      <c r="F27" s="28" t="n">
        <v>0</v>
      </c>
      <c r="G27" s="29" t="inlineStr">
        <is>
          <t>FS</t>
        </is>
      </c>
      <c r="H27" s="108" t="n">
        <v>0</v>
      </c>
      <c r="I27" s="109" t="n"/>
      <c r="J27" s="110" t="n"/>
      <c r="K27" s="109" t="n"/>
      <c r="L27" s="110" t="n"/>
      <c r="M27" s="111">
        <f>IF(OR($Q27="",$R27="",$V27=1),"",($R27-$Q27)*24)</f>
        <v/>
      </c>
      <c r="N27" s="34" t="n"/>
      <c r="O27" s="22">
        <f>IF(OR($B27="",1&gt;$O$10),"",IF($AB27=1,"! CHECK LINK",IF($V27=1,"! CHECK DATES",IF($S27=1,IF($R27="","Completed",IF($R27&lt;$D27,"Completed - Ahead",IF($R27&lt;=$D27+1/1440,"Completed - On Time","Completed - Delayed"))),IF($Q27&lt;&gt;"",IF($Y27&lt;=0.1,"In Progress - On Track","In Progress - BEHIND"),IF($M$5&lt;$C27,"Not Started","NOT STARTED - LATE"))))))</f>
        <v/>
      </c>
      <c r="P27" s="35" t="n"/>
      <c r="Q27">
        <f>IF($I27="","",$I27+IF($J27="",0,$J27))</f>
        <v/>
      </c>
      <c r="R27">
        <f>IF($K27="","",$K27+IF($L27="",0,$L27))</f>
        <v/>
      </c>
      <c r="S27">
        <f>IF($V27=1,0,IF($R27&lt;&gt;"",1,IF($N27="",0,$N27)))</f>
        <v/>
      </c>
      <c r="T27">
        <f>IF(OR($B27="",$E27=0),0,MEDIAN(0,($M$5-$C27)/($E27/24),1))</f>
        <v/>
      </c>
      <c r="U27">
        <f>($S27-$T27)*$E27</f>
        <v/>
      </c>
      <c r="V27">
        <f>IF(OR(AND($Q27&lt;&gt;"",$Q27&lt;$C$8),AND($Q27&lt;&gt;"",$R27&lt;&gt;"",$R27&lt;$Q27),AND($R27&lt;&gt;"",$Q27="")),1,0)</f>
        <v/>
      </c>
      <c r="W27">
        <f>IF($B27="","",IF($S27=1,IF($R27&lt;&gt;"",$R27,$D27),IF($Q27&lt;&gt;"",MAX($M$5,$Q27)+$E27*(1-$S27)/24,MAX($M$5,$C27)+$E27/24)))</f>
        <v/>
      </c>
      <c r="X27">
        <f>IF($B27="","",ROUND(($W27-$D27)*24,1))</f>
        <v/>
      </c>
      <c r="Y27">
        <f>IF($B27="","",$X27)</f>
        <v/>
      </c>
      <c r="AB27">
        <f>IF(AND($B27&lt;&gt;"",$F27&gt;=1),1,0)</f>
        <v/>
      </c>
    </row>
    <row r="28" ht="19.5" customHeight="1">
      <c r="A28" s="24">
        <f>IF(OR($B28="",2&gt;$O$10),"",2)</f>
        <v/>
      </c>
      <c r="B28" s="25" t="inlineStr">
        <is>
          <t>Track removal &amp; panel evacuation (Line 1)</t>
        </is>
      </c>
      <c r="C28" s="106">
        <f>IF(OR($B28="",2&gt;$O$10),"",IF($F28=0,$C$8,IF($G28="SS",OFFSET($C$26,$F28,0)+$H28/24,IF($G28="FF",OFFSET($D$26,$F28,0)+$H28/24-$E28/24,IF($G28="SF",OFFSET($C$26,$F28,0)+$H28/24-$E28/24,OFFSET($D$26,$F28,0)+$H28/24)))))</f>
        <v/>
      </c>
      <c r="D28" s="106">
        <f>IF(OR($B28="",2&gt;$O$10),"",$C28+$E28/24)</f>
        <v/>
      </c>
      <c r="E28" s="107" t="n">
        <v>1</v>
      </c>
      <c r="F28" s="28" t="n">
        <v>1</v>
      </c>
      <c r="G28" s="29" t="inlineStr">
        <is>
          <t>FS</t>
        </is>
      </c>
      <c r="H28" s="108" t="n">
        <v>0</v>
      </c>
      <c r="I28" s="109" t="n"/>
      <c r="J28" s="110" t="n"/>
      <c r="K28" s="109" t="n"/>
      <c r="L28" s="110" t="n"/>
      <c r="M28" s="111">
        <f>IF(OR($Q28="",$R28="",$V28=1),"",($R28-$Q28)*24)</f>
        <v/>
      </c>
      <c r="N28" s="34" t="n"/>
      <c r="O28" s="22">
        <f>IF(OR($B28="",2&gt;$O$10),"",IF($AB28=1,"! CHECK LINK",IF($V28=1,"! CHECK DATES",IF($S28=1,IF($R28="","Completed",IF($R28&lt;$D28,"Completed - Ahead",IF($R28&lt;=$D28+1/1440,"Completed - On Time","Completed - Delayed"))),IF($Q28&lt;&gt;"",IF($Y28&lt;=0.1,"In Progress - On Track","In Progress - BEHIND"),IF($M$5&lt;$C28,"Not Started","NOT STARTED - LATE"))))))</f>
        <v/>
      </c>
      <c r="P28" s="35" t="n"/>
      <c r="Q28">
        <f>IF($I28="","",$I28+IF($J28="",0,$J28))</f>
        <v/>
      </c>
      <c r="R28">
        <f>IF($K28="","",$K28+IF($L28="",0,$L28))</f>
        <v/>
      </c>
      <c r="S28">
        <f>IF($V28=1,0,IF($R28&lt;&gt;"",1,IF($N28="",0,$N28)))</f>
        <v/>
      </c>
      <c r="T28">
        <f>IF(OR($B28="",$E28=0),0,MEDIAN(0,($M$5-$C28)/($E28/24),1))</f>
        <v/>
      </c>
      <c r="U28">
        <f>($S28-$T28)*$E28</f>
        <v/>
      </c>
      <c r="V28">
        <f>IF(OR(AND($Q28&lt;&gt;"",$Q28&lt;$C$8),AND($Q28&lt;&gt;"",$R28&lt;&gt;"",$R28&lt;$Q28),AND($R28&lt;&gt;"",$Q28="")),1,0)</f>
        <v/>
      </c>
      <c r="W28">
        <f>IF($B28="","",IF($S28=1,IF($R28&lt;&gt;"",$R28,$D28),IF($Q28&lt;&gt;"",MAX($M$5,$Q28)+$E28*(1-$S28)/24,MAX($M$5,$C28)+$E28/24)))</f>
        <v/>
      </c>
      <c r="X28">
        <f>IF($B28="","",ROUND(($W28-$D28)*24,1))</f>
        <v/>
      </c>
      <c r="Y28">
        <f>IF($B28="","",IF($Q28&lt;&gt;"",$X28,IF($X28&gt;0,MAX($X28,IF($Y27="",0,IF($Y27&gt;0,$Y27-MAX(0,($C28-$D27)*24),$Y27))),IF($Y27="",0,IF($Y27&gt;0,$Y27-MAX(0,($C28-$D27)*24),$Y27)))))</f>
        <v/>
      </c>
      <c r="AB28">
        <f>IF(AND($B28&lt;&gt;"",$F28&gt;=2),1,0)</f>
        <v/>
      </c>
    </row>
    <row r="29" ht="19.5" customHeight="1">
      <c r="A29" s="24">
        <f>IF(OR($B29="",3&gt;$O$10),"",3)</f>
        <v/>
      </c>
      <c r="B29" s="25" t="inlineStr">
        <is>
          <t>Track removal &amp; panel evacuation (Line 3)</t>
        </is>
      </c>
      <c r="C29" s="106">
        <f>IF(OR($B29="",3&gt;$O$10),"",IF($F29=0,$C$8,IF($G29="SS",OFFSET($C$26,$F29,0)+$H29/24,IF($G29="FF",OFFSET($D$26,$F29,0)+$H29/24-$E29/24,IF($G29="SF",OFFSET($C$26,$F29,0)+$H29/24-$E29/24,OFFSET($D$26,$F29,0)+$H29/24)))))</f>
        <v/>
      </c>
      <c r="D29" s="106">
        <f>IF(OR($B29="",3&gt;$O$10),"",$C29+$E29/24)</f>
        <v/>
      </c>
      <c r="E29" s="107" t="n">
        <v>1</v>
      </c>
      <c r="F29" s="28" t="n">
        <v>1</v>
      </c>
      <c r="G29" s="29" t="inlineStr">
        <is>
          <t>SS</t>
        </is>
      </c>
      <c r="H29" s="108" t="n">
        <v>0</v>
      </c>
      <c r="I29" s="109" t="n"/>
      <c r="J29" s="110" t="n"/>
      <c r="K29" s="109" t="n"/>
      <c r="L29" s="110" t="n"/>
      <c r="M29" s="111">
        <f>IF(OR($Q29="",$R29="",$V29=1),"",($R29-$Q29)*24)</f>
        <v/>
      </c>
      <c r="N29" s="34" t="n"/>
      <c r="O29" s="22">
        <f>IF(OR($B29="",3&gt;$O$10),"",IF($AB29=1,"! CHECK LINK",IF($V29=1,"! CHECK DATES",IF($S29=1,IF($R29="","Completed",IF($R29&lt;$D29,"Completed - Ahead",IF($R29&lt;=$D29+1/1440,"Completed - On Time","Completed - Delayed"))),IF($Q29&lt;&gt;"",IF($Y29&lt;=0.1,"In Progress - On Track","In Progress - BEHIND"),IF($M$5&lt;$C29,"Not Started","NOT STARTED - LATE"))))))</f>
        <v/>
      </c>
      <c r="P29" s="35" t="n"/>
      <c r="Q29">
        <f>IF($I29="","",$I29+IF($J29="",0,$J29))</f>
        <v/>
      </c>
      <c r="R29">
        <f>IF($K29="","",$K29+IF($L29="",0,$L29))</f>
        <v/>
      </c>
      <c r="S29">
        <f>IF($V29=1,0,IF($R29&lt;&gt;"",1,IF($N29="",0,$N29)))</f>
        <v/>
      </c>
      <c r="T29">
        <f>IF(OR($B29="",$E29=0),0,MEDIAN(0,($M$5-$C29)/($E29/24),1))</f>
        <v/>
      </c>
      <c r="U29">
        <f>($S29-$T29)*$E29</f>
        <v/>
      </c>
      <c r="V29">
        <f>IF(OR(AND($Q29&lt;&gt;"",$Q29&lt;$C$8),AND($Q29&lt;&gt;"",$R29&lt;&gt;"",$R29&lt;$Q29),AND($R29&lt;&gt;"",$Q29="")),1,0)</f>
        <v/>
      </c>
      <c r="W29">
        <f>IF($B29="","",IF($S29=1,IF($R29&lt;&gt;"",$R29,$D29),IF($Q29&lt;&gt;"",MAX($M$5,$Q29)+$E29*(1-$S29)/24,MAX($M$5,$C29)+$E29/24)))</f>
        <v/>
      </c>
      <c r="X29">
        <f>IF($B29="","",ROUND(($W29-$D29)*24,1))</f>
        <v/>
      </c>
      <c r="Y29">
        <f>IF($B29="","",IF($Q29&lt;&gt;"",$X29,IF($X29&gt;0,MAX($X29,IF($Y28="",0,IF($Y28&gt;0,$Y28-MAX(0,($C29-$D28)*24),$Y28))),IF($Y28="",0,IF($Y28&gt;0,$Y28-MAX(0,($C29-$D28)*24),$Y28)))))</f>
        <v/>
      </c>
      <c r="AB29">
        <f>IF(AND($B29&lt;&gt;"",$F29&gt;=3),1,0)</f>
        <v/>
      </c>
    </row>
    <row r="30" ht="19.5" customHeight="1">
      <c r="A30" s="24">
        <f>IF(OR($B30="",4&gt;$O$10),"",4)</f>
        <v/>
      </c>
      <c r="B30" s="25" t="inlineStr">
        <is>
          <t>Ballast removal</t>
        </is>
      </c>
      <c r="C30" s="106">
        <f>IF(OR($B30="",4&gt;$O$10),"",IF($F30=0,$C$8,IF($G30="SS",OFFSET($C$26,$F30,0)+$H30/24,IF($G30="FF",OFFSET($D$26,$F30,0)+$H30/24-$E30/24,IF($G30="SF",OFFSET($C$26,$F30,0)+$H30/24-$E30/24,OFFSET($D$26,$F30,0)+$H30/24)))))</f>
        <v/>
      </c>
      <c r="D30" s="106">
        <f>IF(OR($B30="",4&gt;$O$10),"",$C30+$E30/24)</f>
        <v/>
      </c>
      <c r="E30" s="107" t="n">
        <v>1</v>
      </c>
      <c r="F30" s="28" t="n">
        <v>3</v>
      </c>
      <c r="G30" s="29" t="inlineStr">
        <is>
          <t>FS</t>
        </is>
      </c>
      <c r="H30" s="108" t="n">
        <v>0</v>
      </c>
      <c r="I30" s="109" t="n"/>
      <c r="J30" s="110" t="n"/>
      <c r="K30" s="109" t="n"/>
      <c r="L30" s="110" t="n"/>
      <c r="M30" s="111">
        <f>IF(OR($Q30="",$R30="",$V30=1),"",($R30-$Q30)*24)</f>
        <v/>
      </c>
      <c r="N30" s="34" t="n"/>
      <c r="O30" s="22">
        <f>IF(OR($B30="",4&gt;$O$10),"",IF($AB30=1,"! CHECK LINK",IF($V30=1,"! CHECK DATES",IF($S30=1,IF($R30="","Completed",IF($R30&lt;$D30,"Completed - Ahead",IF($R30&lt;=$D30+1/1440,"Completed - On Time","Completed - Delayed"))),IF($Q30&lt;&gt;"",IF($Y30&lt;=0.1,"In Progress - On Track","In Progress - BEHIND"),IF($M$5&lt;$C30,"Not Started","NOT STARTED - LATE"))))))</f>
        <v/>
      </c>
      <c r="P30" s="35" t="n"/>
      <c r="Q30">
        <f>IF($I30="","",$I30+IF($J30="",0,$J30))</f>
        <v/>
      </c>
      <c r="R30">
        <f>IF($K30="","",$K30+IF($L30="",0,$L30))</f>
        <v/>
      </c>
      <c r="S30">
        <f>IF($V30=1,0,IF($R30&lt;&gt;"",1,IF($N30="",0,$N30)))</f>
        <v/>
      </c>
      <c r="T30">
        <f>IF(OR($B30="",$E30=0),0,MEDIAN(0,($M$5-$C30)/($E30/24),1))</f>
        <v/>
      </c>
      <c r="U30">
        <f>($S30-$T30)*$E30</f>
        <v/>
      </c>
      <c r="V30">
        <f>IF(OR(AND($Q30&lt;&gt;"",$Q30&lt;$C$8),AND($Q30&lt;&gt;"",$R30&lt;&gt;"",$R30&lt;$Q30),AND($R30&lt;&gt;"",$Q30="")),1,0)</f>
        <v/>
      </c>
      <c r="W30">
        <f>IF($B30="","",IF($S30=1,IF($R30&lt;&gt;"",$R30,$D30),IF($Q30&lt;&gt;"",MAX($M$5,$Q30)+$E30*(1-$S30)/24,MAX($M$5,$C30)+$E30/24)))</f>
        <v/>
      </c>
      <c r="X30">
        <f>IF($B30="","",ROUND(($W30-$D30)*24,1))</f>
        <v/>
      </c>
      <c r="Y30">
        <f>IF($B30="","",IF($Q30&lt;&gt;"",$X30,IF($X30&gt;0,MAX($X30,IF($Y29="",0,IF($Y29&gt;0,$Y29-MAX(0,($C30-$D29)*24),$Y29))),IF($Y29="",0,IF($Y29&gt;0,$Y29-MAX(0,($C30-$D29)*24),$Y29)))))</f>
        <v/>
      </c>
      <c r="AB30">
        <f>IF(AND($B30&lt;&gt;"",$F30&gt;=4),1,0)</f>
        <v/>
      </c>
    </row>
    <row r="31" ht="19.5" customHeight="1">
      <c r="A31" s="24">
        <f>IF(OR($B31="",5&gt;$O$10),"",5)</f>
        <v/>
      </c>
      <c r="B31" s="25" t="inlineStr">
        <is>
          <t>Cutting &amp; removal around existing culvert</t>
        </is>
      </c>
      <c r="C31" s="106">
        <f>IF(OR($B31="",5&gt;$O$10),"",IF($F31=0,$C$8,IF($G31="SS",OFFSET($C$26,$F31,0)+$H31/24,IF($G31="FF",OFFSET($D$26,$F31,0)+$H31/24-$E31/24,IF($G31="SF",OFFSET($C$26,$F31,0)+$H31/24-$E31/24,OFFSET($D$26,$F31,0)+$H31/24)))))</f>
        <v/>
      </c>
      <c r="D31" s="106">
        <f>IF(OR($B31="",5&gt;$O$10),"",$C31+$E31/24)</f>
        <v/>
      </c>
      <c r="E31" s="107" t="n">
        <v>3</v>
      </c>
      <c r="F31" s="28" t="n">
        <v>4</v>
      </c>
      <c r="G31" s="29" t="inlineStr">
        <is>
          <t>FS</t>
        </is>
      </c>
      <c r="H31" s="108" t="n">
        <v>0</v>
      </c>
      <c r="I31" s="109" t="n"/>
      <c r="J31" s="110" t="n"/>
      <c r="K31" s="109" t="n"/>
      <c r="L31" s="110" t="n"/>
      <c r="M31" s="111">
        <f>IF(OR($Q31="",$R31="",$V31=1),"",($R31-$Q31)*24)</f>
        <v/>
      </c>
      <c r="N31" s="34" t="n"/>
      <c r="O31" s="22">
        <f>IF(OR($B31="",5&gt;$O$10),"",IF($AB31=1,"! CHECK LINK",IF($V31=1,"! CHECK DATES",IF($S31=1,IF($R31="","Completed",IF($R31&lt;$D31,"Completed - Ahead",IF($R31&lt;=$D31+1/1440,"Completed - On Time","Completed - Delayed"))),IF($Q31&lt;&gt;"",IF($Y31&lt;=0.1,"In Progress - On Track","In Progress - BEHIND"),IF($M$5&lt;$C31,"Not Started","NOT STARTED - LATE"))))))</f>
        <v/>
      </c>
      <c r="P31" s="35" t="n"/>
      <c r="Q31">
        <f>IF($I31="","",$I31+IF($J31="",0,$J31))</f>
        <v/>
      </c>
      <c r="R31">
        <f>IF($K31="","",$K31+IF($L31="",0,$L31))</f>
        <v/>
      </c>
      <c r="S31">
        <f>IF($V31=1,0,IF($R31&lt;&gt;"",1,IF($N31="",0,$N31)))</f>
        <v/>
      </c>
      <c r="T31">
        <f>IF(OR($B31="",$E31=0),0,MEDIAN(0,($M$5-$C31)/($E31/24),1))</f>
        <v/>
      </c>
      <c r="U31">
        <f>($S31-$T31)*$E31</f>
        <v/>
      </c>
      <c r="V31">
        <f>IF(OR(AND($Q31&lt;&gt;"",$Q31&lt;$C$8),AND($Q31&lt;&gt;"",$R31&lt;&gt;"",$R31&lt;$Q31),AND($R31&lt;&gt;"",$Q31="")),1,0)</f>
        <v/>
      </c>
      <c r="W31">
        <f>IF($B31="","",IF($S31=1,IF($R31&lt;&gt;"",$R31,$D31),IF($Q31&lt;&gt;"",MAX($M$5,$Q31)+$E31*(1-$S31)/24,MAX($M$5,$C31)+$E31/24)))</f>
        <v/>
      </c>
      <c r="X31">
        <f>IF($B31="","",ROUND(($W31-$D31)*24,1))</f>
        <v/>
      </c>
      <c r="Y31">
        <f>IF($B31="","",IF($Q31&lt;&gt;"",$X31,IF($X31&gt;0,MAX($X31,IF($Y30="",0,IF($Y30&gt;0,$Y30-MAX(0,($C31-$D30)*24),$Y30))),IF($Y30="",0,IF($Y30&gt;0,$Y30-MAX(0,($C31-$D30)*24),$Y30)))))</f>
        <v/>
      </c>
      <c r="AB31">
        <f>IF(AND($B31&lt;&gt;"",$F31&gt;=5),1,0)</f>
        <v/>
      </c>
    </row>
    <row r="32" ht="19.5" customHeight="1">
      <c r="A32" s="24">
        <f>IF(OR($B32="",6&gt;$O$10),"",6)</f>
        <v/>
      </c>
      <c r="B32" s="25" t="inlineStr">
        <is>
          <t>Demolition of existing culvert</t>
        </is>
      </c>
      <c r="C32" s="106">
        <f>IF(OR($B32="",6&gt;$O$10),"",IF($F32=0,$C$8,IF($G32="SS",OFFSET($C$26,$F32,0)+$H32/24,IF($G32="FF",OFFSET($D$26,$F32,0)+$H32/24-$E32/24,IF($G32="SF",OFFSET($C$26,$F32,0)+$H32/24-$E32/24,OFFSET($D$26,$F32,0)+$H32/24)))))</f>
        <v/>
      </c>
      <c r="D32" s="106">
        <f>IF(OR($B32="",6&gt;$O$10),"",$C32+$E32/24)</f>
        <v/>
      </c>
      <c r="E32" s="107" t="n">
        <v>4</v>
      </c>
      <c r="F32" s="28" t="n">
        <v>5</v>
      </c>
      <c r="G32" s="29" t="inlineStr">
        <is>
          <t>FS</t>
        </is>
      </c>
      <c r="H32" s="108" t="n">
        <v>0</v>
      </c>
      <c r="I32" s="109" t="n"/>
      <c r="J32" s="110" t="n"/>
      <c r="K32" s="109" t="n"/>
      <c r="L32" s="110" t="n"/>
      <c r="M32" s="111">
        <f>IF(OR($Q32="",$R32="",$V32=1),"",($R32-$Q32)*24)</f>
        <v/>
      </c>
      <c r="N32" s="34" t="n"/>
      <c r="O32" s="22">
        <f>IF(OR($B32="",6&gt;$O$10),"",IF($AB32=1,"! CHECK LINK",IF($V32=1,"! CHECK DATES",IF($S32=1,IF($R32="","Completed",IF($R32&lt;$D32,"Completed - Ahead",IF($R32&lt;=$D32+1/1440,"Completed - On Time","Completed - Delayed"))),IF($Q32&lt;&gt;"",IF($Y32&lt;=0.1,"In Progress - On Track","In Progress - BEHIND"),IF($M$5&lt;$C32,"Not Started","NOT STARTED - LATE"))))))</f>
        <v/>
      </c>
      <c r="P32" s="35" t="n"/>
      <c r="Q32">
        <f>IF($I32="","",$I32+IF($J32="",0,$J32))</f>
        <v/>
      </c>
      <c r="R32">
        <f>IF($K32="","",$K32+IF($L32="",0,$L32))</f>
        <v/>
      </c>
      <c r="S32">
        <f>IF($V32=1,0,IF($R32&lt;&gt;"",1,IF($N32="",0,$N32)))</f>
        <v/>
      </c>
      <c r="T32">
        <f>IF(OR($B32="",$E32=0),0,MEDIAN(0,($M$5-$C32)/($E32/24),1))</f>
        <v/>
      </c>
      <c r="U32">
        <f>($S32-$T32)*$E32</f>
        <v/>
      </c>
      <c r="V32">
        <f>IF(OR(AND($Q32&lt;&gt;"",$Q32&lt;$C$8),AND($Q32&lt;&gt;"",$R32&lt;&gt;"",$R32&lt;$Q32),AND($R32&lt;&gt;"",$Q32="")),1,0)</f>
        <v/>
      </c>
      <c r="W32">
        <f>IF($B32="","",IF($S32=1,IF($R32&lt;&gt;"",$R32,$D32),IF($Q32&lt;&gt;"",MAX($M$5,$Q32)+$E32*(1-$S32)/24,MAX($M$5,$C32)+$E32/24)))</f>
        <v/>
      </c>
      <c r="X32">
        <f>IF($B32="","",ROUND(($W32-$D32)*24,1))</f>
        <v/>
      </c>
      <c r="Y32">
        <f>IF($B32="","",IF($Q32&lt;&gt;"",$X32,IF($X32&gt;0,MAX($X32,IF($Y31="",0,IF($Y31&gt;0,$Y31-MAX(0,($C32-$D31)*24),$Y31))),IF($Y31="",0,IF($Y31&gt;0,$Y31-MAX(0,($C32-$D31)*24),$Y31)))))</f>
        <v/>
      </c>
      <c r="AB32">
        <f>IF(AND($B32&lt;&gt;"",$F32&gt;=6),1,0)</f>
        <v/>
      </c>
    </row>
    <row r="33" ht="19.5" customHeight="1">
      <c r="A33" s="24">
        <f>IF(OR($B33="",7&gt;$O$10),"",7)</f>
        <v/>
      </c>
      <c r="B33" s="25" t="inlineStr">
        <is>
          <t>Surface preparation for precast installation</t>
        </is>
      </c>
      <c r="C33" s="106">
        <f>IF(OR($B33="",7&gt;$O$10),"",IF($F33=0,$C$8,IF($G33="SS",OFFSET($C$26,$F33,0)+$H33/24,IF($G33="FF",OFFSET($D$26,$F33,0)+$H33/24-$E33/24,IF($G33="SF",OFFSET($C$26,$F33,0)+$H33/24-$E33/24,OFFSET($D$26,$F33,0)+$H33/24)))))</f>
        <v/>
      </c>
      <c r="D33" s="106">
        <f>IF(OR($B33="",7&gt;$O$10),"",$C33+$E33/24)</f>
        <v/>
      </c>
      <c r="E33" s="107" t="n">
        <v>2</v>
      </c>
      <c r="F33" s="28" t="n">
        <v>6</v>
      </c>
      <c r="G33" s="29" t="inlineStr">
        <is>
          <t>FS</t>
        </is>
      </c>
      <c r="H33" s="108" t="n">
        <v>0</v>
      </c>
      <c r="I33" s="109" t="n"/>
      <c r="J33" s="110" t="n"/>
      <c r="K33" s="109" t="n"/>
      <c r="L33" s="110" t="n"/>
      <c r="M33" s="111">
        <f>IF(OR($Q33="",$R33="",$V33=1),"",($R33-$Q33)*24)</f>
        <v/>
      </c>
      <c r="N33" s="34" t="n"/>
      <c r="O33" s="22">
        <f>IF(OR($B33="",7&gt;$O$10),"",IF($AB33=1,"! CHECK LINK",IF($V33=1,"! CHECK DATES",IF($S33=1,IF($R33="","Completed",IF($R33&lt;$D33,"Completed - Ahead",IF($R33&lt;=$D33+1/1440,"Completed - On Time","Completed - Delayed"))),IF($Q33&lt;&gt;"",IF($Y33&lt;=0.1,"In Progress - On Track","In Progress - BEHIND"),IF($M$5&lt;$C33,"Not Started","NOT STARTED - LATE"))))))</f>
        <v/>
      </c>
      <c r="P33" s="35" t="n"/>
      <c r="Q33">
        <f>IF($I33="","",$I33+IF($J33="",0,$J33))</f>
        <v/>
      </c>
      <c r="R33">
        <f>IF($K33="","",$K33+IF($L33="",0,$L33))</f>
        <v/>
      </c>
      <c r="S33">
        <f>IF($V33=1,0,IF($R33&lt;&gt;"",1,IF($N33="",0,$N33)))</f>
        <v/>
      </c>
      <c r="T33">
        <f>IF(OR($B33="",$E33=0),0,MEDIAN(0,($M$5-$C33)/($E33/24),1))</f>
        <v/>
      </c>
      <c r="U33">
        <f>($S33-$T33)*$E33</f>
        <v/>
      </c>
      <c r="V33">
        <f>IF(OR(AND($Q33&lt;&gt;"",$Q33&lt;$C$8),AND($Q33&lt;&gt;"",$R33&lt;&gt;"",$R33&lt;$Q33),AND($R33&lt;&gt;"",$Q33="")),1,0)</f>
        <v/>
      </c>
      <c r="W33">
        <f>IF($B33="","",IF($S33=1,IF($R33&lt;&gt;"",$R33,$D33),IF($Q33&lt;&gt;"",MAX($M$5,$Q33)+$E33*(1-$S33)/24,MAX($M$5,$C33)+$E33/24)))</f>
        <v/>
      </c>
      <c r="X33">
        <f>IF($B33="","",ROUND(($W33-$D33)*24,1))</f>
        <v/>
      </c>
      <c r="Y33">
        <f>IF($B33="","",IF($Q33&lt;&gt;"",$X33,IF($X33&gt;0,MAX($X33,IF($Y32="",0,IF($Y32&gt;0,$Y32-MAX(0,($C33-$D32)*24),$Y32))),IF($Y32="",0,IF($Y32&gt;0,$Y32-MAX(0,($C33-$D32)*24),$Y32)))))</f>
        <v/>
      </c>
      <c r="AB33">
        <f>IF(AND($B33&lt;&gt;"",$F33&gt;=7),1,0)</f>
        <v/>
      </c>
    </row>
    <row r="34" ht="19.5" customHeight="1">
      <c r="A34" s="24">
        <f>IF(OR($B34="",8&gt;$O$10),"",8)</f>
        <v/>
      </c>
      <c r="B34" s="25" t="inlineStr">
        <is>
          <t>Installation of new precast culvert</t>
        </is>
      </c>
      <c r="C34" s="106">
        <f>IF(OR($B34="",8&gt;$O$10),"",IF($F34=0,$C$8,IF($G34="SS",OFFSET($C$26,$F34,0)+$H34/24,IF($G34="FF",OFFSET($D$26,$F34,0)+$H34/24-$E34/24,IF($G34="SF",OFFSET($C$26,$F34,0)+$H34/24-$E34/24,OFFSET($D$26,$F34,0)+$H34/24)))))</f>
        <v/>
      </c>
      <c r="D34" s="106">
        <f>IF(OR($B34="",8&gt;$O$10),"",$C34+$E34/24)</f>
        <v/>
      </c>
      <c r="E34" s="107" t="n">
        <v>5</v>
      </c>
      <c r="F34" s="28" t="n">
        <v>7</v>
      </c>
      <c r="G34" s="29" t="inlineStr">
        <is>
          <t>FS</t>
        </is>
      </c>
      <c r="H34" s="108" t="n">
        <v>0</v>
      </c>
      <c r="I34" s="109" t="n"/>
      <c r="J34" s="110" t="n"/>
      <c r="K34" s="109" t="n"/>
      <c r="L34" s="110" t="n"/>
      <c r="M34" s="111">
        <f>IF(OR($Q34="",$R34="",$V34=1),"",($R34-$Q34)*24)</f>
        <v/>
      </c>
      <c r="N34" s="34" t="n"/>
      <c r="O34" s="22">
        <f>IF(OR($B34="",8&gt;$O$10),"",IF($AB34=1,"! CHECK LINK",IF($V34=1,"! CHECK DATES",IF($S34=1,IF($R34="","Completed",IF($R34&lt;$D34,"Completed - Ahead",IF($R34&lt;=$D34+1/1440,"Completed - On Time","Completed - Delayed"))),IF($Q34&lt;&gt;"",IF($Y34&lt;=0.1,"In Progress - On Track","In Progress - BEHIND"),IF($M$5&lt;$C34,"Not Started","NOT STARTED - LATE"))))))</f>
        <v/>
      </c>
      <c r="P34" s="35" t="n"/>
      <c r="Q34">
        <f>IF($I34="","",$I34+IF($J34="",0,$J34))</f>
        <v/>
      </c>
      <c r="R34">
        <f>IF($K34="","",$K34+IF($L34="",0,$L34))</f>
        <v/>
      </c>
      <c r="S34">
        <f>IF($V34=1,0,IF($R34&lt;&gt;"",1,IF($N34="",0,$N34)))</f>
        <v/>
      </c>
      <c r="T34">
        <f>IF(OR($B34="",$E34=0),0,MEDIAN(0,($M$5-$C34)/($E34/24),1))</f>
        <v/>
      </c>
      <c r="U34">
        <f>($S34-$T34)*$E34</f>
        <v/>
      </c>
      <c r="V34">
        <f>IF(OR(AND($Q34&lt;&gt;"",$Q34&lt;$C$8),AND($Q34&lt;&gt;"",$R34&lt;&gt;"",$R34&lt;$Q34),AND($R34&lt;&gt;"",$Q34="")),1,0)</f>
        <v/>
      </c>
      <c r="W34">
        <f>IF($B34="","",IF($S34=1,IF($R34&lt;&gt;"",$R34,$D34),IF($Q34&lt;&gt;"",MAX($M$5,$Q34)+$E34*(1-$S34)/24,MAX($M$5,$C34)+$E34/24)))</f>
        <v/>
      </c>
      <c r="X34">
        <f>IF($B34="","",ROUND(($W34-$D34)*24,1))</f>
        <v/>
      </c>
      <c r="Y34">
        <f>IF($B34="","",IF($Q34&lt;&gt;"",$X34,IF($X34&gt;0,MAX($X34,IF($Y33="",0,IF($Y33&gt;0,$Y33-MAX(0,($C34-$D33)*24),$Y33))),IF($Y33="",0,IF($Y33&gt;0,$Y33-MAX(0,($C34-$D33)*24),$Y33)))))</f>
        <v/>
      </c>
      <c r="AB34">
        <f>IF(AND($B34&lt;&gt;"",$F34&gt;=8),1,0)</f>
        <v/>
      </c>
    </row>
    <row r="35" ht="19.5" customHeight="1">
      <c r="A35" s="24">
        <f>IF(OR($B35="",9&gt;$O$10),"",9)</f>
        <v/>
      </c>
      <c r="B35" s="25" t="inlineStr">
        <is>
          <t>Apply sealant to the culvert</t>
        </is>
      </c>
      <c r="C35" s="106">
        <f>IF(OR($B35="",9&gt;$O$10),"",IF($F35=0,$C$8,IF($G35="SS",OFFSET($C$26,$F35,0)+$H35/24,IF($G35="FF",OFFSET($D$26,$F35,0)+$H35/24-$E35/24,IF($G35="SF",OFFSET($C$26,$F35,0)+$H35/24-$E35/24,OFFSET($D$26,$F35,0)+$H35/24)))))</f>
        <v/>
      </c>
      <c r="D35" s="106">
        <f>IF(OR($B35="",9&gt;$O$10),"",$C35+$E35/24)</f>
        <v/>
      </c>
      <c r="E35" s="107" t="n">
        <v>2</v>
      </c>
      <c r="F35" s="28" t="n">
        <v>8</v>
      </c>
      <c r="G35" s="29" t="inlineStr">
        <is>
          <t>FS</t>
        </is>
      </c>
      <c r="H35" s="108" t="n">
        <v>0</v>
      </c>
      <c r="I35" s="109" t="n"/>
      <c r="J35" s="110" t="n"/>
      <c r="K35" s="109" t="n"/>
      <c r="L35" s="110" t="n"/>
      <c r="M35" s="111">
        <f>IF(OR($Q35="",$R35="",$V35=1),"",($R35-$Q35)*24)</f>
        <v/>
      </c>
      <c r="N35" s="34" t="n"/>
      <c r="O35" s="22">
        <f>IF(OR($B35="",9&gt;$O$10),"",IF($AB35=1,"! CHECK LINK",IF($V35=1,"! CHECK DATES",IF($S35=1,IF($R35="","Completed",IF($R35&lt;$D35,"Completed - Ahead",IF($R35&lt;=$D35+1/1440,"Completed - On Time","Completed - Delayed"))),IF($Q35&lt;&gt;"",IF($Y35&lt;=0.1,"In Progress - On Track","In Progress - BEHIND"),IF($M$5&lt;$C35,"Not Started","NOT STARTED - LATE"))))))</f>
        <v/>
      </c>
      <c r="P35" s="35" t="n"/>
      <c r="Q35">
        <f>IF($I35="","",$I35+IF($J35="",0,$J35))</f>
        <v/>
      </c>
      <c r="R35">
        <f>IF($K35="","",$K35+IF($L35="",0,$L35))</f>
        <v/>
      </c>
      <c r="S35">
        <f>IF($V35=1,0,IF($R35&lt;&gt;"",1,IF($N35="",0,$N35)))</f>
        <v/>
      </c>
      <c r="T35">
        <f>IF(OR($B35="",$E35=0),0,MEDIAN(0,($M$5-$C35)/($E35/24),1))</f>
        <v/>
      </c>
      <c r="U35">
        <f>($S35-$T35)*$E35</f>
        <v/>
      </c>
      <c r="V35">
        <f>IF(OR(AND($Q35&lt;&gt;"",$Q35&lt;$C$8),AND($Q35&lt;&gt;"",$R35&lt;&gt;"",$R35&lt;$Q35),AND($R35&lt;&gt;"",$Q35="")),1,0)</f>
        <v/>
      </c>
      <c r="W35">
        <f>IF($B35="","",IF($S35=1,IF($R35&lt;&gt;"",$R35,$D35),IF($Q35&lt;&gt;"",MAX($M$5,$Q35)+$E35*(1-$S35)/24,MAX($M$5,$C35)+$E35/24)))</f>
        <v/>
      </c>
      <c r="X35">
        <f>IF($B35="","",ROUND(($W35-$D35)*24,1))</f>
        <v/>
      </c>
      <c r="Y35">
        <f>IF($B35="","",IF($Q35&lt;&gt;"",$X35,IF($X35&gt;0,MAX($X35,IF($Y34="",0,IF($Y34&gt;0,$Y34-MAX(0,($C35-$D34)*24),$Y34))),IF($Y34="",0,IF($Y34&gt;0,$Y34-MAX(0,($C35-$D34)*24),$Y34)))))</f>
        <v/>
      </c>
      <c r="AB35">
        <f>IF(AND($B35&lt;&gt;"",$F35&gt;=9),1,0)</f>
        <v/>
      </c>
    </row>
    <row r="36" ht="19.5" customHeight="1">
      <c r="A36" s="24">
        <f>IF(OR($B36="",10&gt;$O$10),"",10)</f>
        <v/>
      </c>
      <c r="B36" s="25" t="inlineStr">
        <is>
          <t>Backfill around culvert to subgrade level</t>
        </is>
      </c>
      <c r="C36" s="106">
        <f>IF(OR($B36="",10&gt;$O$10),"",IF($F36=0,$C$8,IF($G36="SS",OFFSET($C$26,$F36,0)+$H36/24,IF($G36="FF",OFFSET($D$26,$F36,0)+$H36/24-$E36/24,IF($G36="SF",OFFSET($C$26,$F36,0)+$H36/24-$E36/24,OFFSET($D$26,$F36,0)+$H36/24)))))</f>
        <v/>
      </c>
      <c r="D36" s="106">
        <f>IF(OR($B36="",10&gt;$O$10),"",$C36+$E36/24)</f>
        <v/>
      </c>
      <c r="E36" s="107" t="n">
        <v>5</v>
      </c>
      <c r="F36" s="28" t="n">
        <v>9</v>
      </c>
      <c r="G36" s="29" t="inlineStr">
        <is>
          <t>FS</t>
        </is>
      </c>
      <c r="H36" s="108" t="n">
        <v>0</v>
      </c>
      <c r="I36" s="109" t="n"/>
      <c r="J36" s="110" t="n"/>
      <c r="K36" s="109" t="n"/>
      <c r="L36" s="110" t="n"/>
      <c r="M36" s="111">
        <f>IF(OR($Q36="",$R36="",$V36=1),"",($R36-$Q36)*24)</f>
        <v/>
      </c>
      <c r="N36" s="34" t="n"/>
      <c r="O36" s="22">
        <f>IF(OR($B36="",10&gt;$O$10),"",IF($AB36=1,"! CHECK LINK",IF($V36=1,"! CHECK DATES",IF($S36=1,IF($R36="","Completed",IF($R36&lt;$D36,"Completed - Ahead",IF($R36&lt;=$D36+1/1440,"Completed - On Time","Completed - Delayed"))),IF($Q36&lt;&gt;"",IF($Y36&lt;=0.1,"In Progress - On Track","In Progress - BEHIND"),IF($M$5&lt;$C36,"Not Started","NOT STARTED - LATE"))))))</f>
        <v/>
      </c>
      <c r="P36" s="35" t="n"/>
      <c r="Q36">
        <f>IF($I36="","",$I36+IF($J36="",0,$J36))</f>
        <v/>
      </c>
      <c r="R36">
        <f>IF($K36="","",$K36+IF($L36="",0,$L36))</f>
        <v/>
      </c>
      <c r="S36">
        <f>IF($V36=1,0,IF($R36&lt;&gt;"",1,IF($N36="",0,$N36)))</f>
        <v/>
      </c>
      <c r="T36">
        <f>IF(OR($B36="",$E36=0),0,MEDIAN(0,($M$5-$C36)/($E36/24),1))</f>
        <v/>
      </c>
      <c r="U36">
        <f>($S36-$T36)*$E36</f>
        <v/>
      </c>
      <c r="V36">
        <f>IF(OR(AND($Q36&lt;&gt;"",$Q36&lt;$C$8),AND($Q36&lt;&gt;"",$R36&lt;&gt;"",$R36&lt;$Q36),AND($R36&lt;&gt;"",$Q36="")),1,0)</f>
        <v/>
      </c>
      <c r="W36">
        <f>IF($B36="","",IF($S36=1,IF($R36&lt;&gt;"",$R36,$D36),IF($Q36&lt;&gt;"",MAX($M$5,$Q36)+$E36*(1-$S36)/24,MAX($M$5,$C36)+$E36/24)))</f>
        <v/>
      </c>
      <c r="X36">
        <f>IF($B36="","",ROUND(($W36-$D36)*24,1))</f>
        <v/>
      </c>
      <c r="Y36">
        <f>IF($B36="","",IF($Q36&lt;&gt;"",$X36,IF($X36&gt;0,MAX($X36,IF($Y35="",0,IF($Y35&gt;0,$Y35-MAX(0,($C36-$D35)*24),$Y35))),IF($Y35="",0,IF($Y35&gt;0,$Y35-MAX(0,($C36-$D35)*24),$Y35)))))</f>
        <v/>
      </c>
      <c r="AB36">
        <f>IF(AND($B36&lt;&gt;"",$F36&gt;=10),1,0)</f>
        <v/>
      </c>
    </row>
    <row r="37" ht="19.5" customHeight="1">
      <c r="A37" s="24">
        <f>IF(OR($B37="",11&gt;$O$10),"",11)</f>
        <v/>
      </c>
      <c r="B37" s="25" t="inlineStr">
        <is>
          <t>Backfill Subgrade</t>
        </is>
      </c>
      <c r="C37" s="106">
        <f>IF(OR($B37="",11&gt;$O$10),"",IF($F37=0,$C$8,IF($G37="SS",OFFSET($C$26,$F37,0)+$H37/24,IF($G37="FF",OFFSET($D$26,$F37,0)+$H37/24-$E37/24,IF($G37="SF",OFFSET($C$26,$F37,0)+$H37/24-$E37/24,OFFSET($D$26,$F37,0)+$H37/24)))))</f>
        <v/>
      </c>
      <c r="D37" s="106">
        <f>IF(OR($B37="",11&gt;$O$10),"",$C37+$E37/24)</f>
        <v/>
      </c>
      <c r="E37" s="107" t="n">
        <v>2</v>
      </c>
      <c r="F37" s="28" t="n">
        <v>10</v>
      </c>
      <c r="G37" s="29" t="inlineStr">
        <is>
          <t>FS</t>
        </is>
      </c>
      <c r="H37" s="108" t="n">
        <v>0</v>
      </c>
      <c r="I37" s="109" t="n"/>
      <c r="J37" s="110" t="n"/>
      <c r="K37" s="109" t="n"/>
      <c r="L37" s="110" t="n"/>
      <c r="M37" s="111">
        <f>IF(OR($Q37="",$R37="",$V37=1),"",($R37-$Q37)*24)</f>
        <v/>
      </c>
      <c r="N37" s="34" t="n"/>
      <c r="O37" s="22">
        <f>IF(OR($B37="",11&gt;$O$10),"",IF($AB37=1,"! CHECK LINK",IF($V37=1,"! CHECK DATES",IF($S37=1,IF($R37="","Completed",IF($R37&lt;$D37,"Completed - Ahead",IF($R37&lt;=$D37+1/1440,"Completed - On Time","Completed - Delayed"))),IF($Q37&lt;&gt;"",IF($Y37&lt;=0.1,"In Progress - On Track","In Progress - BEHIND"),IF($M$5&lt;$C37,"Not Started","NOT STARTED - LATE"))))))</f>
        <v/>
      </c>
      <c r="P37" s="35" t="n"/>
      <c r="Q37">
        <f>IF($I37="","",$I37+IF($J37="",0,$J37))</f>
        <v/>
      </c>
      <c r="R37">
        <f>IF($K37="","",$K37+IF($L37="",0,$L37))</f>
        <v/>
      </c>
      <c r="S37">
        <f>IF($V37=1,0,IF($R37&lt;&gt;"",1,IF($N37="",0,$N37)))</f>
        <v/>
      </c>
      <c r="T37">
        <f>IF(OR($B37="",$E37=0),0,MEDIAN(0,($M$5-$C37)/($E37/24),1))</f>
        <v/>
      </c>
      <c r="U37">
        <f>($S37-$T37)*$E37</f>
        <v/>
      </c>
      <c r="V37">
        <f>IF(OR(AND($Q37&lt;&gt;"",$Q37&lt;$C$8),AND($Q37&lt;&gt;"",$R37&lt;&gt;"",$R37&lt;$Q37),AND($R37&lt;&gt;"",$Q37="")),1,0)</f>
        <v/>
      </c>
      <c r="W37">
        <f>IF($B37="","",IF($S37=1,IF($R37&lt;&gt;"",$R37,$D37),IF($Q37&lt;&gt;"",MAX($M$5,$Q37)+$E37*(1-$S37)/24,MAX($M$5,$C37)+$E37/24)))</f>
        <v/>
      </c>
      <c r="X37">
        <f>IF($B37="","",ROUND(($W37-$D37)*24,1))</f>
        <v/>
      </c>
      <c r="Y37">
        <f>IF($B37="","",IF($Q37&lt;&gt;"",$X37,IF($X37&gt;0,MAX($X37,IF($Y36="",0,IF($Y36&gt;0,$Y36-MAX(0,($C37-$D36)*24),$Y36))),IF($Y36="",0,IF($Y36&gt;0,$Y36-MAX(0,($C37-$D36)*24),$Y36)))))</f>
        <v/>
      </c>
      <c r="AB37">
        <f>IF(AND($B37&lt;&gt;"",$F37&gt;=11),1,0)</f>
        <v/>
      </c>
    </row>
    <row r="38" ht="19.5" customHeight="1">
      <c r="A38" s="24">
        <f>IF(OR($B38="",12&gt;$O$10),"",12)</f>
        <v/>
      </c>
      <c r="B38" s="25" t="inlineStr">
        <is>
          <t>First layer of ballast (Line 1)</t>
        </is>
      </c>
      <c r="C38" s="106">
        <f>IF(OR($B38="",12&gt;$O$10),"",IF($F38=0,$C$8,IF($G38="SS",OFFSET($C$26,$F38,0)+$H38/24,IF($G38="FF",OFFSET($D$26,$F38,0)+$H38/24-$E38/24,IF($G38="SF",OFFSET($C$26,$F38,0)+$H38/24-$E38/24,OFFSET($D$26,$F38,0)+$H38/24)))))</f>
        <v/>
      </c>
      <c r="D38" s="106">
        <f>IF(OR($B38="",12&gt;$O$10),"",$C38+$E38/24)</f>
        <v/>
      </c>
      <c r="E38" s="107" t="n">
        <v>1</v>
      </c>
      <c r="F38" s="28" t="n">
        <v>11</v>
      </c>
      <c r="G38" s="29" t="inlineStr">
        <is>
          <t>FS</t>
        </is>
      </c>
      <c r="H38" s="108" t="n">
        <v>0</v>
      </c>
      <c r="I38" s="109" t="n"/>
      <c r="J38" s="110" t="n"/>
      <c r="K38" s="109" t="n"/>
      <c r="L38" s="110" t="n"/>
      <c r="M38" s="111">
        <f>IF(OR($Q38="",$R38="",$V38=1),"",($R38-$Q38)*24)</f>
        <v/>
      </c>
      <c r="N38" s="34" t="n"/>
      <c r="O38" s="22">
        <f>IF(OR($B38="",12&gt;$O$10),"",IF($AB38=1,"! CHECK LINK",IF($V38=1,"! CHECK DATES",IF($S38=1,IF($R38="","Completed",IF($R38&lt;$D38,"Completed - Ahead",IF($R38&lt;=$D38+1/1440,"Completed - On Time","Completed - Delayed"))),IF($Q38&lt;&gt;"",IF($Y38&lt;=0.1,"In Progress - On Track","In Progress - BEHIND"),IF($M$5&lt;$C38,"Not Started","NOT STARTED - LATE"))))))</f>
        <v/>
      </c>
      <c r="P38" s="35" t="n"/>
      <c r="Q38">
        <f>IF($I38="","",$I38+IF($J38="",0,$J38))</f>
        <v/>
      </c>
      <c r="R38">
        <f>IF($K38="","",$K38+IF($L38="",0,$L38))</f>
        <v/>
      </c>
      <c r="S38">
        <f>IF($V38=1,0,IF($R38&lt;&gt;"",1,IF($N38="",0,$N38)))</f>
        <v/>
      </c>
      <c r="T38">
        <f>IF(OR($B38="",$E38=0),0,MEDIAN(0,($M$5-$C38)/($E38/24),1))</f>
        <v/>
      </c>
      <c r="U38">
        <f>($S38-$T38)*$E38</f>
        <v/>
      </c>
      <c r="V38">
        <f>IF(OR(AND($Q38&lt;&gt;"",$Q38&lt;$C$8),AND($Q38&lt;&gt;"",$R38&lt;&gt;"",$R38&lt;$Q38),AND($R38&lt;&gt;"",$Q38="")),1,0)</f>
        <v/>
      </c>
      <c r="W38">
        <f>IF($B38="","",IF($S38=1,IF($R38&lt;&gt;"",$R38,$D38),IF($Q38&lt;&gt;"",MAX($M$5,$Q38)+$E38*(1-$S38)/24,MAX($M$5,$C38)+$E38/24)))</f>
        <v/>
      </c>
      <c r="X38">
        <f>IF($B38="","",ROUND(($W38-$D38)*24,1))</f>
        <v/>
      </c>
      <c r="Y38">
        <f>IF($B38="","",IF($Q38&lt;&gt;"",$X38,IF($X38&gt;0,MAX($X38,IF($Y37="",0,IF($Y37&gt;0,$Y37-MAX(0,($C38-$D37)*24),$Y37))),IF($Y37="",0,IF($Y37&gt;0,$Y37-MAX(0,($C38-$D37)*24),$Y37)))))</f>
        <v/>
      </c>
      <c r="AB38">
        <f>IF(AND($B38&lt;&gt;"",$F38&gt;=12),1,0)</f>
        <v/>
      </c>
    </row>
    <row r="39" ht="19.5" customHeight="1">
      <c r="A39" s="24">
        <f>IF(OR($B39="",13&gt;$O$10),"",13)</f>
        <v/>
      </c>
      <c r="B39" s="25" t="inlineStr">
        <is>
          <t>First layer of ballast (Line 3)</t>
        </is>
      </c>
      <c r="C39" s="106">
        <f>IF(OR($B39="",13&gt;$O$10),"",IF($F39=0,$C$8,IF($G39="SS",OFFSET($C$26,$F39,0)+$H39/24,IF($G39="FF",OFFSET($D$26,$F39,0)+$H39/24-$E39/24,IF($G39="SF",OFFSET($C$26,$F39,0)+$H39/24-$E39/24,OFFSET($D$26,$F39,0)+$H39/24)))))</f>
        <v/>
      </c>
      <c r="D39" s="106">
        <f>IF(OR($B39="",13&gt;$O$10),"",$C39+$E39/24)</f>
        <v/>
      </c>
      <c r="E39" s="107" t="n">
        <v>1</v>
      </c>
      <c r="F39" s="28" t="n">
        <v>12</v>
      </c>
      <c r="G39" s="29" t="inlineStr">
        <is>
          <t>FS</t>
        </is>
      </c>
      <c r="H39" s="108" t="n">
        <v>0</v>
      </c>
      <c r="I39" s="109" t="n"/>
      <c r="J39" s="110" t="n"/>
      <c r="K39" s="109" t="n"/>
      <c r="L39" s="110" t="n"/>
      <c r="M39" s="111">
        <f>IF(OR($Q39="",$R39="",$V39=1),"",($R39-$Q39)*24)</f>
        <v/>
      </c>
      <c r="N39" s="34" t="n"/>
      <c r="O39" s="22">
        <f>IF(OR($B39="",13&gt;$O$10),"",IF($AB39=1,"! CHECK LINK",IF($V39=1,"! CHECK DATES",IF($S39=1,IF($R39="","Completed",IF($R39&lt;$D39,"Completed - Ahead",IF($R39&lt;=$D39+1/1440,"Completed - On Time","Completed - Delayed"))),IF($Q39&lt;&gt;"",IF($Y39&lt;=0.1,"In Progress - On Track","In Progress - BEHIND"),IF($M$5&lt;$C39,"Not Started","NOT STARTED - LATE"))))))</f>
        <v/>
      </c>
      <c r="P39" s="35" t="n"/>
      <c r="Q39">
        <f>IF($I39="","",$I39+IF($J39="",0,$J39))</f>
        <v/>
      </c>
      <c r="R39">
        <f>IF($K39="","",$K39+IF($L39="",0,$L39))</f>
        <v/>
      </c>
      <c r="S39">
        <f>IF($V39=1,0,IF($R39&lt;&gt;"",1,IF($N39="",0,$N39)))</f>
        <v/>
      </c>
      <c r="T39">
        <f>IF(OR($B39="",$E39=0),0,MEDIAN(0,($M$5-$C39)/($E39/24),1))</f>
        <v/>
      </c>
      <c r="U39">
        <f>($S39-$T39)*$E39</f>
        <v/>
      </c>
      <c r="V39">
        <f>IF(OR(AND($Q39&lt;&gt;"",$Q39&lt;$C$8),AND($Q39&lt;&gt;"",$R39&lt;&gt;"",$R39&lt;$Q39),AND($R39&lt;&gt;"",$Q39="")),1,0)</f>
        <v/>
      </c>
      <c r="W39">
        <f>IF($B39="","",IF($S39=1,IF($R39&lt;&gt;"",$R39,$D39),IF($Q39&lt;&gt;"",MAX($M$5,$Q39)+$E39*(1-$S39)/24,MAX($M$5,$C39)+$E39/24)))</f>
        <v/>
      </c>
      <c r="X39">
        <f>IF($B39="","",ROUND(($W39-$D39)*24,1))</f>
        <v/>
      </c>
      <c r="Y39">
        <f>IF($B39="","",IF($Q39&lt;&gt;"",$X39,IF($X39&gt;0,MAX($X39,IF($Y38="",0,IF($Y38&gt;0,$Y38-MAX(0,($C39-$D38)*24),$Y38))),IF($Y38="",0,IF($Y38&gt;0,$Y38-MAX(0,($C39-$D38)*24),$Y38)))))</f>
        <v/>
      </c>
      <c r="AB39">
        <f>IF(AND($B39&lt;&gt;"",$F39&gt;=13),1,0)</f>
        <v/>
      </c>
    </row>
    <row r="40" ht="19.5" customHeight="1">
      <c r="A40" s="24">
        <f>IF(OR($B40="",14&gt;$O$10),"",14)</f>
        <v/>
      </c>
      <c r="B40" s="25" t="inlineStr">
        <is>
          <t>Track installation (Line 1)</t>
        </is>
      </c>
      <c r="C40" s="106">
        <f>IF(OR($B40="",14&gt;$O$10),"",IF($F40=0,$C$8,IF($G40="SS",OFFSET($C$26,$F40,0)+$H40/24,IF($G40="FF",OFFSET($D$26,$F40,0)+$H40/24-$E40/24,IF($G40="SF",OFFSET($C$26,$F40,0)+$H40/24-$E40/24,OFFSET($D$26,$F40,0)+$H40/24)))))</f>
        <v/>
      </c>
      <c r="D40" s="106">
        <f>IF(OR($B40="",14&gt;$O$10),"",$C40+$E40/24)</f>
        <v/>
      </c>
      <c r="E40" s="107" t="n">
        <v>1</v>
      </c>
      <c r="F40" s="28" t="n">
        <v>13</v>
      </c>
      <c r="G40" s="29" t="inlineStr">
        <is>
          <t>FS</t>
        </is>
      </c>
      <c r="H40" s="108" t="n">
        <v>0</v>
      </c>
      <c r="I40" s="109" t="n"/>
      <c r="J40" s="110" t="n"/>
      <c r="K40" s="109" t="n"/>
      <c r="L40" s="110" t="n"/>
      <c r="M40" s="111">
        <f>IF(OR($Q40="",$R40="",$V40=1),"",($R40-$Q40)*24)</f>
        <v/>
      </c>
      <c r="N40" s="34" t="n"/>
      <c r="O40" s="22">
        <f>IF(OR($B40="",14&gt;$O$10),"",IF($AB40=1,"! CHECK LINK",IF($V40=1,"! CHECK DATES",IF($S40=1,IF($R40="","Completed",IF($R40&lt;$D40,"Completed - Ahead",IF($R40&lt;=$D40+1/1440,"Completed - On Time","Completed - Delayed"))),IF($Q40&lt;&gt;"",IF($Y40&lt;=0.1,"In Progress - On Track","In Progress - BEHIND"),IF($M$5&lt;$C40,"Not Started","NOT STARTED - LATE"))))))</f>
        <v/>
      </c>
      <c r="P40" s="35" t="n"/>
      <c r="Q40">
        <f>IF($I40="","",$I40+IF($J40="",0,$J40))</f>
        <v/>
      </c>
      <c r="R40">
        <f>IF($K40="","",$K40+IF($L40="",0,$L40))</f>
        <v/>
      </c>
      <c r="S40">
        <f>IF($V40=1,0,IF($R40&lt;&gt;"",1,IF($N40="",0,$N40)))</f>
        <v/>
      </c>
      <c r="T40">
        <f>IF(OR($B40="",$E40=0),0,MEDIAN(0,($M$5-$C40)/($E40/24),1))</f>
        <v/>
      </c>
      <c r="U40">
        <f>($S40-$T40)*$E40</f>
        <v/>
      </c>
      <c r="V40">
        <f>IF(OR(AND($Q40&lt;&gt;"",$Q40&lt;$C$8),AND($Q40&lt;&gt;"",$R40&lt;&gt;"",$R40&lt;$Q40),AND($R40&lt;&gt;"",$Q40="")),1,0)</f>
        <v/>
      </c>
      <c r="W40">
        <f>IF($B40="","",IF($S40=1,IF($R40&lt;&gt;"",$R40,$D40),IF($Q40&lt;&gt;"",MAX($M$5,$Q40)+$E40*(1-$S40)/24,MAX($M$5,$C40)+$E40/24)))</f>
        <v/>
      </c>
      <c r="X40">
        <f>IF($B40="","",ROUND(($W40-$D40)*24,1))</f>
        <v/>
      </c>
      <c r="Y40">
        <f>IF($B40="","",IF($Q40&lt;&gt;"",$X40,IF($X40&gt;0,MAX($X40,IF($Y39="",0,IF($Y39&gt;0,$Y39-MAX(0,($C40-$D39)*24),$Y39))),IF($Y39="",0,IF($Y39&gt;0,$Y39-MAX(0,($C40-$D39)*24),$Y39)))))</f>
        <v/>
      </c>
      <c r="AB40">
        <f>IF(AND($B40&lt;&gt;"",$F40&gt;=14),1,0)</f>
        <v/>
      </c>
    </row>
    <row r="41" ht="19.5" customHeight="1">
      <c r="A41" s="24">
        <f>IF(OR($B41="",15&gt;$O$10),"",15)</f>
        <v/>
      </c>
      <c r="B41" s="25" t="inlineStr">
        <is>
          <t>Track installation (Line 3)</t>
        </is>
      </c>
      <c r="C41" s="106">
        <f>IF(OR($B41="",15&gt;$O$10),"",IF($F41=0,$C$8,IF($G41="SS",OFFSET($C$26,$F41,0)+$H41/24,IF($G41="FF",OFFSET($D$26,$F41,0)+$H41/24-$E41/24,IF($G41="SF",OFFSET($C$26,$F41,0)+$H41/24-$E41/24,OFFSET($D$26,$F41,0)+$H41/24)))))</f>
        <v/>
      </c>
      <c r="D41" s="106">
        <f>IF(OR($B41="",15&gt;$O$10),"",$C41+$E41/24)</f>
        <v/>
      </c>
      <c r="E41" s="107" t="n">
        <v>1</v>
      </c>
      <c r="F41" s="28" t="n">
        <v>14</v>
      </c>
      <c r="G41" s="29" t="inlineStr">
        <is>
          <t>FS</t>
        </is>
      </c>
      <c r="H41" s="108" t="n">
        <v>0</v>
      </c>
      <c r="I41" s="109" t="n"/>
      <c r="J41" s="110" t="n"/>
      <c r="K41" s="109" t="n"/>
      <c r="L41" s="110" t="n"/>
      <c r="M41" s="111">
        <f>IF(OR($Q41="",$R41="",$V41=1),"",($R41-$Q41)*24)</f>
        <v/>
      </c>
      <c r="N41" s="34" t="n"/>
      <c r="O41" s="22">
        <f>IF(OR($B41="",15&gt;$O$10),"",IF($AB41=1,"! CHECK LINK",IF($V41=1,"! CHECK DATES",IF($S41=1,IF($R41="","Completed",IF($R41&lt;$D41,"Completed - Ahead",IF($R41&lt;=$D41+1/1440,"Completed - On Time","Completed - Delayed"))),IF($Q41&lt;&gt;"",IF($Y41&lt;=0.1,"In Progress - On Track","In Progress - BEHIND"),IF($M$5&lt;$C41,"Not Started","NOT STARTED - LATE"))))))</f>
        <v/>
      </c>
      <c r="P41" s="35" t="n"/>
      <c r="Q41">
        <f>IF($I41="","",$I41+IF($J41="",0,$J41))</f>
        <v/>
      </c>
      <c r="R41">
        <f>IF($K41="","",$K41+IF($L41="",0,$L41))</f>
        <v/>
      </c>
      <c r="S41">
        <f>IF($V41=1,0,IF($R41&lt;&gt;"",1,IF($N41="",0,$N41)))</f>
        <v/>
      </c>
      <c r="T41">
        <f>IF(OR($B41="",$E41=0),0,MEDIAN(0,($M$5-$C41)/($E41/24),1))</f>
        <v/>
      </c>
      <c r="U41">
        <f>($S41-$T41)*$E41</f>
        <v/>
      </c>
      <c r="V41">
        <f>IF(OR(AND($Q41&lt;&gt;"",$Q41&lt;$C$8),AND($Q41&lt;&gt;"",$R41&lt;&gt;"",$R41&lt;$Q41),AND($R41&lt;&gt;"",$Q41="")),1,0)</f>
        <v/>
      </c>
      <c r="W41">
        <f>IF($B41="","",IF($S41=1,IF($R41&lt;&gt;"",$R41,$D41),IF($Q41&lt;&gt;"",MAX($M$5,$Q41)+$E41*(1-$S41)/24,MAX($M$5,$C41)+$E41/24)))</f>
        <v/>
      </c>
      <c r="X41">
        <f>IF($B41="","",ROUND(($W41-$D41)*24,1))</f>
        <v/>
      </c>
      <c r="Y41">
        <f>IF($B41="","",IF($Q41&lt;&gt;"",$X41,IF($X41&gt;0,MAX($X41,IF($Y40="",0,IF($Y40&gt;0,$Y40-MAX(0,($C41-$D40)*24),$Y40))),IF($Y40="",0,IF($Y40&gt;0,$Y40-MAX(0,($C41-$D40)*24),$Y40)))))</f>
        <v/>
      </c>
      <c r="AB41">
        <f>IF(AND($B41&lt;&gt;"",$F41&gt;=15),1,0)</f>
        <v/>
      </c>
    </row>
    <row r="42" ht="19.5" customHeight="1">
      <c r="A42" s="24">
        <f>IF(OR($B42="",16&gt;$O$10),"",16)</f>
        <v/>
      </c>
      <c r="B42" s="25" t="inlineStr">
        <is>
          <t>1st &amp; 2nd Ballasting / Tamping (Line 1)</t>
        </is>
      </c>
      <c r="C42" s="106">
        <f>IF(OR($B42="",16&gt;$O$10),"",IF($F42=0,$C$8,IF($G42="SS",OFFSET($C$26,$F42,0)+$H42/24,IF($G42="FF",OFFSET($D$26,$F42,0)+$H42/24-$E42/24,IF($G42="SF",OFFSET($C$26,$F42,0)+$H42/24-$E42/24,OFFSET($D$26,$F42,0)+$H42/24)))))</f>
        <v/>
      </c>
      <c r="D42" s="106">
        <f>IF(OR($B42="",16&gt;$O$10),"",$C42+$E42/24)</f>
        <v/>
      </c>
      <c r="E42" s="107" t="n">
        <v>1</v>
      </c>
      <c r="F42" s="28" t="n">
        <v>15</v>
      </c>
      <c r="G42" s="29" t="inlineStr">
        <is>
          <t>FS</t>
        </is>
      </c>
      <c r="H42" s="108" t="n">
        <v>0</v>
      </c>
      <c r="I42" s="109" t="n"/>
      <c r="J42" s="110" t="n"/>
      <c r="K42" s="109" t="n"/>
      <c r="L42" s="110" t="n"/>
      <c r="M42" s="111">
        <f>IF(OR($Q42="",$R42="",$V42=1),"",($R42-$Q42)*24)</f>
        <v/>
      </c>
      <c r="N42" s="34" t="n"/>
      <c r="O42" s="22">
        <f>IF(OR($B42="",16&gt;$O$10),"",IF($AB42=1,"! CHECK LINK",IF($V42=1,"! CHECK DATES",IF($S42=1,IF($R42="","Completed",IF($R42&lt;$D42,"Completed - Ahead",IF($R42&lt;=$D42+1/1440,"Completed - On Time","Completed - Delayed"))),IF($Q42&lt;&gt;"",IF($Y42&lt;=0.1,"In Progress - On Track","In Progress - BEHIND"),IF($M$5&lt;$C42,"Not Started","NOT STARTED - LATE"))))))</f>
        <v/>
      </c>
      <c r="P42" s="35" t="n"/>
      <c r="Q42">
        <f>IF($I42="","",$I42+IF($J42="",0,$J42))</f>
        <v/>
      </c>
      <c r="R42">
        <f>IF($K42="","",$K42+IF($L42="",0,$L42))</f>
        <v/>
      </c>
      <c r="S42">
        <f>IF($V42=1,0,IF($R42&lt;&gt;"",1,IF($N42="",0,$N42)))</f>
        <v/>
      </c>
      <c r="T42">
        <f>IF(OR($B42="",$E42=0),0,MEDIAN(0,($M$5-$C42)/($E42/24),1))</f>
        <v/>
      </c>
      <c r="U42">
        <f>($S42-$T42)*$E42</f>
        <v/>
      </c>
      <c r="V42">
        <f>IF(OR(AND($Q42&lt;&gt;"",$Q42&lt;$C$8),AND($Q42&lt;&gt;"",$R42&lt;&gt;"",$R42&lt;$Q42),AND($R42&lt;&gt;"",$Q42="")),1,0)</f>
        <v/>
      </c>
      <c r="W42">
        <f>IF($B42="","",IF($S42=1,IF($R42&lt;&gt;"",$R42,$D42),IF($Q42&lt;&gt;"",MAX($M$5,$Q42)+$E42*(1-$S42)/24,MAX($M$5,$C42)+$E42/24)))</f>
        <v/>
      </c>
      <c r="X42">
        <f>IF($B42="","",ROUND(($W42-$D42)*24,1))</f>
        <v/>
      </c>
      <c r="Y42">
        <f>IF($B42="","",IF($Q42&lt;&gt;"",$X42,IF($X42&gt;0,MAX($X42,IF($Y41="",0,IF($Y41&gt;0,$Y41-MAX(0,($C42-$D41)*24),$Y41))),IF($Y41="",0,IF($Y41&gt;0,$Y41-MAX(0,($C42-$D41)*24),$Y41)))))</f>
        <v/>
      </c>
      <c r="AB42">
        <f>IF(AND($B42&lt;&gt;"",$F42&gt;=16),1,0)</f>
        <v/>
      </c>
    </row>
    <row r="43" ht="19.5" customHeight="1">
      <c r="A43" s="24">
        <f>IF(OR($B43="",17&gt;$O$10),"",17)</f>
        <v/>
      </c>
      <c r="B43" s="25" t="inlineStr">
        <is>
          <t>Final Ballasting / Tamping (Line 1)</t>
        </is>
      </c>
      <c r="C43" s="106">
        <f>IF(OR($B43="",17&gt;$O$10),"",IF($F43=0,$C$8,IF($G43="SS",OFFSET($C$26,$F43,0)+$H43/24,IF($G43="FF",OFFSET($D$26,$F43,0)+$H43/24-$E43/24,IF($G43="SF",OFFSET($C$26,$F43,0)+$H43/24-$E43/24,OFFSET($D$26,$F43,0)+$H43/24)))))</f>
        <v/>
      </c>
      <c r="D43" s="106">
        <f>IF(OR($B43="",17&gt;$O$10),"",$C43+$E43/24)</f>
        <v/>
      </c>
      <c r="E43" s="107" t="n">
        <v>1</v>
      </c>
      <c r="F43" s="28" t="n">
        <v>16</v>
      </c>
      <c r="G43" s="29" t="inlineStr">
        <is>
          <t>FS</t>
        </is>
      </c>
      <c r="H43" s="108" t="n">
        <v>0</v>
      </c>
      <c r="I43" s="109" t="n"/>
      <c r="J43" s="110" t="n"/>
      <c r="K43" s="109" t="n"/>
      <c r="L43" s="110" t="n"/>
      <c r="M43" s="111">
        <f>IF(OR($Q43="",$R43="",$V43=1),"",($R43-$Q43)*24)</f>
        <v/>
      </c>
      <c r="N43" s="34" t="n"/>
      <c r="O43" s="22">
        <f>IF(OR($B43="",17&gt;$O$10),"",IF($AB43=1,"! CHECK LINK",IF($V43=1,"! CHECK DATES",IF($S43=1,IF($R43="","Completed",IF($R43&lt;$D43,"Completed - Ahead",IF($R43&lt;=$D43+1/1440,"Completed - On Time","Completed - Delayed"))),IF($Q43&lt;&gt;"",IF($Y43&lt;=0.1,"In Progress - On Track","In Progress - BEHIND"),IF($M$5&lt;$C43,"Not Started","NOT STARTED - LATE"))))))</f>
        <v/>
      </c>
      <c r="P43" s="35" t="n"/>
      <c r="Q43">
        <f>IF($I43="","",$I43+IF($J43="",0,$J43))</f>
        <v/>
      </c>
      <c r="R43">
        <f>IF($K43="","",$K43+IF($L43="",0,$L43))</f>
        <v/>
      </c>
      <c r="S43">
        <f>IF($V43=1,0,IF($R43&lt;&gt;"",1,IF($N43="",0,$N43)))</f>
        <v/>
      </c>
      <c r="T43">
        <f>IF(OR($B43="",$E43=0),0,MEDIAN(0,($M$5-$C43)/($E43/24),1))</f>
        <v/>
      </c>
      <c r="U43">
        <f>($S43-$T43)*$E43</f>
        <v/>
      </c>
      <c r="V43">
        <f>IF(OR(AND($Q43&lt;&gt;"",$Q43&lt;$C$8),AND($Q43&lt;&gt;"",$R43&lt;&gt;"",$R43&lt;$Q43),AND($R43&lt;&gt;"",$Q43="")),1,0)</f>
        <v/>
      </c>
      <c r="W43">
        <f>IF($B43="","",IF($S43=1,IF($R43&lt;&gt;"",$R43,$D43),IF($Q43&lt;&gt;"",MAX($M$5,$Q43)+$E43*(1-$S43)/24,MAX($M$5,$C43)+$E43/24)))</f>
        <v/>
      </c>
      <c r="X43">
        <f>IF($B43="","",ROUND(($W43-$D43)*24,1))</f>
        <v/>
      </c>
      <c r="Y43">
        <f>IF($B43="","",IF($Q43&lt;&gt;"",$X43,IF($X43&gt;0,MAX($X43,IF($Y42="",0,IF($Y42&gt;0,$Y42-MAX(0,($C43-$D42)*24),$Y42))),IF($Y42="",0,IF($Y42&gt;0,$Y42-MAX(0,($C43-$D42)*24),$Y42)))))</f>
        <v/>
      </c>
      <c r="AB43">
        <f>IF(AND($B43&lt;&gt;"",$F43&gt;=17),1,0)</f>
        <v/>
      </c>
    </row>
    <row r="44" ht="19.5" customHeight="1">
      <c r="A44" s="24">
        <f>IF(OR($B44="",18&gt;$O$10),"",18)</f>
        <v/>
      </c>
      <c r="B44" s="25" t="inlineStr">
        <is>
          <t>OTMP moves from line 1 to Line 3 TK 121+000</t>
        </is>
      </c>
      <c r="C44" s="106">
        <f>IF(OR($B44="",18&gt;$O$10),"",IF($F44=0,$C$8,IF($G44="SS",OFFSET($C$26,$F44,0)+$H44/24,IF($G44="FF",OFFSET($D$26,$F44,0)+$H44/24-$E44/24,IF($G44="SF",OFFSET($C$26,$F44,0)+$H44/24-$E44/24,OFFSET($D$26,$F44,0)+$H44/24)))))</f>
        <v/>
      </c>
      <c r="D44" s="106">
        <f>IF(OR($B44="",18&gt;$O$10),"",$C44+$E44/24)</f>
        <v/>
      </c>
      <c r="E44" s="107" t="n">
        <v>1</v>
      </c>
      <c r="F44" s="28" t="n">
        <v>17</v>
      </c>
      <c r="G44" s="29" t="inlineStr">
        <is>
          <t>FS</t>
        </is>
      </c>
      <c r="H44" s="108" t="n">
        <v>0</v>
      </c>
      <c r="I44" s="109" t="n"/>
      <c r="J44" s="110" t="n"/>
      <c r="K44" s="109" t="n"/>
      <c r="L44" s="110" t="n"/>
      <c r="M44" s="111">
        <f>IF(OR($Q44="",$R44="",$V44=1),"",($R44-$Q44)*24)</f>
        <v/>
      </c>
      <c r="N44" s="34" t="n"/>
      <c r="O44" s="22">
        <f>IF(OR($B44="",18&gt;$O$10),"",IF($AB44=1,"! CHECK LINK",IF($V44=1,"! CHECK DATES",IF($S44=1,IF($R44="","Completed",IF($R44&lt;$D44,"Completed - Ahead",IF($R44&lt;=$D44+1/1440,"Completed - On Time","Completed - Delayed"))),IF($Q44&lt;&gt;"",IF($Y44&lt;=0.1,"In Progress - On Track","In Progress - BEHIND"),IF($M$5&lt;$C44,"Not Started","NOT STARTED - LATE"))))))</f>
        <v/>
      </c>
      <c r="P44" s="35" t="n"/>
      <c r="Q44">
        <f>IF($I44="","",$I44+IF($J44="",0,$J44))</f>
        <v/>
      </c>
      <c r="R44">
        <f>IF($K44="","",$K44+IF($L44="",0,$L44))</f>
        <v/>
      </c>
      <c r="S44">
        <f>IF($V44=1,0,IF($R44&lt;&gt;"",1,IF($N44="",0,$N44)))</f>
        <v/>
      </c>
      <c r="T44">
        <f>IF(OR($B44="",$E44=0),0,MEDIAN(0,($M$5-$C44)/($E44/24),1))</f>
        <v/>
      </c>
      <c r="U44">
        <f>($S44-$T44)*$E44</f>
        <v/>
      </c>
      <c r="V44">
        <f>IF(OR(AND($Q44&lt;&gt;"",$Q44&lt;$C$8),AND($Q44&lt;&gt;"",$R44&lt;&gt;"",$R44&lt;$Q44),AND($R44&lt;&gt;"",$Q44="")),1,0)</f>
        <v/>
      </c>
      <c r="W44">
        <f>IF($B44="","",IF($S44=1,IF($R44&lt;&gt;"",$R44,$D44),IF($Q44&lt;&gt;"",MAX($M$5,$Q44)+$E44*(1-$S44)/24,MAX($M$5,$C44)+$E44/24)))</f>
        <v/>
      </c>
      <c r="X44">
        <f>IF($B44="","",ROUND(($W44-$D44)*24,1))</f>
        <v/>
      </c>
      <c r="Y44">
        <f>IF($B44="","",IF($Q44&lt;&gt;"",$X44,IF($X44&gt;0,MAX($X44,IF($Y43="",0,IF($Y43&gt;0,$Y43-MAX(0,($C44-$D43)*24),$Y43))),IF($Y43="",0,IF($Y43&gt;0,$Y43-MAX(0,($C44-$D43)*24),$Y43)))))</f>
        <v/>
      </c>
      <c r="AB44">
        <f>IF(AND($B44&lt;&gt;"",$F44&gt;=18),1,0)</f>
        <v/>
      </c>
    </row>
    <row r="45" ht="19.5" customHeight="1">
      <c r="A45" s="24">
        <f>IF(OR($B45="",19&gt;$O$10),"",19)</f>
        <v/>
      </c>
      <c r="B45" s="25" t="inlineStr">
        <is>
          <t>ATW – 2U (out of destressing) (Line 1)</t>
        </is>
      </c>
      <c r="C45" s="106">
        <f>IF(OR($B45="",19&gt;$O$10),"",IF($F45=0,$C$8,IF($G45="SS",OFFSET($C$26,$F45,0)+$H45/24,IF($G45="FF",OFFSET($D$26,$F45,0)+$H45/24-$E45/24,IF($G45="SF",OFFSET($C$26,$F45,0)+$H45/24-$E45/24,OFFSET($D$26,$F45,0)+$H45/24)))))</f>
        <v/>
      </c>
      <c r="D45" s="106">
        <f>IF(OR($B45="",19&gt;$O$10),"",$C45+$E45/24)</f>
        <v/>
      </c>
      <c r="E45" s="107" t="n">
        <v>2</v>
      </c>
      <c r="F45" s="28" t="n">
        <v>18</v>
      </c>
      <c r="G45" s="29" t="inlineStr">
        <is>
          <t>FS</t>
        </is>
      </c>
      <c r="H45" s="108" t="n">
        <v>0</v>
      </c>
      <c r="I45" s="109" t="n"/>
      <c r="J45" s="110" t="n"/>
      <c r="K45" s="109" t="n"/>
      <c r="L45" s="110" t="n"/>
      <c r="M45" s="111">
        <f>IF(OR($Q45="",$R45="",$V45=1),"",($R45-$Q45)*24)</f>
        <v/>
      </c>
      <c r="N45" s="34" t="n"/>
      <c r="O45" s="22">
        <f>IF(OR($B45="",19&gt;$O$10),"",IF($AB45=1,"! CHECK LINK",IF($V45=1,"! CHECK DATES",IF($S45=1,IF($R45="","Completed",IF($R45&lt;$D45,"Completed - Ahead",IF($R45&lt;=$D45+1/1440,"Completed - On Time","Completed - Delayed"))),IF($Q45&lt;&gt;"",IF($Y45&lt;=0.1,"In Progress - On Track","In Progress - BEHIND"),IF($M$5&lt;$C45,"Not Started","NOT STARTED - LATE"))))))</f>
        <v/>
      </c>
      <c r="P45" s="35" t="n"/>
      <c r="Q45">
        <f>IF($I45="","",$I45+IF($J45="",0,$J45))</f>
        <v/>
      </c>
      <c r="R45">
        <f>IF($K45="","",$K45+IF($L45="",0,$L45))</f>
        <v/>
      </c>
      <c r="S45">
        <f>IF($V45=1,0,IF($R45&lt;&gt;"",1,IF($N45="",0,$N45)))</f>
        <v/>
      </c>
      <c r="T45">
        <f>IF(OR($B45="",$E45=0),0,MEDIAN(0,($M$5-$C45)/($E45/24),1))</f>
        <v/>
      </c>
      <c r="U45">
        <f>($S45-$T45)*$E45</f>
        <v/>
      </c>
      <c r="V45">
        <f>IF(OR(AND($Q45&lt;&gt;"",$Q45&lt;$C$8),AND($Q45&lt;&gt;"",$R45&lt;&gt;"",$R45&lt;$Q45),AND($R45&lt;&gt;"",$Q45="")),1,0)</f>
        <v/>
      </c>
      <c r="W45">
        <f>IF($B45="","",IF($S45=1,IF($R45&lt;&gt;"",$R45,$D45),IF($Q45&lt;&gt;"",MAX($M$5,$Q45)+$E45*(1-$S45)/24,MAX($M$5,$C45)+$E45/24)))</f>
        <v/>
      </c>
      <c r="X45">
        <f>IF($B45="","",ROUND(($W45-$D45)*24,1))</f>
        <v/>
      </c>
      <c r="Y45">
        <f>IF($B45="","",IF($Q45&lt;&gt;"",$X45,IF($X45&gt;0,MAX($X45,IF($Y44="",0,IF($Y44&gt;0,$Y44-MAX(0,($C45-$D44)*24),$Y44))),IF($Y44="",0,IF($Y44&gt;0,$Y44-MAX(0,($C45-$D44)*24),$Y44)))))</f>
        <v/>
      </c>
      <c r="AB45">
        <f>IF(AND($B45&lt;&gt;"",$F45&gt;=19),1,0)</f>
        <v/>
      </c>
    </row>
    <row r="46" ht="19.5" customHeight="1">
      <c r="A46" s="24">
        <f>IF(OR($B46="",20&gt;$O$10),"",20)</f>
        <v/>
      </c>
      <c r="B46" s="25" t="inlineStr">
        <is>
          <t>ATW – 2U (out of destressing) (Line 3)</t>
        </is>
      </c>
      <c r="C46" s="106">
        <f>IF(OR($B46="",20&gt;$O$10),"",IF($F46=0,$C$8,IF($G46="SS",OFFSET($C$26,$F46,0)+$H46/24,IF($G46="FF",OFFSET($D$26,$F46,0)+$H46/24-$E46/24,IF($G46="SF",OFFSET($C$26,$F46,0)+$H46/24-$E46/24,OFFSET($D$26,$F46,0)+$H46/24)))))</f>
        <v/>
      </c>
      <c r="D46" s="106">
        <f>IF(OR($B46="",20&gt;$O$10),"",$C46+$E46/24)</f>
        <v/>
      </c>
      <c r="E46" s="107" t="n">
        <v>2</v>
      </c>
      <c r="F46" s="28" t="n">
        <v>19</v>
      </c>
      <c r="G46" s="29" t="inlineStr">
        <is>
          <t>FS</t>
        </is>
      </c>
      <c r="H46" s="108" t="n">
        <v>0</v>
      </c>
      <c r="I46" s="109" t="n"/>
      <c r="J46" s="110" t="n"/>
      <c r="K46" s="109" t="n"/>
      <c r="L46" s="110" t="n"/>
      <c r="M46" s="111">
        <f>IF(OR($Q46="",$R46="",$V46=1),"",($R46-$Q46)*24)</f>
        <v/>
      </c>
      <c r="N46" s="34" t="n"/>
      <c r="O46" s="22">
        <f>IF(OR($B46="",20&gt;$O$10),"",IF($AB46=1,"! CHECK LINK",IF($V46=1,"! CHECK DATES",IF($S46=1,IF($R46="","Completed",IF($R46&lt;$D46,"Completed - Ahead",IF($R46&lt;=$D46+1/1440,"Completed - On Time","Completed - Delayed"))),IF($Q46&lt;&gt;"",IF($Y46&lt;=0.1,"In Progress - On Track","In Progress - BEHIND"),IF($M$5&lt;$C46,"Not Started","NOT STARTED - LATE"))))))</f>
        <v/>
      </c>
      <c r="P46" s="35" t="n"/>
      <c r="Q46">
        <f>IF($I46="","",$I46+IF($J46="",0,$J46))</f>
        <v/>
      </c>
      <c r="R46">
        <f>IF($K46="","",$K46+IF($L46="",0,$L46))</f>
        <v/>
      </c>
      <c r="S46">
        <f>IF($V46=1,0,IF($R46&lt;&gt;"",1,IF($N46="",0,$N46)))</f>
        <v/>
      </c>
      <c r="T46">
        <f>IF(OR($B46="",$E46=0),0,MEDIAN(0,($M$5-$C46)/($E46/24),1))</f>
        <v/>
      </c>
      <c r="U46">
        <f>($S46-$T46)*$E46</f>
        <v/>
      </c>
      <c r="V46">
        <f>IF(OR(AND($Q46&lt;&gt;"",$Q46&lt;$C$8),AND($Q46&lt;&gt;"",$R46&lt;&gt;"",$R46&lt;$Q46),AND($R46&lt;&gt;"",$Q46="")),1,0)</f>
        <v/>
      </c>
      <c r="W46">
        <f>IF($B46="","",IF($S46=1,IF($R46&lt;&gt;"",$R46,$D46),IF($Q46&lt;&gt;"",MAX($M$5,$Q46)+$E46*(1-$S46)/24,MAX($M$5,$C46)+$E46/24)))</f>
        <v/>
      </c>
      <c r="X46">
        <f>IF($B46="","",ROUND(($W46-$D46)*24,1))</f>
        <v/>
      </c>
      <c r="Y46">
        <f>IF($B46="","",IF($Q46&lt;&gt;"",$X46,IF($X46&gt;0,MAX($X46,IF($Y45="",0,IF($Y45&gt;0,$Y45-MAX(0,($C46-$D45)*24),$Y45))),IF($Y45="",0,IF($Y45&gt;0,$Y45-MAX(0,($C46-$D45)*24),$Y45)))))</f>
        <v/>
      </c>
      <c r="AB46">
        <f>IF(AND($B46&lt;&gt;"",$F46&gt;=20),1,0)</f>
        <v/>
      </c>
    </row>
    <row r="47" ht="19.5" customHeight="1">
      <c r="A47" s="24">
        <f>IF(OR($B47="",21&gt;$O$10),"",21)</f>
        <v/>
      </c>
      <c r="B47" s="25" t="inlineStr">
        <is>
          <t>1st &amp; 2nd Ballasting / Tamping (Line 3)</t>
        </is>
      </c>
      <c r="C47" s="106">
        <f>IF(OR($B47="",21&gt;$O$10),"",IF($F47=0,$C$8,IF($G47="SS",OFFSET($C$26,$F47,0)+$H47/24,IF($G47="FF",OFFSET($D$26,$F47,0)+$H47/24-$E47/24,IF($G47="SF",OFFSET($C$26,$F47,0)+$H47/24-$E47/24,OFFSET($D$26,$F47,0)+$H47/24)))))</f>
        <v/>
      </c>
      <c r="D47" s="106">
        <f>IF(OR($B47="",21&gt;$O$10),"",$C47+$E47/24)</f>
        <v/>
      </c>
      <c r="E47" s="107" t="n">
        <v>1</v>
      </c>
      <c r="F47" s="28" t="n">
        <v>20</v>
      </c>
      <c r="G47" s="29" t="inlineStr">
        <is>
          <t>FS</t>
        </is>
      </c>
      <c r="H47" s="108" t="n">
        <v>0</v>
      </c>
      <c r="I47" s="109" t="n"/>
      <c r="J47" s="110" t="n"/>
      <c r="K47" s="109" t="n"/>
      <c r="L47" s="110" t="n"/>
      <c r="M47" s="111">
        <f>IF(OR($Q47="",$R47="",$V47=1),"",($R47-$Q47)*24)</f>
        <v/>
      </c>
      <c r="N47" s="34" t="n"/>
      <c r="O47" s="22">
        <f>IF(OR($B47="",21&gt;$O$10),"",IF($AB47=1,"! CHECK LINK",IF($V47=1,"! CHECK DATES",IF($S47=1,IF($R47="","Completed",IF($R47&lt;$D47,"Completed - Ahead",IF($R47&lt;=$D47+1/1440,"Completed - On Time","Completed - Delayed"))),IF($Q47&lt;&gt;"",IF($Y47&lt;=0.1,"In Progress - On Track","In Progress - BEHIND"),IF($M$5&lt;$C47,"Not Started","NOT STARTED - LATE"))))))</f>
        <v/>
      </c>
      <c r="P47" s="35" t="n"/>
      <c r="Q47">
        <f>IF($I47="","",$I47+IF($J47="",0,$J47))</f>
        <v/>
      </c>
      <c r="R47">
        <f>IF($K47="","",$K47+IF($L47="",0,$L47))</f>
        <v/>
      </c>
      <c r="S47">
        <f>IF($V47=1,0,IF($R47&lt;&gt;"",1,IF($N47="",0,$N47)))</f>
        <v/>
      </c>
      <c r="T47">
        <f>IF(OR($B47="",$E47=0),0,MEDIAN(0,($M$5-$C47)/($E47/24),1))</f>
        <v/>
      </c>
      <c r="U47">
        <f>($S47-$T47)*$E47</f>
        <v/>
      </c>
      <c r="V47">
        <f>IF(OR(AND($Q47&lt;&gt;"",$Q47&lt;$C$8),AND($Q47&lt;&gt;"",$R47&lt;&gt;"",$R47&lt;$Q47),AND($R47&lt;&gt;"",$Q47="")),1,0)</f>
        <v/>
      </c>
      <c r="W47">
        <f>IF($B47="","",IF($S47=1,IF($R47&lt;&gt;"",$R47,$D47),IF($Q47&lt;&gt;"",MAX($M$5,$Q47)+$E47*(1-$S47)/24,MAX($M$5,$C47)+$E47/24)))</f>
        <v/>
      </c>
      <c r="X47">
        <f>IF($B47="","",ROUND(($W47-$D47)*24,1))</f>
        <v/>
      </c>
      <c r="Y47">
        <f>IF($B47="","",IF($Q47&lt;&gt;"",$X47,IF($X47&gt;0,MAX($X47,IF($Y46="",0,IF($Y46&gt;0,$Y46-MAX(0,($C47-$D46)*24),$Y46))),IF($Y46="",0,IF($Y46&gt;0,$Y46-MAX(0,($C47-$D46)*24),$Y46)))))</f>
        <v/>
      </c>
      <c r="AB47">
        <f>IF(AND($B47&lt;&gt;"",$F47&gt;=21),1,0)</f>
        <v/>
      </c>
    </row>
    <row r="48" ht="19.5" customHeight="1">
      <c r="A48" s="24">
        <f>IF(OR($B48="",22&gt;$O$10),"",22)</f>
        <v/>
      </c>
      <c r="B48" s="25" t="inlineStr">
        <is>
          <t>Final Ballasting / Tamping (Line 3)</t>
        </is>
      </c>
      <c r="C48" s="106">
        <f>IF(OR($B48="",22&gt;$O$10),"",IF($F48=0,$C$8,IF($G48="SS",OFFSET($C$26,$F48,0)+$H48/24,IF($G48="FF",OFFSET($D$26,$F48,0)+$H48/24-$E48/24,IF($G48="SF",OFFSET($C$26,$F48,0)+$H48/24-$E48/24,OFFSET($D$26,$F48,0)+$H48/24)))))</f>
        <v/>
      </c>
      <c r="D48" s="106">
        <f>IF(OR($B48="",22&gt;$O$10),"",$C48+$E48/24)</f>
        <v/>
      </c>
      <c r="E48" s="107" t="n">
        <v>1</v>
      </c>
      <c r="F48" s="28" t="n">
        <v>21</v>
      </c>
      <c r="G48" s="29" t="inlineStr">
        <is>
          <t>FS</t>
        </is>
      </c>
      <c r="H48" s="108" t="n">
        <v>0</v>
      </c>
      <c r="I48" s="109" t="n"/>
      <c r="J48" s="110" t="n"/>
      <c r="K48" s="109" t="n"/>
      <c r="L48" s="110" t="n"/>
      <c r="M48" s="111">
        <f>IF(OR($Q48="",$R48="",$V48=1),"",($R48-$Q48)*24)</f>
        <v/>
      </c>
      <c r="N48" s="34" t="n"/>
      <c r="O48" s="22">
        <f>IF(OR($B48="",22&gt;$O$10),"",IF($AB48=1,"! CHECK LINK",IF($V48=1,"! CHECK DATES",IF($S48=1,IF($R48="","Completed",IF($R48&lt;$D48,"Completed - Ahead",IF($R48&lt;=$D48+1/1440,"Completed - On Time","Completed - Delayed"))),IF($Q48&lt;&gt;"",IF($Y48&lt;=0.1,"In Progress - On Track","In Progress - BEHIND"),IF($M$5&lt;$C48,"Not Started","NOT STARTED - LATE"))))))</f>
        <v/>
      </c>
      <c r="P48" s="35" t="n"/>
      <c r="Q48">
        <f>IF($I48="","",$I48+IF($J48="",0,$J48))</f>
        <v/>
      </c>
      <c r="R48">
        <f>IF($K48="","",$K48+IF($L48="",0,$L48))</f>
        <v/>
      </c>
      <c r="S48">
        <f>IF($V48=1,0,IF($R48&lt;&gt;"",1,IF($N48="",0,$N48)))</f>
        <v/>
      </c>
      <c r="T48">
        <f>IF(OR($B48="",$E48=0),0,MEDIAN(0,($M$5-$C48)/($E48/24),1))</f>
        <v/>
      </c>
      <c r="U48">
        <f>($S48-$T48)*$E48</f>
        <v/>
      </c>
      <c r="V48">
        <f>IF(OR(AND($Q48&lt;&gt;"",$Q48&lt;$C$8),AND($Q48&lt;&gt;"",$R48&lt;&gt;"",$R48&lt;$Q48),AND($R48&lt;&gt;"",$Q48="")),1,0)</f>
        <v/>
      </c>
      <c r="W48">
        <f>IF($B48="","",IF($S48=1,IF($R48&lt;&gt;"",$R48,$D48),IF($Q48&lt;&gt;"",MAX($M$5,$Q48)+$E48*(1-$S48)/24,MAX($M$5,$C48)+$E48/24)))</f>
        <v/>
      </c>
      <c r="X48">
        <f>IF($B48="","",ROUND(($W48-$D48)*24,1))</f>
        <v/>
      </c>
      <c r="Y48">
        <f>IF($B48="","",IF($Q48&lt;&gt;"",$X48,IF($X48&gt;0,MAX($X48,IF($Y47="",0,IF($Y47&gt;0,$Y47-MAX(0,($C48-$D47)*24),$Y47))),IF($Y47="",0,IF($Y47&gt;0,$Y47-MAX(0,($C48-$D47)*24),$Y47)))))</f>
        <v/>
      </c>
      <c r="AB48">
        <f>IF(AND($B48&lt;&gt;"",$F48&gt;=22),1,0)</f>
        <v/>
      </c>
    </row>
    <row r="49" ht="19.5" customHeight="1">
      <c r="A49" s="24">
        <f>IF(OR($B49="",23&gt;$O$10),"",23)</f>
        <v/>
      </c>
      <c r="B49" s="25" t="inlineStr">
        <is>
          <t>OTMP back towards station 29</t>
        </is>
      </c>
      <c r="C49" s="106">
        <f>IF(OR($B49="",23&gt;$O$10),"",IF($F49=0,$C$8,IF($G49="SS",OFFSET($C$26,$F49,0)+$H49/24,IF($G49="FF",OFFSET($D$26,$F49,0)+$H49/24-$E49/24,IF($G49="SF",OFFSET($C$26,$F49,0)+$H49/24-$E49/24,OFFSET($D$26,$F49,0)+$H49/24)))))</f>
        <v/>
      </c>
      <c r="D49" s="106">
        <f>IF(OR($B49="",23&gt;$O$10),"",$C49+$E49/24)</f>
        <v/>
      </c>
      <c r="E49" s="107" t="n">
        <v>2</v>
      </c>
      <c r="F49" s="28" t="n">
        <v>22</v>
      </c>
      <c r="G49" s="29" t="inlineStr">
        <is>
          <t>FS</t>
        </is>
      </c>
      <c r="H49" s="108" t="n">
        <v>0</v>
      </c>
      <c r="I49" s="109" t="n"/>
      <c r="J49" s="110" t="n"/>
      <c r="K49" s="109" t="n"/>
      <c r="L49" s="110" t="n"/>
      <c r="M49" s="111">
        <f>IF(OR($Q49="",$R49="",$V49=1),"",($R49-$Q49)*24)</f>
        <v/>
      </c>
      <c r="N49" s="34" t="n"/>
      <c r="O49" s="22">
        <f>IF(OR($B49="",23&gt;$O$10),"",IF($AB49=1,"! CHECK LINK",IF($V49=1,"! CHECK DATES",IF($S49=1,IF($R49="","Completed",IF($R49&lt;$D49,"Completed - Ahead",IF($R49&lt;=$D49+1/1440,"Completed - On Time","Completed - Delayed"))),IF($Q49&lt;&gt;"",IF($Y49&lt;=0.1,"In Progress - On Track","In Progress - BEHIND"),IF($M$5&lt;$C49,"Not Started","NOT STARTED - LATE"))))))</f>
        <v/>
      </c>
      <c r="P49" s="35" t="n"/>
      <c r="Q49">
        <f>IF($I49="","",$I49+IF($J49="",0,$J49))</f>
        <v/>
      </c>
      <c r="R49">
        <f>IF($K49="","",$K49+IF($L49="",0,$L49))</f>
        <v/>
      </c>
      <c r="S49">
        <f>IF($V49=1,0,IF($R49&lt;&gt;"",1,IF($N49="",0,$N49)))</f>
        <v/>
      </c>
      <c r="T49">
        <f>IF(OR($B49="",$E49=0),0,MEDIAN(0,($M$5-$C49)/($E49/24),1))</f>
        <v/>
      </c>
      <c r="U49">
        <f>($S49-$T49)*$E49</f>
        <v/>
      </c>
      <c r="V49">
        <f>IF(OR(AND($Q49&lt;&gt;"",$Q49&lt;$C$8),AND($Q49&lt;&gt;"",$R49&lt;&gt;"",$R49&lt;$Q49),AND($R49&lt;&gt;"",$Q49="")),1,0)</f>
        <v/>
      </c>
      <c r="W49">
        <f>IF($B49="","",IF($S49=1,IF($R49&lt;&gt;"",$R49,$D49),IF($Q49&lt;&gt;"",MAX($M$5,$Q49)+$E49*(1-$S49)/24,MAX($M$5,$C49)+$E49/24)))</f>
        <v/>
      </c>
      <c r="X49">
        <f>IF($B49="","",ROUND(($W49-$D49)*24,1))</f>
        <v/>
      </c>
      <c r="Y49">
        <f>IF($B49="","",IF($Q49&lt;&gt;"",$X49,IF($X49&gt;0,MAX($X49,IF($Y48="",0,IF($Y48&gt;0,$Y48-MAX(0,($C49-$D48)*24),$Y48))),IF($Y48="",0,IF($Y48&gt;0,$Y48-MAX(0,($C49-$D48)*24),$Y48)))))</f>
        <v/>
      </c>
      <c r="AB49">
        <f>IF(AND($B49&lt;&gt;"",$F49&gt;=23),1,0)</f>
        <v/>
      </c>
    </row>
    <row r="50" ht="19.5" customHeight="1">
      <c r="A50" s="24">
        <f>IF(OR($B50="",24&gt;$O$10),"",24)</f>
        <v/>
      </c>
      <c r="B50" s="25" t="inlineStr">
        <is>
          <t>Destressing (incl. 2 ATW) (Line 1)</t>
        </is>
      </c>
      <c r="C50" s="106">
        <f>IF(OR($B50="",24&gt;$O$10),"",IF($F50=0,$C$8,IF($G50="SS",OFFSET($C$26,$F50,0)+$H50/24,IF($G50="FF",OFFSET($D$26,$F50,0)+$H50/24-$E50/24,IF($G50="SF",OFFSET($C$26,$F50,0)+$H50/24-$E50/24,OFFSET($D$26,$F50,0)+$H50/24)))))</f>
        <v/>
      </c>
      <c r="D50" s="106">
        <f>IF(OR($B50="",24&gt;$O$10),"",$C50+$E50/24)</f>
        <v/>
      </c>
      <c r="E50" s="107" t="n">
        <v>4</v>
      </c>
      <c r="F50" s="28" t="n">
        <v>23</v>
      </c>
      <c r="G50" s="29" t="inlineStr">
        <is>
          <t>FS</t>
        </is>
      </c>
      <c r="H50" s="108" t="n">
        <v>0</v>
      </c>
      <c r="I50" s="109" t="n"/>
      <c r="J50" s="110" t="n"/>
      <c r="K50" s="109" t="n"/>
      <c r="L50" s="110" t="n"/>
      <c r="M50" s="111">
        <f>IF(OR($Q50="",$R50="",$V50=1),"",($R50-$Q50)*24)</f>
        <v/>
      </c>
      <c r="N50" s="34" t="n"/>
      <c r="O50" s="22">
        <f>IF(OR($B50="",24&gt;$O$10),"",IF($AB50=1,"! CHECK LINK",IF($V50=1,"! CHECK DATES",IF($S50=1,IF($R50="","Completed",IF($R50&lt;$D50,"Completed - Ahead",IF($R50&lt;=$D50+1/1440,"Completed - On Time","Completed - Delayed"))),IF($Q50&lt;&gt;"",IF($Y50&lt;=0.1,"In Progress - On Track","In Progress - BEHIND"),IF($M$5&lt;$C50,"Not Started","NOT STARTED - LATE"))))))</f>
        <v/>
      </c>
      <c r="P50" s="35" t="n"/>
      <c r="Q50">
        <f>IF($I50="","",$I50+IF($J50="",0,$J50))</f>
        <v/>
      </c>
      <c r="R50">
        <f>IF($K50="","",$K50+IF($L50="",0,$L50))</f>
        <v/>
      </c>
      <c r="S50">
        <f>IF($V50=1,0,IF($R50&lt;&gt;"",1,IF($N50="",0,$N50)))</f>
        <v/>
      </c>
      <c r="T50">
        <f>IF(OR($B50="",$E50=0),0,MEDIAN(0,($M$5-$C50)/($E50/24),1))</f>
        <v/>
      </c>
      <c r="U50">
        <f>($S50-$T50)*$E50</f>
        <v/>
      </c>
      <c r="V50">
        <f>IF(OR(AND($Q50&lt;&gt;"",$Q50&lt;$C$8),AND($Q50&lt;&gt;"",$R50&lt;&gt;"",$R50&lt;$Q50),AND($R50&lt;&gt;"",$Q50="")),1,0)</f>
        <v/>
      </c>
      <c r="W50">
        <f>IF($B50="","",IF($S50=1,IF($R50&lt;&gt;"",$R50,$D50),IF($Q50&lt;&gt;"",MAX($M$5,$Q50)+$E50*(1-$S50)/24,MAX($M$5,$C50)+$E50/24)))</f>
        <v/>
      </c>
      <c r="X50">
        <f>IF($B50="","",ROUND(($W50-$D50)*24,1))</f>
        <v/>
      </c>
      <c r="Y50">
        <f>IF($B50="","",IF($Q50&lt;&gt;"",$X50,IF($X50&gt;0,MAX($X50,IF($Y49="",0,IF($Y49&gt;0,$Y49-MAX(0,($C50-$D49)*24),$Y49))),IF($Y49="",0,IF($Y49&gt;0,$Y49-MAX(0,($C50-$D49)*24),$Y49)))))</f>
        <v/>
      </c>
      <c r="AB50">
        <f>IF(AND($B50&lt;&gt;"",$F50&gt;=24),1,0)</f>
        <v/>
      </c>
    </row>
    <row r="51" ht="19.5" customHeight="1">
      <c r="A51" s="24">
        <f>IF(OR($B51="",25&gt;$O$10),"",25)</f>
        <v/>
      </c>
      <c r="B51" s="25" t="inlineStr">
        <is>
          <t>Destressing (incl. 2 ATW) (Line 3)</t>
        </is>
      </c>
      <c r="C51" s="106">
        <f>IF(OR($B51="",25&gt;$O$10),"",IF($F51=0,$C$8,IF($G51="SS",OFFSET($C$26,$F51,0)+$H51/24,IF($G51="FF",OFFSET($D$26,$F51,0)+$H51/24-$E51/24,IF($G51="SF",OFFSET($C$26,$F51,0)+$H51/24-$E51/24,OFFSET($D$26,$F51,0)+$H51/24)))))</f>
        <v/>
      </c>
      <c r="D51" s="106">
        <f>IF(OR($B51="",25&gt;$O$10),"",$C51+$E51/24)</f>
        <v/>
      </c>
      <c r="E51" s="107" t="n">
        <v>4</v>
      </c>
      <c r="F51" s="28" t="n">
        <v>24</v>
      </c>
      <c r="G51" s="29" t="inlineStr">
        <is>
          <t>FS</t>
        </is>
      </c>
      <c r="H51" s="108" t="n">
        <v>0</v>
      </c>
      <c r="I51" s="109" t="n"/>
      <c r="J51" s="110" t="n"/>
      <c r="K51" s="109" t="n"/>
      <c r="L51" s="110" t="n"/>
      <c r="M51" s="111">
        <f>IF(OR($Q51="",$R51="",$V51=1),"",($R51-$Q51)*24)</f>
        <v/>
      </c>
      <c r="N51" s="34" t="n"/>
      <c r="O51" s="22">
        <f>IF(OR($B51="",25&gt;$O$10),"",IF($AB51=1,"! CHECK LINK",IF($V51=1,"! CHECK DATES",IF($S51=1,IF($R51="","Completed",IF($R51&lt;$D51,"Completed - Ahead",IF($R51&lt;=$D51+1/1440,"Completed - On Time","Completed - Delayed"))),IF($Q51&lt;&gt;"",IF($Y51&lt;=0.1,"In Progress - On Track","In Progress - BEHIND"),IF($M$5&lt;$C51,"Not Started","NOT STARTED - LATE"))))))</f>
        <v/>
      </c>
      <c r="P51" s="35" t="n"/>
      <c r="Q51">
        <f>IF($I51="","",$I51+IF($J51="",0,$J51))</f>
        <v/>
      </c>
      <c r="R51">
        <f>IF($K51="","",$K51+IF($L51="",0,$L51))</f>
        <v/>
      </c>
      <c r="S51">
        <f>IF($V51=1,0,IF($R51&lt;&gt;"",1,IF($N51="",0,$N51)))</f>
        <v/>
      </c>
      <c r="T51">
        <f>IF(OR($B51="",$E51=0),0,MEDIAN(0,($M$5-$C51)/($E51/24),1))</f>
        <v/>
      </c>
      <c r="U51">
        <f>($S51-$T51)*$E51</f>
        <v/>
      </c>
      <c r="V51">
        <f>IF(OR(AND($Q51&lt;&gt;"",$Q51&lt;$C$8),AND($Q51&lt;&gt;"",$R51&lt;&gt;"",$R51&lt;$Q51),AND($R51&lt;&gt;"",$Q51="")),1,0)</f>
        <v/>
      </c>
      <c r="W51">
        <f>IF($B51="","",IF($S51=1,IF($R51&lt;&gt;"",$R51,$D51),IF($Q51&lt;&gt;"",MAX($M$5,$Q51)+$E51*(1-$S51)/24,MAX($M$5,$C51)+$E51/24)))</f>
        <v/>
      </c>
      <c r="X51">
        <f>IF($B51="","",ROUND(($W51-$D51)*24,1))</f>
        <v/>
      </c>
      <c r="Y51">
        <f>IF($B51="","",IF($Q51&lt;&gt;"",$X51,IF($X51&gt;0,MAX($X51,IF($Y50="",0,IF($Y50&gt;0,$Y50-MAX(0,($C51-$D50)*24),$Y50))),IF($Y50="",0,IF($Y50&gt;0,$Y50-MAX(0,($C51-$D50)*24),$Y50)))))</f>
        <v/>
      </c>
      <c r="AB51">
        <f>IF(AND($B51&lt;&gt;"",$F51&gt;=25),1,0)</f>
        <v/>
      </c>
    </row>
    <row r="52" ht="19.5" customHeight="1">
      <c r="A52" s="24">
        <f>IF(OR($B52="",26&gt;$O$10),"",26)</f>
        <v/>
      </c>
      <c r="B52" s="25" t="inlineStr">
        <is>
          <t>Finishing (grinding, stamp, UT, inspection)</t>
        </is>
      </c>
      <c r="C52" s="106">
        <f>IF(OR($B52="",26&gt;$O$10),"",IF($F52=0,$C$8,IF($G52="SS",OFFSET($C$26,$F52,0)+$H52/24,IF($G52="FF",OFFSET($D$26,$F52,0)+$H52/24-$E52/24,IF($G52="SF",OFFSET($C$26,$F52,0)+$H52/24-$E52/24,OFFSET($D$26,$F52,0)+$H52/24)))))</f>
        <v/>
      </c>
      <c r="D52" s="106">
        <f>IF(OR($B52="",26&gt;$O$10),"",$C52+$E52/24)</f>
        <v/>
      </c>
      <c r="E52" s="107" t="n">
        <v>1</v>
      </c>
      <c r="F52" s="28" t="n">
        <v>25</v>
      </c>
      <c r="G52" s="29" t="inlineStr">
        <is>
          <t>FS</t>
        </is>
      </c>
      <c r="H52" s="108" t="n">
        <v>0</v>
      </c>
      <c r="I52" s="109" t="n"/>
      <c r="J52" s="110" t="n"/>
      <c r="K52" s="109" t="n"/>
      <c r="L52" s="110" t="n"/>
      <c r="M52" s="111">
        <f>IF(OR($Q52="",$R52="",$V52=1),"",($R52-$Q52)*24)</f>
        <v/>
      </c>
      <c r="N52" s="34" t="n"/>
      <c r="O52" s="22">
        <f>IF(OR($B52="",26&gt;$O$10),"",IF($AB52=1,"! CHECK LINK",IF($V52=1,"! CHECK DATES",IF($S52=1,IF($R52="","Completed",IF($R52&lt;$D52,"Completed - Ahead",IF($R52&lt;=$D52+1/1440,"Completed - On Time","Completed - Delayed"))),IF($Q52&lt;&gt;"",IF($Y52&lt;=0.1,"In Progress - On Track","In Progress - BEHIND"),IF($M$5&lt;$C52,"Not Started","NOT STARTED - LATE"))))))</f>
        <v/>
      </c>
      <c r="P52" s="35" t="n"/>
      <c r="Q52">
        <f>IF($I52="","",$I52+IF($J52="",0,$J52))</f>
        <v/>
      </c>
      <c r="R52">
        <f>IF($K52="","",$K52+IF($L52="",0,$L52))</f>
        <v/>
      </c>
      <c r="S52">
        <f>IF($V52=1,0,IF($R52&lt;&gt;"",1,IF($N52="",0,$N52)))</f>
        <v/>
      </c>
      <c r="T52">
        <f>IF(OR($B52="",$E52=0),0,MEDIAN(0,($M$5-$C52)/($E52/24),1))</f>
        <v/>
      </c>
      <c r="U52">
        <f>($S52-$T52)*$E52</f>
        <v/>
      </c>
      <c r="V52">
        <f>IF(OR(AND($Q52&lt;&gt;"",$Q52&lt;$C$8),AND($Q52&lt;&gt;"",$R52&lt;&gt;"",$R52&lt;$Q52),AND($R52&lt;&gt;"",$Q52="")),1,0)</f>
        <v/>
      </c>
      <c r="W52">
        <f>IF($B52="","",IF($S52=1,IF($R52&lt;&gt;"",$R52,$D52),IF($Q52&lt;&gt;"",MAX($M$5,$Q52)+$E52*(1-$S52)/24,MAX($M$5,$C52)+$E52/24)))</f>
        <v/>
      </c>
      <c r="X52">
        <f>IF($B52="","",ROUND(($W52-$D52)*24,1))</f>
        <v/>
      </c>
      <c r="Y52">
        <f>IF($B52="","",IF($Q52&lt;&gt;"",$X52,IF($X52&gt;0,MAX($X52,IF($Y51="",0,IF($Y51&gt;0,$Y51-MAX(0,($C52-$D51)*24),$Y51))),IF($Y51="",0,IF($Y51&gt;0,$Y51-MAX(0,($C52-$D51)*24),$Y51)))))</f>
        <v/>
      </c>
      <c r="AB52">
        <f>IF(AND($B52&lt;&gt;"",$F52&gt;=26),1,0)</f>
        <v/>
      </c>
    </row>
    <row r="53" ht="19.5" customHeight="1">
      <c r="A53" s="36" t="inlineStr">
        <is>
          <t>TOT</t>
        </is>
      </c>
      <c r="B53" s="37">
        <f>IF($B$15="","",$B$15&amp;"   -   sum of activity hours")</f>
        <v/>
      </c>
      <c r="C53" s="38" t="n"/>
      <c r="D53" s="112">
        <f>IF(COUNT($D27:$D52)=0,"",MAX($D27:$D52))</f>
        <v/>
      </c>
      <c r="E53" s="113">
        <f>SUM($E27:$E52)</f>
        <v/>
      </c>
      <c r="F53" s="38" t="n"/>
      <c r="G53" s="38" t="n"/>
      <c r="H53" s="38" t="n"/>
      <c r="I53" s="38" t="n"/>
      <c r="J53" s="38" t="n"/>
      <c r="K53" s="38" t="n"/>
      <c r="L53" s="38" t="n"/>
      <c r="M53" s="113">
        <f>SUM($M27:$M52)</f>
        <v/>
      </c>
      <c r="N53" s="41">
        <f>$S53</f>
        <v/>
      </c>
      <c r="O53" s="36">
        <f>IF($B$15="","",IF($X53&lt;=0,"ON TRACK","BEHIND"))</f>
        <v/>
      </c>
      <c r="P53" s="38" t="n"/>
      <c r="S53">
        <f>IF($E53=0,0,SUMPRODUCT($E27:$E52,$S27:$S52)/$E53)</f>
        <v/>
      </c>
      <c r="T53">
        <f>IF($E53=0,0,SUMPRODUCT($E27:$E52,$T27:$T52)/$E53)</f>
        <v/>
      </c>
      <c r="U53">
        <f>$S53-$T53</f>
        <v/>
      </c>
      <c r="W53">
        <f>IF($D53="","",$D53+$X53/24)</f>
        <v/>
      </c>
      <c r="X53">
        <f>IF(COUNT($Y27:$Y52)=0,0,LOOKUP(9.9E+307,$Y27:$Y52))</f>
        <v/>
      </c>
    </row>
    <row r="55" ht="24" customHeight="1">
      <c r="A55" s="21">
        <f>IF($B$16="","LOCATION 2  -  not used","   LOCATION 2  -  "&amp;$B$16)</f>
        <v/>
      </c>
    </row>
    <row r="56" ht="30" customHeight="1">
      <c r="A56" s="22" t="inlineStr">
        <is>
          <t>No</t>
        </is>
      </c>
      <c r="B56" s="22" t="inlineStr">
        <is>
          <t>ACTIVITY  (leave blank to switch the row off)</t>
        </is>
      </c>
      <c r="C56" s="22" t="inlineStr">
        <is>
          <t>Planned
Start</t>
        </is>
      </c>
      <c r="D56" s="22" t="inlineStr">
        <is>
          <t>Planned
Finish</t>
        </is>
      </c>
      <c r="E56" s="22" t="inlineStr">
        <is>
          <t>DUR
(h)</t>
        </is>
      </c>
      <c r="F56" s="22" t="inlineStr">
        <is>
          <t>PRED
No</t>
        </is>
      </c>
      <c r="G56" s="22" t="inlineStr">
        <is>
          <t>REL</t>
        </is>
      </c>
      <c r="H56" s="22" t="inlineStr">
        <is>
          <t>LAG
(h)</t>
        </is>
      </c>
      <c r="I56" s="23" t="inlineStr">
        <is>
          <t>ACT START
Date</t>
        </is>
      </c>
      <c r="J56" s="23" t="inlineStr">
        <is>
          <t>ACT START
Time</t>
        </is>
      </c>
      <c r="K56" s="23" t="inlineStr">
        <is>
          <t>ACT FINISH
Date</t>
        </is>
      </c>
      <c r="L56" s="23" t="inlineStr">
        <is>
          <t>ACT FINISH
Time</t>
        </is>
      </c>
      <c r="M56" s="22" t="inlineStr">
        <is>
          <t>ACT
Dur</t>
        </is>
      </c>
      <c r="N56" s="23" t="inlineStr">
        <is>
          <t>% COMP</t>
        </is>
      </c>
      <c r="O56" s="22" t="inlineStr">
        <is>
          <t>STATUS  (auto)</t>
        </is>
      </c>
      <c r="P56" s="23" t="inlineStr">
        <is>
          <t>REMARKS</t>
        </is>
      </c>
    </row>
    <row r="57" ht="19.5" customHeight="1">
      <c r="A57" s="24">
        <f>IF(OR($B57="",1&gt;$O$10),"",1)</f>
        <v/>
      </c>
      <c r="B57" s="25" t="inlineStr">
        <is>
          <t>OTMP moves from station 29 to Main Line 1</t>
        </is>
      </c>
      <c r="C57" s="106">
        <f>IF(OR($B57="",1&gt;$O$10),"",IF($F57=0,$C$8,IF($G57="SS",OFFSET($C$56,$F57,0)+$H57/24,IF($G57="FF",OFFSET($D$56,$F57,0)+$H57/24-$E57/24,IF($G57="SF",OFFSET($C$56,$F57,0)+$H57/24-$E57/24,OFFSET($D$56,$F57,0)+$H57/24)))))</f>
        <v/>
      </c>
      <c r="D57" s="106">
        <f>IF(OR($B57="",1&gt;$O$10),"",$C57+$E57/24)</f>
        <v/>
      </c>
      <c r="E57" s="107" t="n">
        <v>1</v>
      </c>
      <c r="F57" s="28" t="n">
        <v>0</v>
      </c>
      <c r="G57" s="29" t="inlineStr">
        <is>
          <t>FS</t>
        </is>
      </c>
      <c r="H57" s="108" t="n">
        <v>0</v>
      </c>
      <c r="I57" s="109" t="n"/>
      <c r="J57" s="110" t="n"/>
      <c r="K57" s="109" t="n"/>
      <c r="L57" s="110" t="n"/>
      <c r="M57" s="111">
        <f>IF(OR($Q57="",$R57="",$V57=1),"",($R57-$Q57)*24)</f>
        <v/>
      </c>
      <c r="N57" s="34" t="n"/>
      <c r="O57" s="22">
        <f>IF(OR($B57="",1&gt;$O$10),"",IF($AB57=1,"! CHECK LINK",IF($V57=1,"! CHECK DATES",IF($S57=1,IF($R57="","Completed",IF($R57&lt;$D57,"Completed - Ahead",IF($R57&lt;=$D57+1/1440,"Completed - On Time","Completed - Delayed"))),IF($Q57&lt;&gt;"",IF($Y57&lt;=0.1,"In Progress - On Track","In Progress - BEHIND"),IF($M$5&lt;$C57,"Not Started","NOT STARTED - LATE"))))))</f>
        <v/>
      </c>
      <c r="P57" s="35" t="n"/>
      <c r="Q57">
        <f>IF($I57="","",$I57+IF($J57="",0,$J57))</f>
        <v/>
      </c>
      <c r="R57">
        <f>IF($K57="","",$K57+IF($L57="",0,$L57))</f>
        <v/>
      </c>
      <c r="S57">
        <f>IF($V57=1,0,IF($R57&lt;&gt;"",1,IF($N57="",0,$N57)))</f>
        <v/>
      </c>
      <c r="T57">
        <f>IF(OR($B57="",$E57=0),0,MEDIAN(0,($M$5-$C57)/($E57/24),1))</f>
        <v/>
      </c>
      <c r="U57">
        <f>($S57-$T57)*$E57</f>
        <v/>
      </c>
      <c r="V57">
        <f>IF(OR(AND($Q57&lt;&gt;"",$Q57&lt;$C$8),AND($Q57&lt;&gt;"",$R57&lt;&gt;"",$R57&lt;$Q57),AND($R57&lt;&gt;"",$Q57="")),1,0)</f>
        <v/>
      </c>
      <c r="W57">
        <f>IF($B57="","",IF($S57=1,IF($R57&lt;&gt;"",$R57,$D57),IF($Q57&lt;&gt;"",MAX($M$5,$Q57)+$E57*(1-$S57)/24,MAX($M$5,$C57)+$E57/24)))</f>
        <v/>
      </c>
      <c r="X57">
        <f>IF($B57="","",ROUND(($W57-$D57)*24,1))</f>
        <v/>
      </c>
      <c r="Y57">
        <f>IF($B57="","",$X57)</f>
        <v/>
      </c>
      <c r="AB57">
        <f>IF(AND($B57&lt;&gt;"",$F57&gt;=1),1,0)</f>
        <v/>
      </c>
    </row>
    <row r="58" ht="19.5" customHeight="1">
      <c r="A58" s="24">
        <f>IF(OR($B58="",2&gt;$O$10),"",2)</f>
        <v/>
      </c>
      <c r="B58" s="25" t="inlineStr">
        <is>
          <t>Track removal &amp; panel evacuation (Line 1)</t>
        </is>
      </c>
      <c r="C58" s="106">
        <f>IF(OR($B58="",2&gt;$O$10),"",IF($F58=0,$C$8,IF($G58="SS",OFFSET($C$56,$F58,0)+$H58/24,IF($G58="FF",OFFSET($D$56,$F58,0)+$H58/24-$E58/24,IF($G58="SF",OFFSET($C$56,$F58,0)+$H58/24-$E58/24,OFFSET($D$56,$F58,0)+$H58/24)))))</f>
        <v/>
      </c>
      <c r="D58" s="106">
        <f>IF(OR($B58="",2&gt;$O$10),"",$C58+$E58/24)</f>
        <v/>
      </c>
      <c r="E58" s="107" t="n">
        <v>1</v>
      </c>
      <c r="F58" s="28" t="n">
        <v>1</v>
      </c>
      <c r="G58" s="29" t="inlineStr">
        <is>
          <t>FS</t>
        </is>
      </c>
      <c r="H58" s="108" t="n">
        <v>0</v>
      </c>
      <c r="I58" s="109" t="n"/>
      <c r="J58" s="110" t="n"/>
      <c r="K58" s="109" t="n"/>
      <c r="L58" s="110" t="n"/>
      <c r="M58" s="111">
        <f>IF(OR($Q58="",$R58="",$V58=1),"",($R58-$Q58)*24)</f>
        <v/>
      </c>
      <c r="N58" s="34" t="n"/>
      <c r="O58" s="22">
        <f>IF(OR($B58="",2&gt;$O$10),"",IF($AB58=1,"! CHECK LINK",IF($V58=1,"! CHECK DATES",IF($S58=1,IF($R58="","Completed",IF($R58&lt;$D58,"Completed - Ahead",IF($R58&lt;=$D58+1/1440,"Completed - On Time","Completed - Delayed"))),IF($Q58&lt;&gt;"",IF($Y58&lt;=0.1,"In Progress - On Track","In Progress - BEHIND"),IF($M$5&lt;$C58,"Not Started","NOT STARTED - LATE"))))))</f>
        <v/>
      </c>
      <c r="P58" s="35" t="n"/>
      <c r="Q58">
        <f>IF($I58="","",$I58+IF($J58="",0,$J58))</f>
        <v/>
      </c>
      <c r="R58">
        <f>IF($K58="","",$K58+IF($L58="",0,$L58))</f>
        <v/>
      </c>
      <c r="S58">
        <f>IF($V58=1,0,IF($R58&lt;&gt;"",1,IF($N58="",0,$N58)))</f>
        <v/>
      </c>
      <c r="T58">
        <f>IF(OR($B58="",$E58=0),0,MEDIAN(0,($M$5-$C58)/($E58/24),1))</f>
        <v/>
      </c>
      <c r="U58">
        <f>($S58-$T58)*$E58</f>
        <v/>
      </c>
      <c r="V58">
        <f>IF(OR(AND($Q58&lt;&gt;"",$Q58&lt;$C$8),AND($Q58&lt;&gt;"",$R58&lt;&gt;"",$R58&lt;$Q58),AND($R58&lt;&gt;"",$Q58="")),1,0)</f>
        <v/>
      </c>
      <c r="W58">
        <f>IF($B58="","",IF($S58=1,IF($R58&lt;&gt;"",$R58,$D58),IF($Q58&lt;&gt;"",MAX($M$5,$Q58)+$E58*(1-$S58)/24,MAX($M$5,$C58)+$E58/24)))</f>
        <v/>
      </c>
      <c r="X58">
        <f>IF($B58="","",ROUND(($W58-$D58)*24,1))</f>
        <v/>
      </c>
      <c r="Y58">
        <f>IF($B58="","",IF($Q58&lt;&gt;"",$X58,IF($X58&gt;0,MAX($X58,IF($Y57="",0,IF($Y57&gt;0,$Y57-MAX(0,($C58-$D57)*24),$Y57))),IF($Y57="",0,IF($Y57&gt;0,$Y57-MAX(0,($C58-$D57)*24),$Y57)))))</f>
        <v/>
      </c>
      <c r="AB58">
        <f>IF(AND($B58&lt;&gt;"",$F58&gt;=2),1,0)</f>
        <v/>
      </c>
    </row>
    <row r="59" ht="19.5" customHeight="1">
      <c r="A59" s="24">
        <f>IF(OR($B59="",3&gt;$O$10),"",3)</f>
        <v/>
      </c>
      <c r="B59" s="25" t="inlineStr">
        <is>
          <t>Track removal &amp; panel evacuation (Line 3)</t>
        </is>
      </c>
      <c r="C59" s="106">
        <f>IF(OR($B59="",3&gt;$O$10),"",IF($F59=0,$C$8,IF($G59="SS",OFFSET($C$56,$F59,0)+$H59/24,IF($G59="FF",OFFSET($D$56,$F59,0)+$H59/24-$E59/24,IF($G59="SF",OFFSET($C$56,$F59,0)+$H59/24-$E59/24,OFFSET($D$56,$F59,0)+$H59/24)))))</f>
        <v/>
      </c>
      <c r="D59" s="106">
        <f>IF(OR($B59="",3&gt;$O$10),"",$C59+$E59/24)</f>
        <v/>
      </c>
      <c r="E59" s="107" t="n">
        <v>1</v>
      </c>
      <c r="F59" s="28" t="n">
        <v>1</v>
      </c>
      <c r="G59" s="29" t="inlineStr">
        <is>
          <t>SS</t>
        </is>
      </c>
      <c r="H59" s="108" t="n">
        <v>0</v>
      </c>
      <c r="I59" s="109" t="n"/>
      <c r="J59" s="110" t="n"/>
      <c r="K59" s="109" t="n"/>
      <c r="L59" s="110" t="n"/>
      <c r="M59" s="111">
        <f>IF(OR($Q59="",$R59="",$V59=1),"",($R59-$Q59)*24)</f>
        <v/>
      </c>
      <c r="N59" s="34" t="n"/>
      <c r="O59" s="22">
        <f>IF(OR($B59="",3&gt;$O$10),"",IF($AB59=1,"! CHECK LINK",IF($V59=1,"! CHECK DATES",IF($S59=1,IF($R59="","Completed",IF($R59&lt;$D59,"Completed - Ahead",IF($R59&lt;=$D59+1/1440,"Completed - On Time","Completed - Delayed"))),IF($Q59&lt;&gt;"",IF($Y59&lt;=0.1,"In Progress - On Track","In Progress - BEHIND"),IF($M$5&lt;$C59,"Not Started","NOT STARTED - LATE"))))))</f>
        <v/>
      </c>
      <c r="P59" s="35" t="n"/>
      <c r="Q59">
        <f>IF($I59="","",$I59+IF($J59="",0,$J59))</f>
        <v/>
      </c>
      <c r="R59">
        <f>IF($K59="","",$K59+IF($L59="",0,$L59))</f>
        <v/>
      </c>
      <c r="S59">
        <f>IF($V59=1,0,IF($R59&lt;&gt;"",1,IF($N59="",0,$N59)))</f>
        <v/>
      </c>
      <c r="T59">
        <f>IF(OR($B59="",$E59=0),0,MEDIAN(0,($M$5-$C59)/($E59/24),1))</f>
        <v/>
      </c>
      <c r="U59">
        <f>($S59-$T59)*$E59</f>
        <v/>
      </c>
      <c r="V59">
        <f>IF(OR(AND($Q59&lt;&gt;"",$Q59&lt;$C$8),AND($Q59&lt;&gt;"",$R59&lt;&gt;"",$R59&lt;$Q59),AND($R59&lt;&gt;"",$Q59="")),1,0)</f>
        <v/>
      </c>
      <c r="W59">
        <f>IF($B59="","",IF($S59=1,IF($R59&lt;&gt;"",$R59,$D59),IF($Q59&lt;&gt;"",MAX($M$5,$Q59)+$E59*(1-$S59)/24,MAX($M$5,$C59)+$E59/24)))</f>
        <v/>
      </c>
      <c r="X59">
        <f>IF($B59="","",ROUND(($W59-$D59)*24,1))</f>
        <v/>
      </c>
      <c r="Y59">
        <f>IF($B59="","",IF($Q59&lt;&gt;"",$X59,IF($X59&gt;0,MAX($X59,IF($Y58="",0,IF($Y58&gt;0,$Y58-MAX(0,($C59-$D58)*24),$Y58))),IF($Y58="",0,IF($Y58&gt;0,$Y58-MAX(0,($C59-$D58)*24),$Y58)))))</f>
        <v/>
      </c>
      <c r="AB59">
        <f>IF(AND($B59&lt;&gt;"",$F59&gt;=3),1,0)</f>
        <v/>
      </c>
    </row>
    <row r="60" ht="19.5" customHeight="1">
      <c r="A60" s="24">
        <f>IF(OR($B60="",4&gt;$O$10),"",4)</f>
        <v/>
      </c>
      <c r="B60" s="25" t="inlineStr">
        <is>
          <t>Ballast removal</t>
        </is>
      </c>
      <c r="C60" s="106">
        <f>IF(OR($B60="",4&gt;$O$10),"",IF($F60=0,$C$8,IF($G60="SS",OFFSET($C$56,$F60,0)+$H60/24,IF($G60="FF",OFFSET($D$56,$F60,0)+$H60/24-$E60/24,IF($G60="SF",OFFSET($C$56,$F60,0)+$H60/24-$E60/24,OFFSET($D$56,$F60,0)+$H60/24)))))</f>
        <v/>
      </c>
      <c r="D60" s="106">
        <f>IF(OR($B60="",4&gt;$O$10),"",$C60+$E60/24)</f>
        <v/>
      </c>
      <c r="E60" s="107" t="n">
        <v>1</v>
      </c>
      <c r="F60" s="28" t="n">
        <v>3</v>
      </c>
      <c r="G60" s="29" t="inlineStr">
        <is>
          <t>FS</t>
        </is>
      </c>
      <c r="H60" s="108" t="n">
        <v>0</v>
      </c>
      <c r="I60" s="109" t="n"/>
      <c r="J60" s="110" t="n"/>
      <c r="K60" s="109" t="n"/>
      <c r="L60" s="110" t="n"/>
      <c r="M60" s="111">
        <f>IF(OR($Q60="",$R60="",$V60=1),"",($R60-$Q60)*24)</f>
        <v/>
      </c>
      <c r="N60" s="34" t="n"/>
      <c r="O60" s="22">
        <f>IF(OR($B60="",4&gt;$O$10),"",IF($AB60=1,"! CHECK LINK",IF($V60=1,"! CHECK DATES",IF($S60=1,IF($R60="","Completed",IF($R60&lt;$D60,"Completed - Ahead",IF($R60&lt;=$D60+1/1440,"Completed - On Time","Completed - Delayed"))),IF($Q60&lt;&gt;"",IF($Y60&lt;=0.1,"In Progress - On Track","In Progress - BEHIND"),IF($M$5&lt;$C60,"Not Started","NOT STARTED - LATE"))))))</f>
        <v/>
      </c>
      <c r="P60" s="35" t="n"/>
      <c r="Q60">
        <f>IF($I60="","",$I60+IF($J60="",0,$J60))</f>
        <v/>
      </c>
      <c r="R60">
        <f>IF($K60="","",$K60+IF($L60="",0,$L60))</f>
        <v/>
      </c>
      <c r="S60">
        <f>IF($V60=1,0,IF($R60&lt;&gt;"",1,IF($N60="",0,$N60)))</f>
        <v/>
      </c>
      <c r="T60">
        <f>IF(OR($B60="",$E60=0),0,MEDIAN(0,($M$5-$C60)/($E60/24),1))</f>
        <v/>
      </c>
      <c r="U60">
        <f>($S60-$T60)*$E60</f>
        <v/>
      </c>
      <c r="V60">
        <f>IF(OR(AND($Q60&lt;&gt;"",$Q60&lt;$C$8),AND($Q60&lt;&gt;"",$R60&lt;&gt;"",$R60&lt;$Q60),AND($R60&lt;&gt;"",$Q60="")),1,0)</f>
        <v/>
      </c>
      <c r="W60">
        <f>IF($B60="","",IF($S60=1,IF($R60&lt;&gt;"",$R60,$D60),IF($Q60&lt;&gt;"",MAX($M$5,$Q60)+$E60*(1-$S60)/24,MAX($M$5,$C60)+$E60/24)))</f>
        <v/>
      </c>
      <c r="X60">
        <f>IF($B60="","",ROUND(($W60-$D60)*24,1))</f>
        <v/>
      </c>
      <c r="Y60">
        <f>IF($B60="","",IF($Q60&lt;&gt;"",$X60,IF($X60&gt;0,MAX($X60,IF($Y59="",0,IF($Y59&gt;0,$Y59-MAX(0,($C60-$D59)*24),$Y59))),IF($Y59="",0,IF($Y59&gt;0,$Y59-MAX(0,($C60-$D59)*24),$Y59)))))</f>
        <v/>
      </c>
      <c r="AB60">
        <f>IF(AND($B60&lt;&gt;"",$F60&gt;=4),1,0)</f>
        <v/>
      </c>
    </row>
    <row r="61" ht="19.5" customHeight="1">
      <c r="A61" s="24">
        <f>IF(OR($B61="",5&gt;$O$10),"",5)</f>
        <v/>
      </c>
      <c r="B61" s="25" t="inlineStr">
        <is>
          <t>Cutting &amp; removal around existing culvert</t>
        </is>
      </c>
      <c r="C61" s="106">
        <f>IF(OR($B61="",5&gt;$O$10),"",IF($F61=0,$C$8,IF($G61="SS",OFFSET($C$56,$F61,0)+$H61/24,IF($G61="FF",OFFSET($D$56,$F61,0)+$H61/24-$E61/24,IF($G61="SF",OFFSET($C$56,$F61,0)+$H61/24-$E61/24,OFFSET($D$56,$F61,0)+$H61/24)))))</f>
        <v/>
      </c>
      <c r="D61" s="106">
        <f>IF(OR($B61="",5&gt;$O$10),"",$C61+$E61/24)</f>
        <v/>
      </c>
      <c r="E61" s="107" t="n">
        <v>2</v>
      </c>
      <c r="F61" s="28" t="n">
        <v>4</v>
      </c>
      <c r="G61" s="29" t="inlineStr">
        <is>
          <t>FS</t>
        </is>
      </c>
      <c r="H61" s="108" t="n">
        <v>0</v>
      </c>
      <c r="I61" s="109" t="n"/>
      <c r="J61" s="110" t="n"/>
      <c r="K61" s="109" t="n"/>
      <c r="L61" s="110" t="n"/>
      <c r="M61" s="111">
        <f>IF(OR($Q61="",$R61="",$V61=1),"",($R61-$Q61)*24)</f>
        <v/>
      </c>
      <c r="N61" s="34" t="n"/>
      <c r="O61" s="22">
        <f>IF(OR($B61="",5&gt;$O$10),"",IF($AB61=1,"! CHECK LINK",IF($V61=1,"! CHECK DATES",IF($S61=1,IF($R61="","Completed",IF($R61&lt;$D61,"Completed - Ahead",IF($R61&lt;=$D61+1/1440,"Completed - On Time","Completed - Delayed"))),IF($Q61&lt;&gt;"",IF($Y61&lt;=0.1,"In Progress - On Track","In Progress - BEHIND"),IF($M$5&lt;$C61,"Not Started","NOT STARTED - LATE"))))))</f>
        <v/>
      </c>
      <c r="P61" s="35" t="n"/>
      <c r="Q61">
        <f>IF($I61="","",$I61+IF($J61="",0,$J61))</f>
        <v/>
      </c>
      <c r="R61">
        <f>IF($K61="","",$K61+IF($L61="",0,$L61))</f>
        <v/>
      </c>
      <c r="S61">
        <f>IF($V61=1,0,IF($R61&lt;&gt;"",1,IF($N61="",0,$N61)))</f>
        <v/>
      </c>
      <c r="T61">
        <f>IF(OR($B61="",$E61=0),0,MEDIAN(0,($M$5-$C61)/($E61/24),1))</f>
        <v/>
      </c>
      <c r="U61">
        <f>($S61-$T61)*$E61</f>
        <v/>
      </c>
      <c r="V61">
        <f>IF(OR(AND($Q61&lt;&gt;"",$Q61&lt;$C$8),AND($Q61&lt;&gt;"",$R61&lt;&gt;"",$R61&lt;$Q61),AND($R61&lt;&gt;"",$Q61="")),1,0)</f>
        <v/>
      </c>
      <c r="W61">
        <f>IF($B61="","",IF($S61=1,IF($R61&lt;&gt;"",$R61,$D61),IF($Q61&lt;&gt;"",MAX($M$5,$Q61)+$E61*(1-$S61)/24,MAX($M$5,$C61)+$E61/24)))</f>
        <v/>
      </c>
      <c r="X61">
        <f>IF($B61="","",ROUND(($W61-$D61)*24,1))</f>
        <v/>
      </c>
      <c r="Y61">
        <f>IF($B61="","",IF($Q61&lt;&gt;"",$X61,IF($X61&gt;0,MAX($X61,IF($Y60="",0,IF($Y60&gt;0,$Y60-MAX(0,($C61-$D60)*24),$Y60))),IF($Y60="",0,IF($Y60&gt;0,$Y60-MAX(0,($C61-$D60)*24),$Y60)))))</f>
        <v/>
      </c>
      <c r="AB61">
        <f>IF(AND($B61&lt;&gt;"",$F61&gt;=5),1,0)</f>
        <v/>
      </c>
    </row>
    <row r="62" ht="19.5" customHeight="1">
      <c r="A62" s="24">
        <f>IF(OR($B62="",6&gt;$O$10),"",6)</f>
        <v/>
      </c>
      <c r="B62" s="25" t="inlineStr">
        <is>
          <t>Demolition of existing culvert</t>
        </is>
      </c>
      <c r="C62" s="106">
        <f>IF(OR($B62="",6&gt;$O$10),"",IF($F62=0,$C$8,IF($G62="SS",OFFSET($C$56,$F62,0)+$H62/24,IF($G62="FF",OFFSET($D$56,$F62,0)+$H62/24-$E62/24,IF($G62="SF",OFFSET($C$56,$F62,0)+$H62/24-$E62/24,OFFSET($D$56,$F62,0)+$H62/24)))))</f>
        <v/>
      </c>
      <c r="D62" s="106">
        <f>IF(OR($B62="",6&gt;$O$10),"",$C62+$E62/24)</f>
        <v/>
      </c>
      <c r="E62" s="107" t="n">
        <v>2</v>
      </c>
      <c r="F62" s="28" t="n">
        <v>5</v>
      </c>
      <c r="G62" s="29" t="inlineStr">
        <is>
          <t>FS</t>
        </is>
      </c>
      <c r="H62" s="108" t="n">
        <v>0</v>
      </c>
      <c r="I62" s="109" t="n"/>
      <c r="J62" s="110" t="n"/>
      <c r="K62" s="109" t="n"/>
      <c r="L62" s="110" t="n"/>
      <c r="M62" s="111">
        <f>IF(OR($Q62="",$R62="",$V62=1),"",($R62-$Q62)*24)</f>
        <v/>
      </c>
      <c r="N62" s="34" t="n"/>
      <c r="O62" s="22">
        <f>IF(OR($B62="",6&gt;$O$10),"",IF($AB62=1,"! CHECK LINK",IF($V62=1,"! CHECK DATES",IF($S62=1,IF($R62="","Completed",IF($R62&lt;$D62,"Completed - Ahead",IF($R62&lt;=$D62+1/1440,"Completed - On Time","Completed - Delayed"))),IF($Q62&lt;&gt;"",IF($Y62&lt;=0.1,"In Progress - On Track","In Progress - BEHIND"),IF($M$5&lt;$C62,"Not Started","NOT STARTED - LATE"))))))</f>
        <v/>
      </c>
      <c r="P62" s="35" t="n"/>
      <c r="Q62">
        <f>IF($I62="","",$I62+IF($J62="",0,$J62))</f>
        <v/>
      </c>
      <c r="R62">
        <f>IF($K62="","",$K62+IF($L62="",0,$L62))</f>
        <v/>
      </c>
      <c r="S62">
        <f>IF($V62=1,0,IF($R62&lt;&gt;"",1,IF($N62="",0,$N62)))</f>
        <v/>
      </c>
      <c r="T62">
        <f>IF(OR($B62="",$E62=0),0,MEDIAN(0,($M$5-$C62)/($E62/24),1))</f>
        <v/>
      </c>
      <c r="U62">
        <f>($S62-$T62)*$E62</f>
        <v/>
      </c>
      <c r="V62">
        <f>IF(OR(AND($Q62&lt;&gt;"",$Q62&lt;$C$8),AND($Q62&lt;&gt;"",$R62&lt;&gt;"",$R62&lt;$Q62),AND($R62&lt;&gt;"",$Q62="")),1,0)</f>
        <v/>
      </c>
      <c r="W62">
        <f>IF($B62="","",IF($S62=1,IF($R62&lt;&gt;"",$R62,$D62),IF($Q62&lt;&gt;"",MAX($M$5,$Q62)+$E62*(1-$S62)/24,MAX($M$5,$C62)+$E62/24)))</f>
        <v/>
      </c>
      <c r="X62">
        <f>IF($B62="","",ROUND(($W62-$D62)*24,1))</f>
        <v/>
      </c>
      <c r="Y62">
        <f>IF($B62="","",IF($Q62&lt;&gt;"",$X62,IF($X62&gt;0,MAX($X62,IF($Y61="",0,IF($Y61&gt;0,$Y61-MAX(0,($C62-$D61)*24),$Y61))),IF($Y61="",0,IF($Y61&gt;0,$Y61-MAX(0,($C62-$D61)*24),$Y61)))))</f>
        <v/>
      </c>
      <c r="AB62">
        <f>IF(AND($B62&lt;&gt;"",$F62&gt;=6),1,0)</f>
        <v/>
      </c>
    </row>
    <row r="63" ht="19.5" customHeight="1">
      <c r="A63" s="24">
        <f>IF(OR($B63="",7&gt;$O$10),"",7)</f>
        <v/>
      </c>
      <c r="B63" s="25" t="inlineStr">
        <is>
          <t>Surface preparation for precast installation</t>
        </is>
      </c>
      <c r="C63" s="106">
        <f>IF(OR($B63="",7&gt;$O$10),"",IF($F63=0,$C$8,IF($G63="SS",OFFSET($C$56,$F63,0)+$H63/24,IF($G63="FF",OFFSET($D$56,$F63,0)+$H63/24-$E63/24,IF($G63="SF",OFFSET($C$56,$F63,0)+$H63/24-$E63/24,OFFSET($D$56,$F63,0)+$H63/24)))))</f>
        <v/>
      </c>
      <c r="D63" s="106">
        <f>IF(OR($B63="",7&gt;$O$10),"",$C63+$E63/24)</f>
        <v/>
      </c>
      <c r="E63" s="107" t="n">
        <v>2</v>
      </c>
      <c r="F63" s="28" t="n">
        <v>6</v>
      </c>
      <c r="G63" s="29" t="inlineStr">
        <is>
          <t>FS</t>
        </is>
      </c>
      <c r="H63" s="108" t="n">
        <v>0</v>
      </c>
      <c r="I63" s="109" t="n"/>
      <c r="J63" s="110" t="n"/>
      <c r="K63" s="109" t="n"/>
      <c r="L63" s="110" t="n"/>
      <c r="M63" s="111">
        <f>IF(OR($Q63="",$R63="",$V63=1),"",($R63-$Q63)*24)</f>
        <v/>
      </c>
      <c r="N63" s="34" t="n"/>
      <c r="O63" s="22">
        <f>IF(OR($B63="",7&gt;$O$10),"",IF($AB63=1,"! CHECK LINK",IF($V63=1,"! CHECK DATES",IF($S63=1,IF($R63="","Completed",IF($R63&lt;$D63,"Completed - Ahead",IF($R63&lt;=$D63+1/1440,"Completed - On Time","Completed - Delayed"))),IF($Q63&lt;&gt;"",IF($Y63&lt;=0.1,"In Progress - On Track","In Progress - BEHIND"),IF($M$5&lt;$C63,"Not Started","NOT STARTED - LATE"))))))</f>
        <v/>
      </c>
      <c r="P63" s="35" t="n"/>
      <c r="Q63">
        <f>IF($I63="","",$I63+IF($J63="",0,$J63))</f>
        <v/>
      </c>
      <c r="R63">
        <f>IF($K63="","",$K63+IF($L63="",0,$L63))</f>
        <v/>
      </c>
      <c r="S63">
        <f>IF($V63=1,0,IF($R63&lt;&gt;"",1,IF($N63="",0,$N63)))</f>
        <v/>
      </c>
      <c r="T63">
        <f>IF(OR($B63="",$E63=0),0,MEDIAN(0,($M$5-$C63)/($E63/24),1))</f>
        <v/>
      </c>
      <c r="U63">
        <f>($S63-$T63)*$E63</f>
        <v/>
      </c>
      <c r="V63">
        <f>IF(OR(AND($Q63&lt;&gt;"",$Q63&lt;$C$8),AND($Q63&lt;&gt;"",$R63&lt;&gt;"",$R63&lt;$Q63),AND($R63&lt;&gt;"",$Q63="")),1,0)</f>
        <v/>
      </c>
      <c r="W63">
        <f>IF($B63="","",IF($S63=1,IF($R63&lt;&gt;"",$R63,$D63),IF($Q63&lt;&gt;"",MAX($M$5,$Q63)+$E63*(1-$S63)/24,MAX($M$5,$C63)+$E63/24)))</f>
        <v/>
      </c>
      <c r="X63">
        <f>IF($B63="","",ROUND(($W63-$D63)*24,1))</f>
        <v/>
      </c>
      <c r="Y63">
        <f>IF($B63="","",IF($Q63&lt;&gt;"",$X63,IF($X63&gt;0,MAX($X63,IF($Y62="",0,IF($Y62&gt;0,$Y62-MAX(0,($C63-$D62)*24),$Y62))),IF($Y62="",0,IF($Y62&gt;0,$Y62-MAX(0,($C63-$D62)*24),$Y62)))))</f>
        <v/>
      </c>
      <c r="AB63">
        <f>IF(AND($B63&lt;&gt;"",$F63&gt;=7),1,0)</f>
        <v/>
      </c>
    </row>
    <row r="64" ht="19.5" customHeight="1">
      <c r="A64" s="24">
        <f>IF(OR($B64="",8&gt;$O$10),"",8)</f>
        <v/>
      </c>
      <c r="B64" s="25" t="inlineStr">
        <is>
          <t>Installation of new precast culvert</t>
        </is>
      </c>
      <c r="C64" s="106">
        <f>IF(OR($B64="",8&gt;$O$10),"",IF($F64=0,$C$8,IF($G64="SS",OFFSET($C$56,$F64,0)+$H64/24,IF($G64="FF",OFFSET($D$56,$F64,0)+$H64/24-$E64/24,IF($G64="SF",OFFSET($C$56,$F64,0)+$H64/24-$E64/24,OFFSET($D$56,$F64,0)+$H64/24)))))</f>
        <v/>
      </c>
      <c r="D64" s="106">
        <f>IF(OR($B64="",8&gt;$O$10),"",$C64+$E64/24)</f>
        <v/>
      </c>
      <c r="E64" s="107" t="n">
        <v>3</v>
      </c>
      <c r="F64" s="28" t="n">
        <v>7</v>
      </c>
      <c r="G64" s="29" t="inlineStr">
        <is>
          <t>FS</t>
        </is>
      </c>
      <c r="H64" s="108" t="n">
        <v>0</v>
      </c>
      <c r="I64" s="109" t="n"/>
      <c r="J64" s="110" t="n"/>
      <c r="K64" s="109" t="n"/>
      <c r="L64" s="110" t="n"/>
      <c r="M64" s="111">
        <f>IF(OR($Q64="",$R64="",$V64=1),"",($R64-$Q64)*24)</f>
        <v/>
      </c>
      <c r="N64" s="34" t="n"/>
      <c r="O64" s="22">
        <f>IF(OR($B64="",8&gt;$O$10),"",IF($AB64=1,"! CHECK LINK",IF($V64=1,"! CHECK DATES",IF($S64=1,IF($R64="","Completed",IF($R64&lt;$D64,"Completed - Ahead",IF($R64&lt;=$D64+1/1440,"Completed - On Time","Completed - Delayed"))),IF($Q64&lt;&gt;"",IF($Y64&lt;=0.1,"In Progress - On Track","In Progress - BEHIND"),IF($M$5&lt;$C64,"Not Started","NOT STARTED - LATE"))))))</f>
        <v/>
      </c>
      <c r="P64" s="35" t="n"/>
      <c r="Q64">
        <f>IF($I64="","",$I64+IF($J64="",0,$J64))</f>
        <v/>
      </c>
      <c r="R64">
        <f>IF($K64="","",$K64+IF($L64="",0,$L64))</f>
        <v/>
      </c>
      <c r="S64">
        <f>IF($V64=1,0,IF($R64&lt;&gt;"",1,IF($N64="",0,$N64)))</f>
        <v/>
      </c>
      <c r="T64">
        <f>IF(OR($B64="",$E64=0),0,MEDIAN(0,($M$5-$C64)/($E64/24),1))</f>
        <v/>
      </c>
      <c r="U64">
        <f>($S64-$T64)*$E64</f>
        <v/>
      </c>
      <c r="V64">
        <f>IF(OR(AND($Q64&lt;&gt;"",$Q64&lt;$C$8),AND($Q64&lt;&gt;"",$R64&lt;&gt;"",$R64&lt;$Q64),AND($R64&lt;&gt;"",$Q64="")),1,0)</f>
        <v/>
      </c>
      <c r="W64">
        <f>IF($B64="","",IF($S64=1,IF($R64&lt;&gt;"",$R64,$D64),IF($Q64&lt;&gt;"",MAX($M$5,$Q64)+$E64*(1-$S64)/24,MAX($M$5,$C64)+$E64/24)))</f>
        <v/>
      </c>
      <c r="X64">
        <f>IF($B64="","",ROUND(($W64-$D64)*24,1))</f>
        <v/>
      </c>
      <c r="Y64">
        <f>IF($B64="","",IF($Q64&lt;&gt;"",$X64,IF($X64&gt;0,MAX($X64,IF($Y63="",0,IF($Y63&gt;0,$Y63-MAX(0,($C64-$D63)*24),$Y63))),IF($Y63="",0,IF($Y63&gt;0,$Y63-MAX(0,($C64-$D63)*24),$Y63)))))</f>
        <v/>
      </c>
      <c r="AB64">
        <f>IF(AND($B64&lt;&gt;"",$F64&gt;=8),1,0)</f>
        <v/>
      </c>
    </row>
    <row r="65" ht="19.5" customHeight="1">
      <c r="A65" s="24">
        <f>IF(OR($B65="",9&gt;$O$10),"",9)</f>
        <v/>
      </c>
      <c r="B65" s="25" t="inlineStr">
        <is>
          <t>Apply sealant to the culvert</t>
        </is>
      </c>
      <c r="C65" s="106">
        <f>IF(OR($B65="",9&gt;$O$10),"",IF($F65=0,$C$8,IF($G65="SS",OFFSET($C$56,$F65,0)+$H65/24,IF($G65="FF",OFFSET($D$56,$F65,0)+$H65/24-$E65/24,IF($G65="SF",OFFSET($C$56,$F65,0)+$H65/24-$E65/24,OFFSET($D$56,$F65,0)+$H65/24)))))</f>
        <v/>
      </c>
      <c r="D65" s="106">
        <f>IF(OR($B65="",9&gt;$O$10),"",$C65+$E65/24)</f>
        <v/>
      </c>
      <c r="E65" s="107" t="n">
        <v>1</v>
      </c>
      <c r="F65" s="28" t="n">
        <v>8</v>
      </c>
      <c r="G65" s="29" t="inlineStr">
        <is>
          <t>FS</t>
        </is>
      </c>
      <c r="H65" s="108" t="n">
        <v>0</v>
      </c>
      <c r="I65" s="109" t="n"/>
      <c r="J65" s="110" t="n"/>
      <c r="K65" s="109" t="n"/>
      <c r="L65" s="110" t="n"/>
      <c r="M65" s="111">
        <f>IF(OR($Q65="",$R65="",$V65=1),"",($R65-$Q65)*24)</f>
        <v/>
      </c>
      <c r="N65" s="34" t="n"/>
      <c r="O65" s="22">
        <f>IF(OR($B65="",9&gt;$O$10),"",IF($AB65=1,"! CHECK LINK",IF($V65=1,"! CHECK DATES",IF($S65=1,IF($R65="","Completed",IF($R65&lt;$D65,"Completed - Ahead",IF($R65&lt;=$D65+1/1440,"Completed - On Time","Completed - Delayed"))),IF($Q65&lt;&gt;"",IF($Y65&lt;=0.1,"In Progress - On Track","In Progress - BEHIND"),IF($M$5&lt;$C65,"Not Started","NOT STARTED - LATE"))))))</f>
        <v/>
      </c>
      <c r="P65" s="35" t="n"/>
      <c r="Q65">
        <f>IF($I65="","",$I65+IF($J65="",0,$J65))</f>
        <v/>
      </c>
      <c r="R65">
        <f>IF($K65="","",$K65+IF($L65="",0,$L65))</f>
        <v/>
      </c>
      <c r="S65">
        <f>IF($V65=1,0,IF($R65&lt;&gt;"",1,IF($N65="",0,$N65)))</f>
        <v/>
      </c>
      <c r="T65">
        <f>IF(OR($B65="",$E65=0),0,MEDIAN(0,($M$5-$C65)/($E65/24),1))</f>
        <v/>
      </c>
      <c r="U65">
        <f>($S65-$T65)*$E65</f>
        <v/>
      </c>
      <c r="V65">
        <f>IF(OR(AND($Q65&lt;&gt;"",$Q65&lt;$C$8),AND($Q65&lt;&gt;"",$R65&lt;&gt;"",$R65&lt;$Q65),AND($R65&lt;&gt;"",$Q65="")),1,0)</f>
        <v/>
      </c>
      <c r="W65">
        <f>IF($B65="","",IF($S65=1,IF($R65&lt;&gt;"",$R65,$D65),IF($Q65&lt;&gt;"",MAX($M$5,$Q65)+$E65*(1-$S65)/24,MAX($M$5,$C65)+$E65/24)))</f>
        <v/>
      </c>
      <c r="X65">
        <f>IF($B65="","",ROUND(($W65-$D65)*24,1))</f>
        <v/>
      </c>
      <c r="Y65">
        <f>IF($B65="","",IF($Q65&lt;&gt;"",$X65,IF($X65&gt;0,MAX($X65,IF($Y64="",0,IF($Y64&gt;0,$Y64-MAX(0,($C65-$D64)*24),$Y64))),IF($Y64="",0,IF($Y64&gt;0,$Y64-MAX(0,($C65-$D64)*24),$Y64)))))</f>
        <v/>
      </c>
      <c r="AB65">
        <f>IF(AND($B65&lt;&gt;"",$F65&gt;=9),1,0)</f>
        <v/>
      </c>
    </row>
    <row r="66" ht="19.5" customHeight="1">
      <c r="A66" s="24">
        <f>IF(OR($B66="",10&gt;$O$10),"",10)</f>
        <v/>
      </c>
      <c r="B66" s="25" t="inlineStr">
        <is>
          <t>Backfill around culvert to subgrade level</t>
        </is>
      </c>
      <c r="C66" s="106">
        <f>IF(OR($B66="",10&gt;$O$10),"",IF($F66=0,$C$8,IF($G66="SS",OFFSET($C$56,$F66,0)+$H66/24,IF($G66="FF",OFFSET($D$56,$F66,0)+$H66/24-$E66/24,IF($G66="SF",OFFSET($C$56,$F66,0)+$H66/24-$E66/24,OFFSET($D$56,$F66,0)+$H66/24)))))</f>
        <v/>
      </c>
      <c r="D66" s="106">
        <f>IF(OR($B66="",10&gt;$O$10),"",$C66+$E66/24)</f>
        <v/>
      </c>
      <c r="E66" s="107" t="n">
        <v>3</v>
      </c>
      <c r="F66" s="28" t="n">
        <v>9</v>
      </c>
      <c r="G66" s="29" t="inlineStr">
        <is>
          <t>FS</t>
        </is>
      </c>
      <c r="H66" s="108" t="n">
        <v>0</v>
      </c>
      <c r="I66" s="109" t="n"/>
      <c r="J66" s="110" t="n"/>
      <c r="K66" s="109" t="n"/>
      <c r="L66" s="110" t="n"/>
      <c r="M66" s="111">
        <f>IF(OR($Q66="",$R66="",$V66=1),"",($R66-$Q66)*24)</f>
        <v/>
      </c>
      <c r="N66" s="34" t="n"/>
      <c r="O66" s="22">
        <f>IF(OR($B66="",10&gt;$O$10),"",IF($AB66=1,"! CHECK LINK",IF($V66=1,"! CHECK DATES",IF($S66=1,IF($R66="","Completed",IF($R66&lt;$D66,"Completed - Ahead",IF($R66&lt;=$D66+1/1440,"Completed - On Time","Completed - Delayed"))),IF($Q66&lt;&gt;"",IF($Y66&lt;=0.1,"In Progress - On Track","In Progress - BEHIND"),IF($M$5&lt;$C66,"Not Started","NOT STARTED - LATE"))))))</f>
        <v/>
      </c>
      <c r="P66" s="35" t="n"/>
      <c r="Q66">
        <f>IF($I66="","",$I66+IF($J66="",0,$J66))</f>
        <v/>
      </c>
      <c r="R66">
        <f>IF($K66="","",$K66+IF($L66="",0,$L66))</f>
        <v/>
      </c>
      <c r="S66">
        <f>IF($V66=1,0,IF($R66&lt;&gt;"",1,IF($N66="",0,$N66)))</f>
        <v/>
      </c>
      <c r="T66">
        <f>IF(OR($B66="",$E66=0),0,MEDIAN(0,($M$5-$C66)/($E66/24),1))</f>
        <v/>
      </c>
      <c r="U66">
        <f>($S66-$T66)*$E66</f>
        <v/>
      </c>
      <c r="V66">
        <f>IF(OR(AND($Q66&lt;&gt;"",$Q66&lt;$C$8),AND($Q66&lt;&gt;"",$R66&lt;&gt;"",$R66&lt;$Q66),AND($R66&lt;&gt;"",$Q66="")),1,0)</f>
        <v/>
      </c>
      <c r="W66">
        <f>IF($B66="","",IF($S66=1,IF($R66&lt;&gt;"",$R66,$D66),IF($Q66&lt;&gt;"",MAX($M$5,$Q66)+$E66*(1-$S66)/24,MAX($M$5,$C66)+$E66/24)))</f>
        <v/>
      </c>
      <c r="X66">
        <f>IF($B66="","",ROUND(($W66-$D66)*24,1))</f>
        <v/>
      </c>
      <c r="Y66">
        <f>IF($B66="","",IF($Q66&lt;&gt;"",$X66,IF($X66&gt;0,MAX($X66,IF($Y65="",0,IF($Y65&gt;0,$Y65-MAX(0,($C66-$D65)*24),$Y65))),IF($Y65="",0,IF($Y65&gt;0,$Y65-MAX(0,($C66-$D65)*24),$Y65)))))</f>
        <v/>
      </c>
      <c r="AB66">
        <f>IF(AND($B66&lt;&gt;"",$F66&gt;=10),1,0)</f>
        <v/>
      </c>
    </row>
    <row r="67" ht="19.5" customHeight="1">
      <c r="A67" s="24">
        <f>IF(OR($B67="",11&gt;$O$10),"",11)</f>
        <v/>
      </c>
      <c r="B67" s="25" t="inlineStr">
        <is>
          <t>Backfill Subgrade</t>
        </is>
      </c>
      <c r="C67" s="106">
        <f>IF(OR($B67="",11&gt;$O$10),"",IF($F67=0,$C$8,IF($G67="SS",OFFSET($C$56,$F67,0)+$H67/24,IF($G67="FF",OFFSET($D$56,$F67,0)+$H67/24-$E67/24,IF($G67="SF",OFFSET($C$56,$F67,0)+$H67/24-$E67/24,OFFSET($D$56,$F67,0)+$H67/24)))))</f>
        <v/>
      </c>
      <c r="D67" s="106">
        <f>IF(OR($B67="",11&gt;$O$10),"",$C67+$E67/24)</f>
        <v/>
      </c>
      <c r="E67" s="107" t="n">
        <v>1</v>
      </c>
      <c r="F67" s="28" t="n">
        <v>10</v>
      </c>
      <c r="G67" s="29" t="inlineStr">
        <is>
          <t>FS</t>
        </is>
      </c>
      <c r="H67" s="108" t="n">
        <v>0</v>
      </c>
      <c r="I67" s="109" t="n"/>
      <c r="J67" s="110" t="n"/>
      <c r="K67" s="109" t="n"/>
      <c r="L67" s="110" t="n"/>
      <c r="M67" s="111">
        <f>IF(OR($Q67="",$R67="",$V67=1),"",($R67-$Q67)*24)</f>
        <v/>
      </c>
      <c r="N67" s="34" t="n"/>
      <c r="O67" s="22">
        <f>IF(OR($B67="",11&gt;$O$10),"",IF($AB67=1,"! CHECK LINK",IF($V67=1,"! CHECK DATES",IF($S67=1,IF($R67="","Completed",IF($R67&lt;$D67,"Completed - Ahead",IF($R67&lt;=$D67+1/1440,"Completed - On Time","Completed - Delayed"))),IF($Q67&lt;&gt;"",IF($Y67&lt;=0.1,"In Progress - On Track","In Progress - BEHIND"),IF($M$5&lt;$C67,"Not Started","NOT STARTED - LATE"))))))</f>
        <v/>
      </c>
      <c r="P67" s="35" t="n"/>
      <c r="Q67">
        <f>IF($I67="","",$I67+IF($J67="",0,$J67))</f>
        <v/>
      </c>
      <c r="R67">
        <f>IF($K67="","",$K67+IF($L67="",0,$L67))</f>
        <v/>
      </c>
      <c r="S67">
        <f>IF($V67=1,0,IF($R67&lt;&gt;"",1,IF($N67="",0,$N67)))</f>
        <v/>
      </c>
      <c r="T67">
        <f>IF(OR($B67="",$E67=0),0,MEDIAN(0,($M$5-$C67)/($E67/24),1))</f>
        <v/>
      </c>
      <c r="U67">
        <f>($S67-$T67)*$E67</f>
        <v/>
      </c>
      <c r="V67">
        <f>IF(OR(AND($Q67&lt;&gt;"",$Q67&lt;$C$8),AND($Q67&lt;&gt;"",$R67&lt;&gt;"",$R67&lt;$Q67),AND($R67&lt;&gt;"",$Q67="")),1,0)</f>
        <v/>
      </c>
      <c r="W67">
        <f>IF($B67="","",IF($S67=1,IF($R67&lt;&gt;"",$R67,$D67),IF($Q67&lt;&gt;"",MAX($M$5,$Q67)+$E67*(1-$S67)/24,MAX($M$5,$C67)+$E67/24)))</f>
        <v/>
      </c>
      <c r="X67">
        <f>IF($B67="","",ROUND(($W67-$D67)*24,1))</f>
        <v/>
      </c>
      <c r="Y67">
        <f>IF($B67="","",IF($Q67&lt;&gt;"",$X67,IF($X67&gt;0,MAX($X67,IF($Y66="",0,IF($Y66&gt;0,$Y66-MAX(0,($C67-$D66)*24),$Y66))),IF($Y66="",0,IF($Y66&gt;0,$Y66-MAX(0,($C67-$D66)*24),$Y66)))))</f>
        <v/>
      </c>
      <c r="AB67">
        <f>IF(AND($B67&lt;&gt;"",$F67&gt;=11),1,0)</f>
        <v/>
      </c>
    </row>
    <row r="68" ht="19.5" customHeight="1">
      <c r="A68" s="24">
        <f>IF(OR($B68="",12&gt;$O$10),"",12)</f>
        <v/>
      </c>
      <c r="B68" s="25" t="inlineStr">
        <is>
          <t>First layer of ballast (Line 1)</t>
        </is>
      </c>
      <c r="C68" s="106">
        <f>IF(OR($B68="",12&gt;$O$10),"",IF($F68=0,$C$8,IF($G68="SS",OFFSET($C$56,$F68,0)+$H68/24,IF($G68="FF",OFFSET($D$56,$F68,0)+$H68/24-$E68/24,IF($G68="SF",OFFSET($C$56,$F68,0)+$H68/24-$E68/24,OFFSET($D$56,$F68,0)+$H68/24)))))</f>
        <v/>
      </c>
      <c r="D68" s="106">
        <f>IF(OR($B68="",12&gt;$O$10),"",$C68+$E68/24)</f>
        <v/>
      </c>
      <c r="E68" s="107" t="n">
        <v>1</v>
      </c>
      <c r="F68" s="28" t="n">
        <v>11</v>
      </c>
      <c r="G68" s="29" t="inlineStr">
        <is>
          <t>FS</t>
        </is>
      </c>
      <c r="H68" s="108" t="n">
        <v>0</v>
      </c>
      <c r="I68" s="109" t="n"/>
      <c r="J68" s="110" t="n"/>
      <c r="K68" s="109" t="n"/>
      <c r="L68" s="110" t="n"/>
      <c r="M68" s="111">
        <f>IF(OR($Q68="",$R68="",$V68=1),"",($R68-$Q68)*24)</f>
        <v/>
      </c>
      <c r="N68" s="34" t="n"/>
      <c r="O68" s="22">
        <f>IF(OR($B68="",12&gt;$O$10),"",IF($AB68=1,"! CHECK LINK",IF($V68=1,"! CHECK DATES",IF($S68=1,IF($R68="","Completed",IF($R68&lt;$D68,"Completed - Ahead",IF($R68&lt;=$D68+1/1440,"Completed - On Time","Completed - Delayed"))),IF($Q68&lt;&gt;"",IF($Y68&lt;=0.1,"In Progress - On Track","In Progress - BEHIND"),IF($M$5&lt;$C68,"Not Started","NOT STARTED - LATE"))))))</f>
        <v/>
      </c>
      <c r="P68" s="35" t="n"/>
      <c r="Q68">
        <f>IF($I68="","",$I68+IF($J68="",0,$J68))</f>
        <v/>
      </c>
      <c r="R68">
        <f>IF($K68="","",$K68+IF($L68="",0,$L68))</f>
        <v/>
      </c>
      <c r="S68">
        <f>IF($V68=1,0,IF($R68&lt;&gt;"",1,IF($N68="",0,$N68)))</f>
        <v/>
      </c>
      <c r="T68">
        <f>IF(OR($B68="",$E68=0),0,MEDIAN(0,($M$5-$C68)/($E68/24),1))</f>
        <v/>
      </c>
      <c r="U68">
        <f>($S68-$T68)*$E68</f>
        <v/>
      </c>
      <c r="V68">
        <f>IF(OR(AND($Q68&lt;&gt;"",$Q68&lt;$C$8),AND($Q68&lt;&gt;"",$R68&lt;&gt;"",$R68&lt;$Q68),AND($R68&lt;&gt;"",$Q68="")),1,0)</f>
        <v/>
      </c>
      <c r="W68">
        <f>IF($B68="","",IF($S68=1,IF($R68&lt;&gt;"",$R68,$D68),IF($Q68&lt;&gt;"",MAX($M$5,$Q68)+$E68*(1-$S68)/24,MAX($M$5,$C68)+$E68/24)))</f>
        <v/>
      </c>
      <c r="X68">
        <f>IF($B68="","",ROUND(($W68-$D68)*24,1))</f>
        <v/>
      </c>
      <c r="Y68">
        <f>IF($B68="","",IF($Q68&lt;&gt;"",$X68,IF($X68&gt;0,MAX($X68,IF($Y67="",0,IF($Y67&gt;0,$Y67-MAX(0,($C68-$D67)*24),$Y67))),IF($Y67="",0,IF($Y67&gt;0,$Y67-MAX(0,($C68-$D67)*24),$Y67)))))</f>
        <v/>
      </c>
      <c r="AB68">
        <f>IF(AND($B68&lt;&gt;"",$F68&gt;=12),1,0)</f>
        <v/>
      </c>
    </row>
    <row r="69" ht="19.5" customHeight="1">
      <c r="A69" s="24">
        <f>IF(OR($B69="",13&gt;$O$10),"",13)</f>
        <v/>
      </c>
      <c r="B69" s="25" t="inlineStr">
        <is>
          <t>First layer of ballast (Line 3)</t>
        </is>
      </c>
      <c r="C69" s="106">
        <f>IF(OR($B69="",13&gt;$O$10),"",IF($F69=0,$C$8,IF($G69="SS",OFFSET($C$56,$F69,0)+$H69/24,IF($G69="FF",OFFSET($D$56,$F69,0)+$H69/24-$E69/24,IF($G69="SF",OFFSET($C$56,$F69,0)+$H69/24-$E69/24,OFFSET($D$56,$F69,0)+$H69/24)))))</f>
        <v/>
      </c>
      <c r="D69" s="106">
        <f>IF(OR($B69="",13&gt;$O$10),"",$C69+$E69/24)</f>
        <v/>
      </c>
      <c r="E69" s="107" t="n">
        <v>1</v>
      </c>
      <c r="F69" s="28" t="n">
        <v>12</v>
      </c>
      <c r="G69" s="29" t="inlineStr">
        <is>
          <t>FS</t>
        </is>
      </c>
      <c r="H69" s="108" t="n">
        <v>0</v>
      </c>
      <c r="I69" s="109" t="n"/>
      <c r="J69" s="110" t="n"/>
      <c r="K69" s="109" t="n"/>
      <c r="L69" s="110" t="n"/>
      <c r="M69" s="111">
        <f>IF(OR($Q69="",$R69="",$V69=1),"",($R69-$Q69)*24)</f>
        <v/>
      </c>
      <c r="N69" s="34" t="n"/>
      <c r="O69" s="22">
        <f>IF(OR($B69="",13&gt;$O$10),"",IF($AB69=1,"! CHECK LINK",IF($V69=1,"! CHECK DATES",IF($S69=1,IF($R69="","Completed",IF($R69&lt;$D69,"Completed - Ahead",IF($R69&lt;=$D69+1/1440,"Completed - On Time","Completed - Delayed"))),IF($Q69&lt;&gt;"",IF($Y69&lt;=0.1,"In Progress - On Track","In Progress - BEHIND"),IF($M$5&lt;$C69,"Not Started","NOT STARTED - LATE"))))))</f>
        <v/>
      </c>
      <c r="P69" s="35" t="n"/>
      <c r="Q69">
        <f>IF($I69="","",$I69+IF($J69="",0,$J69))</f>
        <v/>
      </c>
      <c r="R69">
        <f>IF($K69="","",$K69+IF($L69="",0,$L69))</f>
        <v/>
      </c>
      <c r="S69">
        <f>IF($V69=1,0,IF($R69&lt;&gt;"",1,IF($N69="",0,$N69)))</f>
        <v/>
      </c>
      <c r="T69">
        <f>IF(OR($B69="",$E69=0),0,MEDIAN(0,($M$5-$C69)/($E69/24),1))</f>
        <v/>
      </c>
      <c r="U69">
        <f>($S69-$T69)*$E69</f>
        <v/>
      </c>
      <c r="V69">
        <f>IF(OR(AND($Q69&lt;&gt;"",$Q69&lt;$C$8),AND($Q69&lt;&gt;"",$R69&lt;&gt;"",$R69&lt;$Q69),AND($R69&lt;&gt;"",$Q69="")),1,0)</f>
        <v/>
      </c>
      <c r="W69">
        <f>IF($B69="","",IF($S69=1,IF($R69&lt;&gt;"",$R69,$D69),IF($Q69&lt;&gt;"",MAX($M$5,$Q69)+$E69*(1-$S69)/24,MAX($M$5,$C69)+$E69/24)))</f>
        <v/>
      </c>
      <c r="X69">
        <f>IF($B69="","",ROUND(($W69-$D69)*24,1))</f>
        <v/>
      </c>
      <c r="Y69">
        <f>IF($B69="","",IF($Q69&lt;&gt;"",$X69,IF($X69&gt;0,MAX($X69,IF($Y68="",0,IF($Y68&gt;0,$Y68-MAX(0,($C69-$D68)*24),$Y68))),IF($Y68="",0,IF($Y68&gt;0,$Y68-MAX(0,($C69-$D68)*24),$Y68)))))</f>
        <v/>
      </c>
      <c r="AB69">
        <f>IF(AND($B69&lt;&gt;"",$F69&gt;=13),1,0)</f>
        <v/>
      </c>
    </row>
    <row r="70" ht="19.5" customHeight="1">
      <c r="A70" s="24">
        <f>IF(OR($B70="",14&gt;$O$10),"",14)</f>
        <v/>
      </c>
      <c r="B70" s="25" t="inlineStr">
        <is>
          <t>Track installation (Line 1)</t>
        </is>
      </c>
      <c r="C70" s="106">
        <f>IF(OR($B70="",14&gt;$O$10),"",IF($F70=0,$C$8,IF($G70="SS",OFFSET($C$56,$F70,0)+$H70/24,IF($G70="FF",OFFSET($D$56,$F70,0)+$H70/24-$E70/24,IF($G70="SF",OFFSET($C$56,$F70,0)+$H70/24-$E70/24,OFFSET($D$56,$F70,0)+$H70/24)))))</f>
        <v/>
      </c>
      <c r="D70" s="106">
        <f>IF(OR($B70="",14&gt;$O$10),"",$C70+$E70/24)</f>
        <v/>
      </c>
      <c r="E70" s="107" t="n">
        <v>1</v>
      </c>
      <c r="F70" s="28" t="n">
        <v>13</v>
      </c>
      <c r="G70" s="29" t="inlineStr">
        <is>
          <t>FS</t>
        </is>
      </c>
      <c r="H70" s="108" t="n">
        <v>0</v>
      </c>
      <c r="I70" s="109" t="n"/>
      <c r="J70" s="110" t="n"/>
      <c r="K70" s="109" t="n"/>
      <c r="L70" s="110" t="n"/>
      <c r="M70" s="111">
        <f>IF(OR($Q70="",$R70="",$V70=1),"",($R70-$Q70)*24)</f>
        <v/>
      </c>
      <c r="N70" s="34" t="n"/>
      <c r="O70" s="22">
        <f>IF(OR($B70="",14&gt;$O$10),"",IF($AB70=1,"! CHECK LINK",IF($V70=1,"! CHECK DATES",IF($S70=1,IF($R70="","Completed",IF($R70&lt;$D70,"Completed - Ahead",IF($R70&lt;=$D70+1/1440,"Completed - On Time","Completed - Delayed"))),IF($Q70&lt;&gt;"",IF($Y70&lt;=0.1,"In Progress - On Track","In Progress - BEHIND"),IF($M$5&lt;$C70,"Not Started","NOT STARTED - LATE"))))))</f>
        <v/>
      </c>
      <c r="P70" s="35" t="n"/>
      <c r="Q70">
        <f>IF($I70="","",$I70+IF($J70="",0,$J70))</f>
        <v/>
      </c>
      <c r="R70">
        <f>IF($K70="","",$K70+IF($L70="",0,$L70))</f>
        <v/>
      </c>
      <c r="S70">
        <f>IF($V70=1,0,IF($R70&lt;&gt;"",1,IF($N70="",0,$N70)))</f>
        <v/>
      </c>
      <c r="T70">
        <f>IF(OR($B70="",$E70=0),0,MEDIAN(0,($M$5-$C70)/($E70/24),1))</f>
        <v/>
      </c>
      <c r="U70">
        <f>($S70-$T70)*$E70</f>
        <v/>
      </c>
      <c r="V70">
        <f>IF(OR(AND($Q70&lt;&gt;"",$Q70&lt;$C$8),AND($Q70&lt;&gt;"",$R70&lt;&gt;"",$R70&lt;$Q70),AND($R70&lt;&gt;"",$Q70="")),1,0)</f>
        <v/>
      </c>
      <c r="W70">
        <f>IF($B70="","",IF($S70=1,IF($R70&lt;&gt;"",$R70,$D70),IF($Q70&lt;&gt;"",MAX($M$5,$Q70)+$E70*(1-$S70)/24,MAX($M$5,$C70)+$E70/24)))</f>
        <v/>
      </c>
      <c r="X70">
        <f>IF($B70="","",ROUND(($W70-$D70)*24,1))</f>
        <v/>
      </c>
      <c r="Y70">
        <f>IF($B70="","",IF($Q70&lt;&gt;"",$X70,IF($X70&gt;0,MAX($X70,IF($Y69="",0,IF($Y69&gt;0,$Y69-MAX(0,($C70-$D69)*24),$Y69))),IF($Y69="",0,IF($Y69&gt;0,$Y69-MAX(0,($C70-$D69)*24),$Y69)))))</f>
        <v/>
      </c>
      <c r="AB70">
        <f>IF(AND($B70&lt;&gt;"",$F70&gt;=14),1,0)</f>
        <v/>
      </c>
    </row>
    <row r="71" ht="19.5" customHeight="1">
      <c r="A71" s="24">
        <f>IF(OR($B71="",15&gt;$O$10),"",15)</f>
        <v/>
      </c>
      <c r="B71" s="25" t="inlineStr">
        <is>
          <t>Track installation (Line 3)</t>
        </is>
      </c>
      <c r="C71" s="106">
        <f>IF(OR($B71="",15&gt;$O$10),"",IF($F71=0,$C$8,IF($G71="SS",OFFSET($C$56,$F71,0)+$H71/24,IF($G71="FF",OFFSET($D$56,$F71,0)+$H71/24-$E71/24,IF($G71="SF",OFFSET($C$56,$F71,0)+$H71/24-$E71/24,OFFSET($D$56,$F71,0)+$H71/24)))))</f>
        <v/>
      </c>
      <c r="D71" s="106">
        <f>IF(OR($B71="",15&gt;$O$10),"",$C71+$E71/24)</f>
        <v/>
      </c>
      <c r="E71" s="107" t="n">
        <v>1</v>
      </c>
      <c r="F71" s="28" t="n">
        <v>14</v>
      </c>
      <c r="G71" s="29" t="inlineStr">
        <is>
          <t>FS</t>
        </is>
      </c>
      <c r="H71" s="108" t="n">
        <v>0</v>
      </c>
      <c r="I71" s="109" t="n"/>
      <c r="J71" s="110" t="n"/>
      <c r="K71" s="109" t="n"/>
      <c r="L71" s="110" t="n"/>
      <c r="M71" s="111">
        <f>IF(OR($Q71="",$R71="",$V71=1),"",($R71-$Q71)*24)</f>
        <v/>
      </c>
      <c r="N71" s="34" t="n"/>
      <c r="O71" s="22">
        <f>IF(OR($B71="",15&gt;$O$10),"",IF($AB71=1,"! CHECK LINK",IF($V71=1,"! CHECK DATES",IF($S71=1,IF($R71="","Completed",IF($R71&lt;$D71,"Completed - Ahead",IF($R71&lt;=$D71+1/1440,"Completed - On Time","Completed - Delayed"))),IF($Q71&lt;&gt;"",IF($Y71&lt;=0.1,"In Progress - On Track","In Progress - BEHIND"),IF($M$5&lt;$C71,"Not Started","NOT STARTED - LATE"))))))</f>
        <v/>
      </c>
      <c r="P71" s="35" t="n"/>
      <c r="Q71">
        <f>IF($I71="","",$I71+IF($J71="",0,$J71))</f>
        <v/>
      </c>
      <c r="R71">
        <f>IF($K71="","",$K71+IF($L71="",0,$L71))</f>
        <v/>
      </c>
      <c r="S71">
        <f>IF($V71=1,0,IF($R71&lt;&gt;"",1,IF($N71="",0,$N71)))</f>
        <v/>
      </c>
      <c r="T71">
        <f>IF(OR($B71="",$E71=0),0,MEDIAN(0,($M$5-$C71)/($E71/24),1))</f>
        <v/>
      </c>
      <c r="U71">
        <f>($S71-$T71)*$E71</f>
        <v/>
      </c>
      <c r="V71">
        <f>IF(OR(AND($Q71&lt;&gt;"",$Q71&lt;$C$8),AND($Q71&lt;&gt;"",$R71&lt;&gt;"",$R71&lt;$Q71),AND($R71&lt;&gt;"",$Q71="")),1,0)</f>
        <v/>
      </c>
      <c r="W71">
        <f>IF($B71="","",IF($S71=1,IF($R71&lt;&gt;"",$R71,$D71),IF($Q71&lt;&gt;"",MAX($M$5,$Q71)+$E71*(1-$S71)/24,MAX($M$5,$C71)+$E71/24)))</f>
        <v/>
      </c>
      <c r="X71">
        <f>IF($B71="","",ROUND(($W71-$D71)*24,1))</f>
        <v/>
      </c>
      <c r="Y71">
        <f>IF($B71="","",IF($Q71&lt;&gt;"",$X71,IF($X71&gt;0,MAX($X71,IF($Y70="",0,IF($Y70&gt;0,$Y70-MAX(0,($C71-$D70)*24),$Y70))),IF($Y70="",0,IF($Y70&gt;0,$Y70-MAX(0,($C71-$D70)*24),$Y70)))))</f>
        <v/>
      </c>
      <c r="AB71">
        <f>IF(AND($B71&lt;&gt;"",$F71&gt;=15),1,0)</f>
        <v/>
      </c>
    </row>
    <row r="72" ht="19.5" customHeight="1">
      <c r="A72" s="24">
        <f>IF(OR($B72="",16&gt;$O$10),"",16)</f>
        <v/>
      </c>
      <c r="B72" s="25" t="inlineStr">
        <is>
          <t>1st &amp; 2nd Ballasting / Tamping (Line 1)</t>
        </is>
      </c>
      <c r="C72" s="106">
        <f>IF(OR($B72="",16&gt;$O$10),"",IF($F72=0,$C$8,IF($G72="SS",OFFSET($C$56,$F72,0)+$H72/24,IF($G72="FF",OFFSET($D$56,$F72,0)+$H72/24-$E72/24,IF($G72="SF",OFFSET($C$56,$F72,0)+$H72/24-$E72/24,OFFSET($D$56,$F72,0)+$H72/24)))))</f>
        <v/>
      </c>
      <c r="D72" s="106">
        <f>IF(OR($B72="",16&gt;$O$10),"",$C72+$E72/24)</f>
        <v/>
      </c>
      <c r="E72" s="107" t="n">
        <v>1</v>
      </c>
      <c r="F72" s="28" t="n">
        <v>15</v>
      </c>
      <c r="G72" s="29" t="inlineStr">
        <is>
          <t>FS</t>
        </is>
      </c>
      <c r="H72" s="108" t="n">
        <v>0</v>
      </c>
      <c r="I72" s="109" t="n"/>
      <c r="J72" s="110" t="n"/>
      <c r="K72" s="109" t="n"/>
      <c r="L72" s="110" t="n"/>
      <c r="M72" s="111">
        <f>IF(OR($Q72="",$R72="",$V72=1),"",($R72-$Q72)*24)</f>
        <v/>
      </c>
      <c r="N72" s="34" t="n"/>
      <c r="O72" s="22">
        <f>IF(OR($B72="",16&gt;$O$10),"",IF($AB72=1,"! CHECK LINK",IF($V72=1,"! CHECK DATES",IF($S72=1,IF($R72="","Completed",IF($R72&lt;$D72,"Completed - Ahead",IF($R72&lt;=$D72+1/1440,"Completed - On Time","Completed - Delayed"))),IF($Q72&lt;&gt;"",IF($Y72&lt;=0.1,"In Progress - On Track","In Progress - BEHIND"),IF($M$5&lt;$C72,"Not Started","NOT STARTED - LATE"))))))</f>
        <v/>
      </c>
      <c r="P72" s="35" t="n"/>
      <c r="Q72">
        <f>IF($I72="","",$I72+IF($J72="",0,$J72))</f>
        <v/>
      </c>
      <c r="R72">
        <f>IF($K72="","",$K72+IF($L72="",0,$L72))</f>
        <v/>
      </c>
      <c r="S72">
        <f>IF($V72=1,0,IF($R72&lt;&gt;"",1,IF($N72="",0,$N72)))</f>
        <v/>
      </c>
      <c r="T72">
        <f>IF(OR($B72="",$E72=0),0,MEDIAN(0,($M$5-$C72)/($E72/24),1))</f>
        <v/>
      </c>
      <c r="U72">
        <f>($S72-$T72)*$E72</f>
        <v/>
      </c>
      <c r="V72">
        <f>IF(OR(AND($Q72&lt;&gt;"",$Q72&lt;$C$8),AND($Q72&lt;&gt;"",$R72&lt;&gt;"",$R72&lt;$Q72),AND($R72&lt;&gt;"",$Q72="")),1,0)</f>
        <v/>
      </c>
      <c r="W72">
        <f>IF($B72="","",IF($S72=1,IF($R72&lt;&gt;"",$R72,$D72),IF($Q72&lt;&gt;"",MAX($M$5,$Q72)+$E72*(1-$S72)/24,MAX($M$5,$C72)+$E72/24)))</f>
        <v/>
      </c>
      <c r="X72">
        <f>IF($B72="","",ROUND(($W72-$D72)*24,1))</f>
        <v/>
      </c>
      <c r="Y72">
        <f>IF($B72="","",IF($Q72&lt;&gt;"",$X72,IF($X72&gt;0,MAX($X72,IF($Y71="",0,IF($Y71&gt;0,$Y71-MAX(0,($C72-$D71)*24),$Y71))),IF($Y71="",0,IF($Y71&gt;0,$Y71-MAX(0,($C72-$D71)*24),$Y71)))))</f>
        <v/>
      </c>
      <c r="AB72">
        <f>IF(AND($B72&lt;&gt;"",$F72&gt;=16),1,0)</f>
        <v/>
      </c>
    </row>
    <row r="73" ht="19.5" customHeight="1">
      <c r="A73" s="24">
        <f>IF(OR($B73="",17&gt;$O$10),"",17)</f>
        <v/>
      </c>
      <c r="B73" s="25" t="inlineStr">
        <is>
          <t>Final Ballasting / Tamping (Line 1)</t>
        </is>
      </c>
      <c r="C73" s="106">
        <f>IF(OR($B73="",17&gt;$O$10),"",IF($F73=0,$C$8,IF($G73="SS",OFFSET($C$56,$F73,0)+$H73/24,IF($G73="FF",OFFSET($D$56,$F73,0)+$H73/24-$E73/24,IF($G73="SF",OFFSET($C$56,$F73,0)+$H73/24-$E73/24,OFFSET($D$56,$F73,0)+$H73/24)))))</f>
        <v/>
      </c>
      <c r="D73" s="106">
        <f>IF(OR($B73="",17&gt;$O$10),"",$C73+$E73/24)</f>
        <v/>
      </c>
      <c r="E73" s="107" t="n">
        <v>1</v>
      </c>
      <c r="F73" s="28" t="n">
        <v>16</v>
      </c>
      <c r="G73" s="29" t="inlineStr">
        <is>
          <t>FS</t>
        </is>
      </c>
      <c r="H73" s="108" t="n">
        <v>0</v>
      </c>
      <c r="I73" s="109" t="n"/>
      <c r="J73" s="110" t="n"/>
      <c r="K73" s="109" t="n"/>
      <c r="L73" s="110" t="n"/>
      <c r="M73" s="111">
        <f>IF(OR($Q73="",$R73="",$V73=1),"",($R73-$Q73)*24)</f>
        <v/>
      </c>
      <c r="N73" s="34" t="n"/>
      <c r="O73" s="22">
        <f>IF(OR($B73="",17&gt;$O$10),"",IF($AB73=1,"! CHECK LINK",IF($V73=1,"! CHECK DATES",IF($S73=1,IF($R73="","Completed",IF($R73&lt;$D73,"Completed - Ahead",IF($R73&lt;=$D73+1/1440,"Completed - On Time","Completed - Delayed"))),IF($Q73&lt;&gt;"",IF($Y73&lt;=0.1,"In Progress - On Track","In Progress - BEHIND"),IF($M$5&lt;$C73,"Not Started","NOT STARTED - LATE"))))))</f>
        <v/>
      </c>
      <c r="P73" s="35" t="n"/>
      <c r="Q73">
        <f>IF($I73="","",$I73+IF($J73="",0,$J73))</f>
        <v/>
      </c>
      <c r="R73">
        <f>IF($K73="","",$K73+IF($L73="",0,$L73))</f>
        <v/>
      </c>
      <c r="S73">
        <f>IF($V73=1,0,IF($R73&lt;&gt;"",1,IF($N73="",0,$N73)))</f>
        <v/>
      </c>
      <c r="T73">
        <f>IF(OR($B73="",$E73=0),0,MEDIAN(0,($M$5-$C73)/($E73/24),1))</f>
        <v/>
      </c>
      <c r="U73">
        <f>($S73-$T73)*$E73</f>
        <v/>
      </c>
      <c r="V73">
        <f>IF(OR(AND($Q73&lt;&gt;"",$Q73&lt;$C$8),AND($Q73&lt;&gt;"",$R73&lt;&gt;"",$R73&lt;$Q73),AND($R73&lt;&gt;"",$Q73="")),1,0)</f>
        <v/>
      </c>
      <c r="W73">
        <f>IF($B73="","",IF($S73=1,IF($R73&lt;&gt;"",$R73,$D73),IF($Q73&lt;&gt;"",MAX($M$5,$Q73)+$E73*(1-$S73)/24,MAX($M$5,$C73)+$E73/24)))</f>
        <v/>
      </c>
      <c r="X73">
        <f>IF($B73="","",ROUND(($W73-$D73)*24,1))</f>
        <v/>
      </c>
      <c r="Y73">
        <f>IF($B73="","",IF($Q73&lt;&gt;"",$X73,IF($X73&gt;0,MAX($X73,IF($Y72="",0,IF($Y72&gt;0,$Y72-MAX(0,($C73-$D72)*24),$Y72))),IF($Y72="",0,IF($Y72&gt;0,$Y72-MAX(0,($C73-$D72)*24),$Y72)))))</f>
        <v/>
      </c>
      <c r="AB73">
        <f>IF(AND($B73&lt;&gt;"",$F73&gt;=17),1,0)</f>
        <v/>
      </c>
    </row>
    <row r="74" ht="19.5" customHeight="1">
      <c r="A74" s="24">
        <f>IF(OR($B74="",18&gt;$O$10),"",18)</f>
        <v/>
      </c>
      <c r="B74" s="25" t="inlineStr">
        <is>
          <t>OTMP moves from line 1 to Line 3 TK 121+000</t>
        </is>
      </c>
      <c r="C74" s="106">
        <f>IF(OR($B74="",18&gt;$O$10),"",IF($F74=0,$C$8,IF($G74="SS",OFFSET($C$56,$F74,0)+$H74/24,IF($G74="FF",OFFSET($D$56,$F74,0)+$H74/24-$E74/24,IF($G74="SF",OFFSET($C$56,$F74,0)+$H74/24-$E74/24,OFFSET($D$56,$F74,0)+$H74/24)))))</f>
        <v/>
      </c>
      <c r="D74" s="106">
        <f>IF(OR($B74="",18&gt;$O$10),"",$C74+$E74/24)</f>
        <v/>
      </c>
      <c r="E74" s="107" t="n">
        <v>1</v>
      </c>
      <c r="F74" s="28" t="n">
        <v>17</v>
      </c>
      <c r="G74" s="29" t="inlineStr">
        <is>
          <t>FS</t>
        </is>
      </c>
      <c r="H74" s="108" t="n">
        <v>0</v>
      </c>
      <c r="I74" s="109" t="n"/>
      <c r="J74" s="110" t="n"/>
      <c r="K74" s="109" t="n"/>
      <c r="L74" s="110" t="n"/>
      <c r="M74" s="111">
        <f>IF(OR($Q74="",$R74="",$V74=1),"",($R74-$Q74)*24)</f>
        <v/>
      </c>
      <c r="N74" s="34" t="n"/>
      <c r="O74" s="22">
        <f>IF(OR($B74="",18&gt;$O$10),"",IF($AB74=1,"! CHECK LINK",IF($V74=1,"! CHECK DATES",IF($S74=1,IF($R74="","Completed",IF($R74&lt;$D74,"Completed - Ahead",IF($R74&lt;=$D74+1/1440,"Completed - On Time","Completed - Delayed"))),IF($Q74&lt;&gt;"",IF($Y74&lt;=0.1,"In Progress - On Track","In Progress - BEHIND"),IF($M$5&lt;$C74,"Not Started","NOT STARTED - LATE"))))))</f>
        <v/>
      </c>
      <c r="P74" s="35" t="n"/>
      <c r="Q74">
        <f>IF($I74="","",$I74+IF($J74="",0,$J74))</f>
        <v/>
      </c>
      <c r="R74">
        <f>IF($K74="","",$K74+IF($L74="",0,$L74))</f>
        <v/>
      </c>
      <c r="S74">
        <f>IF($V74=1,0,IF($R74&lt;&gt;"",1,IF($N74="",0,$N74)))</f>
        <v/>
      </c>
      <c r="T74">
        <f>IF(OR($B74="",$E74=0),0,MEDIAN(0,($M$5-$C74)/($E74/24),1))</f>
        <v/>
      </c>
      <c r="U74">
        <f>($S74-$T74)*$E74</f>
        <v/>
      </c>
      <c r="V74">
        <f>IF(OR(AND($Q74&lt;&gt;"",$Q74&lt;$C$8),AND($Q74&lt;&gt;"",$R74&lt;&gt;"",$R74&lt;$Q74),AND($R74&lt;&gt;"",$Q74="")),1,0)</f>
        <v/>
      </c>
      <c r="W74">
        <f>IF($B74="","",IF($S74=1,IF($R74&lt;&gt;"",$R74,$D74),IF($Q74&lt;&gt;"",MAX($M$5,$Q74)+$E74*(1-$S74)/24,MAX($M$5,$C74)+$E74/24)))</f>
        <v/>
      </c>
      <c r="X74">
        <f>IF($B74="","",ROUND(($W74-$D74)*24,1))</f>
        <v/>
      </c>
      <c r="Y74">
        <f>IF($B74="","",IF($Q74&lt;&gt;"",$X74,IF($X74&gt;0,MAX($X74,IF($Y73="",0,IF($Y73&gt;0,$Y73-MAX(0,($C74-$D73)*24),$Y73))),IF($Y73="",0,IF($Y73&gt;0,$Y73-MAX(0,($C74-$D73)*24),$Y73)))))</f>
        <v/>
      </c>
      <c r="AB74">
        <f>IF(AND($B74&lt;&gt;"",$F74&gt;=18),1,0)</f>
        <v/>
      </c>
    </row>
    <row r="75" ht="19.5" customHeight="1">
      <c r="A75" s="24">
        <f>IF(OR($B75="",19&gt;$O$10),"",19)</f>
        <v/>
      </c>
      <c r="B75" s="25" t="inlineStr">
        <is>
          <t>ATW – 2U (out of destressing) (Line 1)</t>
        </is>
      </c>
      <c r="C75" s="106">
        <f>IF(OR($B75="",19&gt;$O$10),"",IF($F75=0,$C$8,IF($G75="SS",OFFSET($C$56,$F75,0)+$H75/24,IF($G75="FF",OFFSET($D$56,$F75,0)+$H75/24-$E75/24,IF($G75="SF",OFFSET($C$56,$F75,0)+$H75/24-$E75/24,OFFSET($D$56,$F75,0)+$H75/24)))))</f>
        <v/>
      </c>
      <c r="D75" s="106">
        <f>IF(OR($B75="",19&gt;$O$10),"",$C75+$E75/24)</f>
        <v/>
      </c>
      <c r="E75" s="107" t="n">
        <v>2</v>
      </c>
      <c r="F75" s="28" t="n">
        <v>18</v>
      </c>
      <c r="G75" s="29" t="inlineStr">
        <is>
          <t>FS</t>
        </is>
      </c>
      <c r="H75" s="108" t="n">
        <v>0</v>
      </c>
      <c r="I75" s="109" t="n"/>
      <c r="J75" s="110" t="n"/>
      <c r="K75" s="109" t="n"/>
      <c r="L75" s="110" t="n"/>
      <c r="M75" s="111">
        <f>IF(OR($Q75="",$R75="",$V75=1),"",($R75-$Q75)*24)</f>
        <v/>
      </c>
      <c r="N75" s="34" t="n"/>
      <c r="O75" s="22">
        <f>IF(OR($B75="",19&gt;$O$10),"",IF($AB75=1,"! CHECK LINK",IF($V75=1,"! CHECK DATES",IF($S75=1,IF($R75="","Completed",IF($R75&lt;$D75,"Completed - Ahead",IF($R75&lt;=$D75+1/1440,"Completed - On Time","Completed - Delayed"))),IF($Q75&lt;&gt;"",IF($Y75&lt;=0.1,"In Progress - On Track","In Progress - BEHIND"),IF($M$5&lt;$C75,"Not Started","NOT STARTED - LATE"))))))</f>
        <v/>
      </c>
      <c r="P75" s="35" t="n"/>
      <c r="Q75">
        <f>IF($I75="","",$I75+IF($J75="",0,$J75))</f>
        <v/>
      </c>
      <c r="R75">
        <f>IF($K75="","",$K75+IF($L75="",0,$L75))</f>
        <v/>
      </c>
      <c r="S75">
        <f>IF($V75=1,0,IF($R75&lt;&gt;"",1,IF($N75="",0,$N75)))</f>
        <v/>
      </c>
      <c r="T75">
        <f>IF(OR($B75="",$E75=0),0,MEDIAN(0,($M$5-$C75)/($E75/24),1))</f>
        <v/>
      </c>
      <c r="U75">
        <f>($S75-$T75)*$E75</f>
        <v/>
      </c>
      <c r="V75">
        <f>IF(OR(AND($Q75&lt;&gt;"",$Q75&lt;$C$8),AND($Q75&lt;&gt;"",$R75&lt;&gt;"",$R75&lt;$Q75),AND($R75&lt;&gt;"",$Q75="")),1,0)</f>
        <v/>
      </c>
      <c r="W75">
        <f>IF($B75="","",IF($S75=1,IF($R75&lt;&gt;"",$R75,$D75),IF($Q75&lt;&gt;"",MAX($M$5,$Q75)+$E75*(1-$S75)/24,MAX($M$5,$C75)+$E75/24)))</f>
        <v/>
      </c>
      <c r="X75">
        <f>IF($B75="","",ROUND(($W75-$D75)*24,1))</f>
        <v/>
      </c>
      <c r="Y75">
        <f>IF($B75="","",IF($Q75&lt;&gt;"",$X75,IF($X75&gt;0,MAX($X75,IF($Y74="",0,IF($Y74&gt;0,$Y74-MAX(0,($C75-$D74)*24),$Y74))),IF($Y74="",0,IF($Y74&gt;0,$Y74-MAX(0,($C75-$D74)*24),$Y74)))))</f>
        <v/>
      </c>
      <c r="AB75">
        <f>IF(AND($B75&lt;&gt;"",$F75&gt;=19),1,0)</f>
        <v/>
      </c>
    </row>
    <row r="76" ht="19.5" customHeight="1">
      <c r="A76" s="24">
        <f>IF(OR($B76="",20&gt;$O$10),"",20)</f>
        <v/>
      </c>
      <c r="B76" s="25" t="inlineStr">
        <is>
          <t>ATW – 2U (out of destressing) (Line 3)</t>
        </is>
      </c>
      <c r="C76" s="106">
        <f>IF(OR($B76="",20&gt;$O$10),"",IF($F76=0,$C$8,IF($G76="SS",OFFSET($C$56,$F76,0)+$H76/24,IF($G76="FF",OFFSET($D$56,$F76,0)+$H76/24-$E76/24,IF($G76="SF",OFFSET($C$56,$F76,0)+$H76/24-$E76/24,OFFSET($D$56,$F76,0)+$H76/24)))))</f>
        <v/>
      </c>
      <c r="D76" s="106">
        <f>IF(OR($B76="",20&gt;$O$10),"",$C76+$E76/24)</f>
        <v/>
      </c>
      <c r="E76" s="107" t="n">
        <v>2</v>
      </c>
      <c r="F76" s="28" t="n">
        <v>19</v>
      </c>
      <c r="G76" s="29" t="inlineStr">
        <is>
          <t>FS</t>
        </is>
      </c>
      <c r="H76" s="108" t="n">
        <v>0</v>
      </c>
      <c r="I76" s="109" t="n"/>
      <c r="J76" s="110" t="n"/>
      <c r="K76" s="109" t="n"/>
      <c r="L76" s="110" t="n"/>
      <c r="M76" s="111">
        <f>IF(OR($Q76="",$R76="",$V76=1),"",($R76-$Q76)*24)</f>
        <v/>
      </c>
      <c r="N76" s="34" t="n"/>
      <c r="O76" s="22">
        <f>IF(OR($B76="",20&gt;$O$10),"",IF($AB76=1,"! CHECK LINK",IF($V76=1,"! CHECK DATES",IF($S76=1,IF($R76="","Completed",IF($R76&lt;$D76,"Completed - Ahead",IF($R76&lt;=$D76+1/1440,"Completed - On Time","Completed - Delayed"))),IF($Q76&lt;&gt;"",IF($Y76&lt;=0.1,"In Progress - On Track","In Progress - BEHIND"),IF($M$5&lt;$C76,"Not Started","NOT STARTED - LATE"))))))</f>
        <v/>
      </c>
      <c r="P76" s="35" t="n"/>
      <c r="Q76">
        <f>IF($I76="","",$I76+IF($J76="",0,$J76))</f>
        <v/>
      </c>
      <c r="R76">
        <f>IF($K76="","",$K76+IF($L76="",0,$L76))</f>
        <v/>
      </c>
      <c r="S76">
        <f>IF($V76=1,0,IF($R76&lt;&gt;"",1,IF($N76="",0,$N76)))</f>
        <v/>
      </c>
      <c r="T76">
        <f>IF(OR($B76="",$E76=0),0,MEDIAN(0,($M$5-$C76)/($E76/24),1))</f>
        <v/>
      </c>
      <c r="U76">
        <f>($S76-$T76)*$E76</f>
        <v/>
      </c>
      <c r="V76">
        <f>IF(OR(AND($Q76&lt;&gt;"",$Q76&lt;$C$8),AND($Q76&lt;&gt;"",$R76&lt;&gt;"",$R76&lt;$Q76),AND($R76&lt;&gt;"",$Q76="")),1,0)</f>
        <v/>
      </c>
      <c r="W76">
        <f>IF($B76="","",IF($S76=1,IF($R76&lt;&gt;"",$R76,$D76),IF($Q76&lt;&gt;"",MAX($M$5,$Q76)+$E76*(1-$S76)/24,MAX($M$5,$C76)+$E76/24)))</f>
        <v/>
      </c>
      <c r="X76">
        <f>IF($B76="","",ROUND(($W76-$D76)*24,1))</f>
        <v/>
      </c>
      <c r="Y76">
        <f>IF($B76="","",IF($Q76&lt;&gt;"",$X76,IF($X76&gt;0,MAX($X76,IF($Y75="",0,IF($Y75&gt;0,$Y75-MAX(0,($C76-$D75)*24),$Y75))),IF($Y75="",0,IF($Y75&gt;0,$Y75-MAX(0,($C76-$D75)*24),$Y75)))))</f>
        <v/>
      </c>
      <c r="AB76">
        <f>IF(AND($B76&lt;&gt;"",$F76&gt;=20),1,0)</f>
        <v/>
      </c>
    </row>
    <row r="77" ht="19.5" customHeight="1">
      <c r="A77" s="24">
        <f>IF(OR($B77="",21&gt;$O$10),"",21)</f>
        <v/>
      </c>
      <c r="B77" s="25" t="inlineStr">
        <is>
          <t>1st &amp; 2nd Ballasting / Tamping (Line 1)</t>
        </is>
      </c>
      <c r="C77" s="106">
        <f>IF(OR($B77="",21&gt;$O$10),"",IF($F77=0,$C$8,IF($G77="SS",OFFSET($C$56,$F77,0)+$H77/24,IF($G77="FF",OFFSET($D$56,$F77,0)+$H77/24-$E77/24,IF($G77="SF",OFFSET($C$56,$F77,0)+$H77/24-$E77/24,OFFSET($D$56,$F77,0)+$H77/24)))))</f>
        <v/>
      </c>
      <c r="D77" s="106">
        <f>IF(OR($B77="",21&gt;$O$10),"",$C77+$E77/24)</f>
        <v/>
      </c>
      <c r="E77" s="107" t="n">
        <v>1</v>
      </c>
      <c r="F77" s="28" t="n">
        <v>20</v>
      </c>
      <c r="G77" s="29" t="inlineStr">
        <is>
          <t>FS</t>
        </is>
      </c>
      <c r="H77" s="108" t="n">
        <v>0</v>
      </c>
      <c r="I77" s="109" t="n"/>
      <c r="J77" s="110" t="n"/>
      <c r="K77" s="109" t="n"/>
      <c r="L77" s="110" t="n"/>
      <c r="M77" s="111">
        <f>IF(OR($Q77="",$R77="",$V77=1),"",($R77-$Q77)*24)</f>
        <v/>
      </c>
      <c r="N77" s="34" t="n"/>
      <c r="O77" s="22">
        <f>IF(OR($B77="",21&gt;$O$10),"",IF($AB77=1,"! CHECK LINK",IF($V77=1,"! CHECK DATES",IF($S77=1,IF($R77="","Completed",IF($R77&lt;$D77,"Completed - Ahead",IF($R77&lt;=$D77+1/1440,"Completed - On Time","Completed - Delayed"))),IF($Q77&lt;&gt;"",IF($Y77&lt;=0.1,"In Progress - On Track","In Progress - BEHIND"),IF($M$5&lt;$C77,"Not Started","NOT STARTED - LATE"))))))</f>
        <v/>
      </c>
      <c r="P77" s="35" t="n"/>
      <c r="Q77">
        <f>IF($I77="","",$I77+IF($J77="",0,$J77))</f>
        <v/>
      </c>
      <c r="R77">
        <f>IF($K77="","",$K77+IF($L77="",0,$L77))</f>
        <v/>
      </c>
      <c r="S77">
        <f>IF($V77=1,0,IF($R77&lt;&gt;"",1,IF($N77="",0,$N77)))</f>
        <v/>
      </c>
      <c r="T77">
        <f>IF(OR($B77="",$E77=0),0,MEDIAN(0,($M$5-$C77)/($E77/24),1))</f>
        <v/>
      </c>
      <c r="U77">
        <f>($S77-$T77)*$E77</f>
        <v/>
      </c>
      <c r="V77">
        <f>IF(OR(AND($Q77&lt;&gt;"",$Q77&lt;$C$8),AND($Q77&lt;&gt;"",$R77&lt;&gt;"",$R77&lt;$Q77),AND($R77&lt;&gt;"",$Q77="")),1,0)</f>
        <v/>
      </c>
      <c r="W77">
        <f>IF($B77="","",IF($S77=1,IF($R77&lt;&gt;"",$R77,$D77),IF($Q77&lt;&gt;"",MAX($M$5,$Q77)+$E77*(1-$S77)/24,MAX($M$5,$C77)+$E77/24)))</f>
        <v/>
      </c>
      <c r="X77">
        <f>IF($B77="","",ROUND(($W77-$D77)*24,1))</f>
        <v/>
      </c>
      <c r="Y77">
        <f>IF($B77="","",IF($Q77&lt;&gt;"",$X77,IF($X77&gt;0,MAX($X77,IF($Y76="",0,IF($Y76&gt;0,$Y76-MAX(0,($C77-$D76)*24),$Y76))),IF($Y76="",0,IF($Y76&gt;0,$Y76-MAX(0,($C77-$D76)*24),$Y76)))))</f>
        <v/>
      </c>
      <c r="AB77">
        <f>IF(AND($B77&lt;&gt;"",$F77&gt;=21),1,0)</f>
        <v/>
      </c>
    </row>
    <row r="78" ht="19.5" customHeight="1">
      <c r="A78" s="24">
        <f>IF(OR($B78="",22&gt;$O$10),"",22)</f>
        <v/>
      </c>
      <c r="B78" s="25" t="inlineStr">
        <is>
          <t>Final Ballasting / Tamping (Line 3)</t>
        </is>
      </c>
      <c r="C78" s="106">
        <f>IF(OR($B78="",22&gt;$O$10),"",IF($F78=0,$C$8,IF($G78="SS",OFFSET($C$56,$F78,0)+$H78/24,IF($G78="FF",OFFSET($D$56,$F78,0)+$H78/24-$E78/24,IF($G78="SF",OFFSET($C$56,$F78,0)+$H78/24-$E78/24,OFFSET($D$56,$F78,0)+$H78/24)))))</f>
        <v/>
      </c>
      <c r="D78" s="106">
        <f>IF(OR($B78="",22&gt;$O$10),"",$C78+$E78/24)</f>
        <v/>
      </c>
      <c r="E78" s="107" t="n">
        <v>1</v>
      </c>
      <c r="F78" s="28" t="n">
        <v>21</v>
      </c>
      <c r="G78" s="29" t="inlineStr">
        <is>
          <t>FS</t>
        </is>
      </c>
      <c r="H78" s="108" t="n">
        <v>0</v>
      </c>
      <c r="I78" s="109" t="n"/>
      <c r="J78" s="110" t="n"/>
      <c r="K78" s="109" t="n"/>
      <c r="L78" s="110" t="n"/>
      <c r="M78" s="111">
        <f>IF(OR($Q78="",$R78="",$V78=1),"",($R78-$Q78)*24)</f>
        <v/>
      </c>
      <c r="N78" s="34" t="n"/>
      <c r="O78" s="22">
        <f>IF(OR($B78="",22&gt;$O$10),"",IF($AB78=1,"! CHECK LINK",IF($V78=1,"! CHECK DATES",IF($S78=1,IF($R78="","Completed",IF($R78&lt;$D78,"Completed - Ahead",IF($R78&lt;=$D78+1/1440,"Completed - On Time","Completed - Delayed"))),IF($Q78&lt;&gt;"",IF($Y78&lt;=0.1,"In Progress - On Track","In Progress - BEHIND"),IF($M$5&lt;$C78,"Not Started","NOT STARTED - LATE"))))))</f>
        <v/>
      </c>
      <c r="P78" s="35" t="n"/>
      <c r="Q78">
        <f>IF($I78="","",$I78+IF($J78="",0,$J78))</f>
        <v/>
      </c>
      <c r="R78">
        <f>IF($K78="","",$K78+IF($L78="",0,$L78))</f>
        <v/>
      </c>
      <c r="S78">
        <f>IF($V78=1,0,IF($R78&lt;&gt;"",1,IF($N78="",0,$N78)))</f>
        <v/>
      </c>
      <c r="T78">
        <f>IF(OR($B78="",$E78=0),0,MEDIAN(0,($M$5-$C78)/($E78/24),1))</f>
        <v/>
      </c>
      <c r="U78">
        <f>($S78-$T78)*$E78</f>
        <v/>
      </c>
      <c r="V78">
        <f>IF(OR(AND($Q78&lt;&gt;"",$Q78&lt;$C$8),AND($Q78&lt;&gt;"",$R78&lt;&gt;"",$R78&lt;$Q78),AND($R78&lt;&gt;"",$Q78="")),1,0)</f>
        <v/>
      </c>
      <c r="W78">
        <f>IF($B78="","",IF($S78=1,IF($R78&lt;&gt;"",$R78,$D78),IF($Q78&lt;&gt;"",MAX($M$5,$Q78)+$E78*(1-$S78)/24,MAX($M$5,$C78)+$E78/24)))</f>
        <v/>
      </c>
      <c r="X78">
        <f>IF($B78="","",ROUND(($W78-$D78)*24,1))</f>
        <v/>
      </c>
      <c r="Y78">
        <f>IF($B78="","",IF($Q78&lt;&gt;"",$X78,IF($X78&gt;0,MAX($X78,IF($Y77="",0,IF($Y77&gt;0,$Y77-MAX(0,($C78-$D77)*24),$Y77))),IF($Y77="",0,IF($Y77&gt;0,$Y77-MAX(0,($C78-$D77)*24),$Y77)))))</f>
        <v/>
      </c>
      <c r="AB78">
        <f>IF(AND($B78&lt;&gt;"",$F78&gt;=22),1,0)</f>
        <v/>
      </c>
    </row>
    <row r="79" ht="19.5" customHeight="1">
      <c r="A79" s="24">
        <f>IF(OR($B79="",23&gt;$O$10),"",23)</f>
        <v/>
      </c>
      <c r="B79" s="25" t="inlineStr">
        <is>
          <t>OTMP back towards station 29</t>
        </is>
      </c>
      <c r="C79" s="106">
        <f>IF(OR($B79="",23&gt;$O$10),"",IF($F79=0,$C$8,IF($G79="SS",OFFSET($C$56,$F79,0)+$H79/24,IF($G79="FF",OFFSET($D$56,$F79,0)+$H79/24-$E79/24,IF($G79="SF",OFFSET($C$56,$F79,0)+$H79/24-$E79/24,OFFSET($D$56,$F79,0)+$H79/24)))))</f>
        <v/>
      </c>
      <c r="D79" s="106">
        <f>IF(OR($B79="",23&gt;$O$10),"",$C79+$E79/24)</f>
        <v/>
      </c>
      <c r="E79" s="107" t="n">
        <v>2</v>
      </c>
      <c r="F79" s="28" t="n">
        <v>22</v>
      </c>
      <c r="G79" s="29" t="inlineStr">
        <is>
          <t>FS</t>
        </is>
      </c>
      <c r="H79" s="108" t="n">
        <v>0</v>
      </c>
      <c r="I79" s="109" t="n"/>
      <c r="J79" s="110" t="n"/>
      <c r="K79" s="109" t="n"/>
      <c r="L79" s="110" t="n"/>
      <c r="M79" s="111">
        <f>IF(OR($Q79="",$R79="",$V79=1),"",($R79-$Q79)*24)</f>
        <v/>
      </c>
      <c r="N79" s="34" t="n"/>
      <c r="O79" s="22">
        <f>IF(OR($B79="",23&gt;$O$10),"",IF($AB79=1,"! CHECK LINK",IF($V79=1,"! CHECK DATES",IF($S79=1,IF($R79="","Completed",IF($R79&lt;$D79,"Completed - Ahead",IF($R79&lt;=$D79+1/1440,"Completed - On Time","Completed - Delayed"))),IF($Q79&lt;&gt;"",IF($Y79&lt;=0.1,"In Progress - On Track","In Progress - BEHIND"),IF($M$5&lt;$C79,"Not Started","NOT STARTED - LATE"))))))</f>
        <v/>
      </c>
      <c r="P79" s="35" t="n"/>
      <c r="Q79">
        <f>IF($I79="","",$I79+IF($J79="",0,$J79))</f>
        <v/>
      </c>
      <c r="R79">
        <f>IF($K79="","",$K79+IF($L79="",0,$L79))</f>
        <v/>
      </c>
      <c r="S79">
        <f>IF($V79=1,0,IF($R79&lt;&gt;"",1,IF($N79="",0,$N79)))</f>
        <v/>
      </c>
      <c r="T79">
        <f>IF(OR($B79="",$E79=0),0,MEDIAN(0,($M$5-$C79)/($E79/24),1))</f>
        <v/>
      </c>
      <c r="U79">
        <f>($S79-$T79)*$E79</f>
        <v/>
      </c>
      <c r="V79">
        <f>IF(OR(AND($Q79&lt;&gt;"",$Q79&lt;$C$8),AND($Q79&lt;&gt;"",$R79&lt;&gt;"",$R79&lt;$Q79),AND($R79&lt;&gt;"",$Q79="")),1,0)</f>
        <v/>
      </c>
      <c r="W79">
        <f>IF($B79="","",IF($S79=1,IF($R79&lt;&gt;"",$R79,$D79),IF($Q79&lt;&gt;"",MAX($M$5,$Q79)+$E79*(1-$S79)/24,MAX($M$5,$C79)+$E79/24)))</f>
        <v/>
      </c>
      <c r="X79">
        <f>IF($B79="","",ROUND(($W79-$D79)*24,1))</f>
        <v/>
      </c>
      <c r="Y79">
        <f>IF($B79="","",IF($Q79&lt;&gt;"",$X79,IF($X79&gt;0,MAX($X79,IF($Y78="",0,IF($Y78&gt;0,$Y78-MAX(0,($C79-$D78)*24),$Y78))),IF($Y78="",0,IF($Y78&gt;0,$Y78-MAX(0,($C79-$D78)*24),$Y78)))))</f>
        <v/>
      </c>
      <c r="AB79">
        <f>IF(AND($B79&lt;&gt;"",$F79&gt;=23),1,0)</f>
        <v/>
      </c>
    </row>
    <row r="80" ht="19.5" customHeight="1">
      <c r="A80" s="24">
        <f>IF(OR($B80="",24&gt;$O$10),"",24)</f>
        <v/>
      </c>
      <c r="B80" s="25" t="inlineStr">
        <is>
          <t>Destressing (incl. 2 ATW) (Line 1)</t>
        </is>
      </c>
      <c r="C80" s="106">
        <f>IF(OR($B80="",24&gt;$O$10),"",IF($F80=0,$C$8,IF($G80="SS",OFFSET($C$56,$F80,0)+$H80/24,IF($G80="FF",OFFSET($D$56,$F80,0)+$H80/24-$E80/24,IF($G80="SF",OFFSET($C$56,$F80,0)+$H80/24-$E80/24,OFFSET($D$56,$F80,0)+$H80/24)))))</f>
        <v/>
      </c>
      <c r="D80" s="106">
        <f>IF(OR($B80="",24&gt;$O$10),"",$C80+$E80/24)</f>
        <v/>
      </c>
      <c r="E80" s="107" t="n">
        <v>4</v>
      </c>
      <c r="F80" s="28" t="n">
        <v>23</v>
      </c>
      <c r="G80" s="29" t="inlineStr">
        <is>
          <t>FS</t>
        </is>
      </c>
      <c r="H80" s="108" t="n">
        <v>0</v>
      </c>
      <c r="I80" s="109" t="n"/>
      <c r="J80" s="110" t="n"/>
      <c r="K80" s="109" t="n"/>
      <c r="L80" s="110" t="n"/>
      <c r="M80" s="111">
        <f>IF(OR($Q80="",$R80="",$V80=1),"",($R80-$Q80)*24)</f>
        <v/>
      </c>
      <c r="N80" s="34" t="n"/>
      <c r="O80" s="22">
        <f>IF(OR($B80="",24&gt;$O$10),"",IF($AB80=1,"! CHECK LINK",IF($V80=1,"! CHECK DATES",IF($S80=1,IF($R80="","Completed",IF($R80&lt;$D80,"Completed - Ahead",IF($R80&lt;=$D80+1/1440,"Completed - On Time","Completed - Delayed"))),IF($Q80&lt;&gt;"",IF($Y80&lt;=0.1,"In Progress - On Track","In Progress - BEHIND"),IF($M$5&lt;$C80,"Not Started","NOT STARTED - LATE"))))))</f>
        <v/>
      </c>
      <c r="P80" s="35" t="n"/>
      <c r="Q80">
        <f>IF($I80="","",$I80+IF($J80="",0,$J80))</f>
        <v/>
      </c>
      <c r="R80">
        <f>IF($K80="","",$K80+IF($L80="",0,$L80))</f>
        <v/>
      </c>
      <c r="S80">
        <f>IF($V80=1,0,IF($R80&lt;&gt;"",1,IF($N80="",0,$N80)))</f>
        <v/>
      </c>
      <c r="T80">
        <f>IF(OR($B80="",$E80=0),0,MEDIAN(0,($M$5-$C80)/($E80/24),1))</f>
        <v/>
      </c>
      <c r="U80">
        <f>($S80-$T80)*$E80</f>
        <v/>
      </c>
      <c r="V80">
        <f>IF(OR(AND($Q80&lt;&gt;"",$Q80&lt;$C$8),AND($Q80&lt;&gt;"",$R80&lt;&gt;"",$R80&lt;$Q80),AND($R80&lt;&gt;"",$Q80="")),1,0)</f>
        <v/>
      </c>
      <c r="W80">
        <f>IF($B80="","",IF($S80=1,IF($R80&lt;&gt;"",$R80,$D80),IF($Q80&lt;&gt;"",MAX($M$5,$Q80)+$E80*(1-$S80)/24,MAX($M$5,$C80)+$E80/24)))</f>
        <v/>
      </c>
      <c r="X80">
        <f>IF($B80="","",ROUND(($W80-$D80)*24,1))</f>
        <v/>
      </c>
      <c r="Y80">
        <f>IF($B80="","",IF($Q80&lt;&gt;"",$X80,IF($X80&gt;0,MAX($X80,IF($Y79="",0,IF($Y79&gt;0,$Y79-MAX(0,($C80-$D79)*24),$Y79))),IF($Y79="",0,IF($Y79&gt;0,$Y79-MAX(0,($C80-$D79)*24),$Y79)))))</f>
        <v/>
      </c>
      <c r="AB80">
        <f>IF(AND($B80&lt;&gt;"",$F80&gt;=24),1,0)</f>
        <v/>
      </c>
    </row>
    <row r="81" ht="19.5" customHeight="1">
      <c r="A81" s="24">
        <f>IF(OR($B81="",25&gt;$O$10),"",25)</f>
        <v/>
      </c>
      <c r="B81" s="25" t="inlineStr">
        <is>
          <t>Destressing (incl. 2 ATW) (Line 3)</t>
        </is>
      </c>
      <c r="C81" s="106">
        <f>IF(OR($B81="",25&gt;$O$10),"",IF($F81=0,$C$8,IF($G81="SS",OFFSET($C$56,$F81,0)+$H81/24,IF($G81="FF",OFFSET($D$56,$F81,0)+$H81/24-$E81/24,IF($G81="SF",OFFSET($C$56,$F81,0)+$H81/24-$E81/24,OFFSET($D$56,$F81,0)+$H81/24)))))</f>
        <v/>
      </c>
      <c r="D81" s="106">
        <f>IF(OR($B81="",25&gt;$O$10),"",$C81+$E81/24)</f>
        <v/>
      </c>
      <c r="E81" s="107" t="n">
        <v>4</v>
      </c>
      <c r="F81" s="28" t="n">
        <v>24</v>
      </c>
      <c r="G81" s="29" t="inlineStr">
        <is>
          <t>FS</t>
        </is>
      </c>
      <c r="H81" s="108" t="n">
        <v>0</v>
      </c>
      <c r="I81" s="109" t="n"/>
      <c r="J81" s="110" t="n"/>
      <c r="K81" s="109" t="n"/>
      <c r="L81" s="110" t="n"/>
      <c r="M81" s="111">
        <f>IF(OR($Q81="",$R81="",$V81=1),"",($R81-$Q81)*24)</f>
        <v/>
      </c>
      <c r="N81" s="34" t="n"/>
      <c r="O81" s="22">
        <f>IF(OR($B81="",25&gt;$O$10),"",IF($AB81=1,"! CHECK LINK",IF($V81=1,"! CHECK DATES",IF($S81=1,IF($R81="","Completed",IF($R81&lt;$D81,"Completed - Ahead",IF($R81&lt;=$D81+1/1440,"Completed - On Time","Completed - Delayed"))),IF($Q81&lt;&gt;"",IF($Y81&lt;=0.1,"In Progress - On Track","In Progress - BEHIND"),IF($M$5&lt;$C81,"Not Started","NOT STARTED - LATE"))))))</f>
        <v/>
      </c>
      <c r="P81" s="35" t="n"/>
      <c r="Q81">
        <f>IF($I81="","",$I81+IF($J81="",0,$J81))</f>
        <v/>
      </c>
      <c r="R81">
        <f>IF($K81="","",$K81+IF($L81="",0,$L81))</f>
        <v/>
      </c>
      <c r="S81">
        <f>IF($V81=1,0,IF($R81&lt;&gt;"",1,IF($N81="",0,$N81)))</f>
        <v/>
      </c>
      <c r="T81">
        <f>IF(OR($B81="",$E81=0),0,MEDIAN(0,($M$5-$C81)/($E81/24),1))</f>
        <v/>
      </c>
      <c r="U81">
        <f>($S81-$T81)*$E81</f>
        <v/>
      </c>
      <c r="V81">
        <f>IF(OR(AND($Q81&lt;&gt;"",$Q81&lt;$C$8),AND($Q81&lt;&gt;"",$R81&lt;&gt;"",$R81&lt;$Q81),AND($R81&lt;&gt;"",$Q81="")),1,0)</f>
        <v/>
      </c>
      <c r="W81">
        <f>IF($B81="","",IF($S81=1,IF($R81&lt;&gt;"",$R81,$D81),IF($Q81&lt;&gt;"",MAX($M$5,$Q81)+$E81*(1-$S81)/24,MAX($M$5,$C81)+$E81/24)))</f>
        <v/>
      </c>
      <c r="X81">
        <f>IF($B81="","",ROUND(($W81-$D81)*24,1))</f>
        <v/>
      </c>
      <c r="Y81">
        <f>IF($B81="","",IF($Q81&lt;&gt;"",$X81,IF($X81&gt;0,MAX($X81,IF($Y80="",0,IF($Y80&gt;0,$Y80-MAX(0,($C81-$D80)*24),$Y80))),IF($Y80="",0,IF($Y80&gt;0,$Y80-MAX(0,($C81-$D80)*24),$Y80)))))</f>
        <v/>
      </c>
      <c r="AB81">
        <f>IF(AND($B81&lt;&gt;"",$F81&gt;=25),1,0)</f>
        <v/>
      </c>
    </row>
    <row r="82" ht="19.5" customHeight="1">
      <c r="A82" s="24">
        <f>IF(OR($B82="",26&gt;$O$10),"",26)</f>
        <v/>
      </c>
      <c r="B82" s="25" t="inlineStr">
        <is>
          <t>Finishing (grinding, stamp, UT, inspection)</t>
        </is>
      </c>
      <c r="C82" s="106">
        <f>IF(OR($B82="",26&gt;$O$10),"",IF($F82=0,$C$8,IF($G82="SS",OFFSET($C$56,$F82,0)+$H82/24,IF($G82="FF",OFFSET($D$56,$F82,0)+$H82/24-$E82/24,IF($G82="SF",OFFSET($C$56,$F82,0)+$H82/24-$E82/24,OFFSET($D$56,$F82,0)+$H82/24)))))</f>
        <v/>
      </c>
      <c r="D82" s="106">
        <f>IF(OR($B82="",26&gt;$O$10),"",$C82+$E82/24)</f>
        <v/>
      </c>
      <c r="E82" s="107" t="n">
        <v>7</v>
      </c>
      <c r="F82" s="28" t="n">
        <v>25</v>
      </c>
      <c r="G82" s="29" t="inlineStr">
        <is>
          <t>FS</t>
        </is>
      </c>
      <c r="H82" s="108" t="n">
        <v>0</v>
      </c>
      <c r="I82" s="109" t="n"/>
      <c r="J82" s="110" t="n"/>
      <c r="K82" s="109" t="n"/>
      <c r="L82" s="110" t="n"/>
      <c r="M82" s="111">
        <f>IF(OR($Q82="",$R82="",$V82=1),"",($R82-$Q82)*24)</f>
        <v/>
      </c>
      <c r="N82" s="34" t="n"/>
      <c r="O82" s="22">
        <f>IF(OR($B82="",26&gt;$O$10),"",IF($AB82=1,"! CHECK LINK",IF($V82=1,"! CHECK DATES",IF($S82=1,IF($R82="","Completed",IF($R82&lt;$D82,"Completed - Ahead",IF($R82&lt;=$D82+1/1440,"Completed - On Time","Completed - Delayed"))),IF($Q82&lt;&gt;"",IF($Y82&lt;=0.1,"In Progress - On Track","In Progress - BEHIND"),IF($M$5&lt;$C82,"Not Started","NOT STARTED - LATE"))))))</f>
        <v/>
      </c>
      <c r="P82" s="35" t="n"/>
      <c r="Q82">
        <f>IF($I82="","",$I82+IF($J82="",0,$J82))</f>
        <v/>
      </c>
      <c r="R82">
        <f>IF($K82="","",$K82+IF($L82="",0,$L82))</f>
        <v/>
      </c>
      <c r="S82">
        <f>IF($V82=1,0,IF($R82&lt;&gt;"",1,IF($N82="",0,$N82)))</f>
        <v/>
      </c>
      <c r="T82">
        <f>IF(OR($B82="",$E82=0),0,MEDIAN(0,($M$5-$C82)/($E82/24),1))</f>
        <v/>
      </c>
      <c r="U82">
        <f>($S82-$T82)*$E82</f>
        <v/>
      </c>
      <c r="V82">
        <f>IF(OR(AND($Q82&lt;&gt;"",$Q82&lt;$C$8),AND($Q82&lt;&gt;"",$R82&lt;&gt;"",$R82&lt;$Q82),AND($R82&lt;&gt;"",$Q82="")),1,0)</f>
        <v/>
      </c>
      <c r="W82">
        <f>IF($B82="","",IF($S82=1,IF($R82&lt;&gt;"",$R82,$D82),IF($Q82&lt;&gt;"",MAX($M$5,$Q82)+$E82*(1-$S82)/24,MAX($M$5,$C82)+$E82/24)))</f>
        <v/>
      </c>
      <c r="X82">
        <f>IF($B82="","",ROUND(($W82-$D82)*24,1))</f>
        <v/>
      </c>
      <c r="Y82">
        <f>IF($B82="","",IF($Q82&lt;&gt;"",$X82,IF($X82&gt;0,MAX($X82,IF($Y81="",0,IF($Y81&gt;0,$Y81-MAX(0,($C82-$D81)*24),$Y81))),IF($Y81="",0,IF($Y81&gt;0,$Y81-MAX(0,($C82-$D81)*24),$Y81)))))</f>
        <v/>
      </c>
      <c r="AB82">
        <f>IF(AND($B82&lt;&gt;"",$F82&gt;=26),1,0)</f>
        <v/>
      </c>
    </row>
    <row r="83" ht="19.5" customHeight="1">
      <c r="A83" s="36" t="inlineStr">
        <is>
          <t>TOT</t>
        </is>
      </c>
      <c r="B83" s="37">
        <f>IF($B$16="","",$B$16&amp;"   -   sum of activity hours")</f>
        <v/>
      </c>
      <c r="C83" s="38" t="n"/>
      <c r="D83" s="112">
        <f>IF(COUNT($D57:$D82)=0,"",MAX($D57:$D82))</f>
        <v/>
      </c>
      <c r="E83" s="113">
        <f>SUM($E57:$E82)</f>
        <v/>
      </c>
      <c r="F83" s="38" t="n"/>
      <c r="G83" s="38" t="n"/>
      <c r="H83" s="38" t="n"/>
      <c r="I83" s="38" t="n"/>
      <c r="J83" s="38" t="n"/>
      <c r="K83" s="38" t="n"/>
      <c r="L83" s="38" t="n"/>
      <c r="M83" s="113">
        <f>SUM($M57:$M82)</f>
        <v/>
      </c>
      <c r="N83" s="41">
        <f>$S83</f>
        <v/>
      </c>
      <c r="O83" s="36">
        <f>IF($B$16="","",IF($X83&lt;=0,"ON TRACK","BEHIND"))</f>
        <v/>
      </c>
      <c r="P83" s="38" t="n"/>
      <c r="S83">
        <f>IF($E83=0,0,SUMPRODUCT($E57:$E82,$S57:$S82)/$E83)</f>
        <v/>
      </c>
      <c r="T83">
        <f>IF($E83=0,0,SUMPRODUCT($E57:$E82,$T57:$T82)/$E83)</f>
        <v/>
      </c>
      <c r="U83">
        <f>$S83-$T83</f>
        <v/>
      </c>
      <c r="W83">
        <f>IF($D83="","",$D83+$X83/24)</f>
        <v/>
      </c>
      <c r="X83">
        <f>IF(COUNT($Y57:$Y82)=0,0,LOOKUP(9.9E+307,$Y57:$Y82))</f>
        <v/>
      </c>
    </row>
    <row r="85" ht="24" customHeight="1">
      <c r="A85" s="21">
        <f>IF($B$17="","LOCATION 3  -  not used","   LOCATION 3  -  "&amp;$B$17)</f>
        <v/>
      </c>
    </row>
    <row r="86" ht="30" customHeight="1">
      <c r="A86" s="22" t="inlineStr">
        <is>
          <t>No</t>
        </is>
      </c>
      <c r="B86" s="22" t="inlineStr">
        <is>
          <t>ACTIVITY  (leave blank to switch the row off)</t>
        </is>
      </c>
      <c r="C86" s="22" t="inlineStr">
        <is>
          <t>Planned
Start</t>
        </is>
      </c>
      <c r="D86" s="22" t="inlineStr">
        <is>
          <t>Planned
Finish</t>
        </is>
      </c>
      <c r="E86" s="22" t="inlineStr">
        <is>
          <t>DUR
(h)</t>
        </is>
      </c>
      <c r="F86" s="22" t="inlineStr">
        <is>
          <t>PRED
No</t>
        </is>
      </c>
      <c r="G86" s="22" t="inlineStr">
        <is>
          <t>REL</t>
        </is>
      </c>
      <c r="H86" s="22" t="inlineStr">
        <is>
          <t>LAG
(h)</t>
        </is>
      </c>
      <c r="I86" s="23" t="inlineStr">
        <is>
          <t>ACT START
Date</t>
        </is>
      </c>
      <c r="J86" s="23" t="inlineStr">
        <is>
          <t>ACT START
Time</t>
        </is>
      </c>
      <c r="K86" s="23" t="inlineStr">
        <is>
          <t>ACT FINISH
Date</t>
        </is>
      </c>
      <c r="L86" s="23" t="inlineStr">
        <is>
          <t>ACT FINISH
Time</t>
        </is>
      </c>
      <c r="M86" s="22" t="inlineStr">
        <is>
          <t>ACT
Dur</t>
        </is>
      </c>
      <c r="N86" s="23" t="inlineStr">
        <is>
          <t>% COMP</t>
        </is>
      </c>
      <c r="O86" s="22" t="inlineStr">
        <is>
          <t>STATUS  (auto)</t>
        </is>
      </c>
      <c r="P86" s="23" t="inlineStr">
        <is>
          <t>REMARKS</t>
        </is>
      </c>
    </row>
    <row r="87" ht="19.5" customHeight="1">
      <c r="A87" s="24">
        <f>IF(OR($B87="",1&gt;$O$10),"",1)</f>
        <v/>
      </c>
      <c r="B87" s="25" t="inlineStr">
        <is>
          <t>OTMP moves from station 29 to main Line 1</t>
        </is>
      </c>
      <c r="C87" s="106">
        <f>IF(OR($B87="",1&gt;$O$10),"",IF($F87=0,$C$8,IF($G87="SS",OFFSET($C$86,$F87,0)+$H87/24,IF($G87="FF",OFFSET($D$86,$F87,0)+$H87/24-$E87/24,IF($G87="SF",OFFSET($C$86,$F87,0)+$H87/24-$E87/24,OFFSET($D$86,$F87,0)+$H87/24)))))</f>
        <v/>
      </c>
      <c r="D87" s="106">
        <f>IF(OR($B87="",1&gt;$O$10),"",$C87+$E87/24)</f>
        <v/>
      </c>
      <c r="E87" s="107" t="n">
        <v>1</v>
      </c>
      <c r="F87" s="28" t="n">
        <v>0</v>
      </c>
      <c r="G87" s="29" t="inlineStr">
        <is>
          <t>FS</t>
        </is>
      </c>
      <c r="H87" s="108" t="n">
        <v>0</v>
      </c>
      <c r="I87" s="109" t="n"/>
      <c r="J87" s="110" t="n"/>
      <c r="K87" s="109" t="n"/>
      <c r="L87" s="110" t="n"/>
      <c r="M87" s="111">
        <f>IF(OR($Q87="",$R87="",$V87=1),"",($R87-$Q87)*24)</f>
        <v/>
      </c>
      <c r="N87" s="34" t="n"/>
      <c r="O87" s="22">
        <f>IF(OR($B87="",1&gt;$O$10),"",IF($AB87=1,"! CHECK LINK",IF($V87=1,"! CHECK DATES",IF($S87=1,IF($R87="","Completed",IF($R87&lt;$D87,"Completed - Ahead",IF($R87&lt;=$D87+1/1440,"Completed - On Time","Completed - Delayed"))),IF($Q87&lt;&gt;"",IF($Y87&lt;=0.1,"In Progress - On Track","In Progress - BEHIND"),IF($M$5&lt;$C87,"Not Started","NOT STARTED - LATE"))))))</f>
        <v/>
      </c>
      <c r="P87" s="35" t="n"/>
      <c r="Q87">
        <f>IF($I87="","",$I87+IF($J87="",0,$J87))</f>
        <v/>
      </c>
      <c r="R87">
        <f>IF($K87="","",$K87+IF($L87="",0,$L87))</f>
        <v/>
      </c>
      <c r="S87">
        <f>IF($V87=1,0,IF($R87&lt;&gt;"",1,IF($N87="",0,$N87)))</f>
        <v/>
      </c>
      <c r="T87">
        <f>IF(OR($B87="",$E87=0),0,MEDIAN(0,($M$5-$C87)/($E87/24),1))</f>
        <v/>
      </c>
      <c r="U87">
        <f>($S87-$T87)*$E87</f>
        <v/>
      </c>
      <c r="V87">
        <f>IF(OR(AND($Q87&lt;&gt;"",$Q87&lt;$C$8),AND($Q87&lt;&gt;"",$R87&lt;&gt;"",$R87&lt;$Q87),AND($R87&lt;&gt;"",$Q87="")),1,0)</f>
        <v/>
      </c>
      <c r="W87">
        <f>IF($B87="","",IF($S87=1,IF($R87&lt;&gt;"",$R87,$D87),IF($Q87&lt;&gt;"",MAX($M$5,$Q87)+$E87*(1-$S87)/24,MAX($M$5,$C87)+$E87/24)))</f>
        <v/>
      </c>
      <c r="X87">
        <f>IF($B87="","",ROUND(($W87-$D87)*24,1))</f>
        <v/>
      </c>
      <c r="Y87">
        <f>IF($B87="","",$X87)</f>
        <v/>
      </c>
      <c r="AB87">
        <f>IF(AND($B87&lt;&gt;"",$F87&gt;=1),1,0)</f>
        <v/>
      </c>
    </row>
    <row r="88" ht="19.5" customHeight="1">
      <c r="A88" s="24">
        <f>IF(OR($B88="",2&gt;$O$10),"",2)</f>
        <v/>
      </c>
      <c r="B88" s="25" t="inlineStr">
        <is>
          <t>Track removal &amp; panel evacuation (Line 1)</t>
        </is>
      </c>
      <c r="C88" s="106">
        <f>IF(OR($B88="",2&gt;$O$10),"",IF($F88=0,$C$8,IF($G88="SS",OFFSET($C$86,$F88,0)+$H88/24,IF($G88="FF",OFFSET($D$86,$F88,0)+$H88/24-$E88/24,IF($G88="SF",OFFSET($C$86,$F88,0)+$H88/24-$E88/24,OFFSET($D$86,$F88,0)+$H88/24)))))</f>
        <v/>
      </c>
      <c r="D88" s="106">
        <f>IF(OR($B88="",2&gt;$O$10),"",$C88+$E88/24)</f>
        <v/>
      </c>
      <c r="E88" s="107" t="n">
        <v>1</v>
      </c>
      <c r="F88" s="28" t="n">
        <v>1</v>
      </c>
      <c r="G88" s="29" t="inlineStr">
        <is>
          <t>FS</t>
        </is>
      </c>
      <c r="H88" s="108" t="n">
        <v>0</v>
      </c>
      <c r="I88" s="109" t="n"/>
      <c r="J88" s="110" t="n"/>
      <c r="K88" s="109" t="n"/>
      <c r="L88" s="110" t="n"/>
      <c r="M88" s="111">
        <f>IF(OR($Q88="",$R88="",$V88=1),"",($R88-$Q88)*24)</f>
        <v/>
      </c>
      <c r="N88" s="34" t="n"/>
      <c r="O88" s="22">
        <f>IF(OR($B88="",2&gt;$O$10),"",IF($AB88=1,"! CHECK LINK",IF($V88=1,"! CHECK DATES",IF($S88=1,IF($R88="","Completed",IF($R88&lt;$D88,"Completed - Ahead",IF($R88&lt;=$D88+1/1440,"Completed - On Time","Completed - Delayed"))),IF($Q88&lt;&gt;"",IF($Y88&lt;=0.1,"In Progress - On Track","In Progress - BEHIND"),IF($M$5&lt;$C88,"Not Started","NOT STARTED - LATE"))))))</f>
        <v/>
      </c>
      <c r="P88" s="35" t="n"/>
      <c r="Q88">
        <f>IF($I88="","",$I88+IF($J88="",0,$J88))</f>
        <v/>
      </c>
      <c r="R88">
        <f>IF($K88="","",$K88+IF($L88="",0,$L88))</f>
        <v/>
      </c>
      <c r="S88">
        <f>IF($V88=1,0,IF($R88&lt;&gt;"",1,IF($N88="",0,$N88)))</f>
        <v/>
      </c>
      <c r="T88">
        <f>IF(OR($B88="",$E88=0),0,MEDIAN(0,($M$5-$C88)/($E88/24),1))</f>
        <v/>
      </c>
      <c r="U88">
        <f>($S88-$T88)*$E88</f>
        <v/>
      </c>
      <c r="V88">
        <f>IF(OR(AND($Q88&lt;&gt;"",$Q88&lt;$C$8),AND($Q88&lt;&gt;"",$R88&lt;&gt;"",$R88&lt;$Q88),AND($R88&lt;&gt;"",$Q88="")),1,0)</f>
        <v/>
      </c>
      <c r="W88">
        <f>IF($B88="","",IF($S88=1,IF($R88&lt;&gt;"",$R88,$D88),IF($Q88&lt;&gt;"",MAX($M$5,$Q88)+$E88*(1-$S88)/24,MAX($M$5,$C88)+$E88/24)))</f>
        <v/>
      </c>
      <c r="X88">
        <f>IF($B88="","",ROUND(($W88-$D88)*24,1))</f>
        <v/>
      </c>
      <c r="Y88">
        <f>IF($B88="","",IF($Q88&lt;&gt;"",$X88,IF($X88&gt;0,MAX($X88,IF($Y87="",0,IF($Y87&gt;0,$Y87-MAX(0,($C88-$D87)*24),$Y87))),IF($Y87="",0,IF($Y87&gt;0,$Y87-MAX(0,($C88-$D87)*24),$Y87)))))</f>
        <v/>
      </c>
      <c r="AB88">
        <f>IF(AND($B88&lt;&gt;"",$F88&gt;=2),1,0)</f>
        <v/>
      </c>
    </row>
    <row r="89" ht="19.5" customHeight="1">
      <c r="A89" s="24">
        <f>IF(OR($B89="",3&gt;$O$10),"",3)</f>
        <v/>
      </c>
      <c r="B89" s="25" t="inlineStr">
        <is>
          <t>Track removal &amp; panel evacuation (Line 3)</t>
        </is>
      </c>
      <c r="C89" s="106">
        <f>IF(OR($B89="",3&gt;$O$10),"",IF($F89=0,$C$8,IF($G89="SS",OFFSET($C$86,$F89,0)+$H89/24,IF($G89="FF",OFFSET($D$86,$F89,0)+$H89/24-$E89/24,IF($G89="SF",OFFSET($C$86,$F89,0)+$H89/24-$E89/24,OFFSET($D$86,$F89,0)+$H89/24)))))</f>
        <v/>
      </c>
      <c r="D89" s="106">
        <f>IF(OR($B89="",3&gt;$O$10),"",$C89+$E89/24)</f>
        <v/>
      </c>
      <c r="E89" s="107" t="n">
        <v>1</v>
      </c>
      <c r="F89" s="28" t="n">
        <v>1</v>
      </c>
      <c r="G89" s="29" t="inlineStr">
        <is>
          <t>SS</t>
        </is>
      </c>
      <c r="H89" s="108" t="n">
        <v>0</v>
      </c>
      <c r="I89" s="109" t="n"/>
      <c r="J89" s="110" t="n"/>
      <c r="K89" s="109" t="n"/>
      <c r="L89" s="110" t="n"/>
      <c r="M89" s="111">
        <f>IF(OR($Q89="",$R89="",$V89=1),"",($R89-$Q89)*24)</f>
        <v/>
      </c>
      <c r="N89" s="34" t="n"/>
      <c r="O89" s="22">
        <f>IF(OR($B89="",3&gt;$O$10),"",IF($AB89=1,"! CHECK LINK",IF($V89=1,"! CHECK DATES",IF($S89=1,IF($R89="","Completed",IF($R89&lt;$D89,"Completed - Ahead",IF($R89&lt;=$D89+1/1440,"Completed - On Time","Completed - Delayed"))),IF($Q89&lt;&gt;"",IF($Y89&lt;=0.1,"In Progress - On Track","In Progress - BEHIND"),IF($M$5&lt;$C89,"Not Started","NOT STARTED - LATE"))))))</f>
        <v/>
      </c>
      <c r="P89" s="35" t="n"/>
      <c r="Q89">
        <f>IF($I89="","",$I89+IF($J89="",0,$J89))</f>
        <v/>
      </c>
      <c r="R89">
        <f>IF($K89="","",$K89+IF($L89="",0,$L89))</f>
        <v/>
      </c>
      <c r="S89">
        <f>IF($V89=1,0,IF($R89&lt;&gt;"",1,IF($N89="",0,$N89)))</f>
        <v/>
      </c>
      <c r="T89">
        <f>IF(OR($B89="",$E89=0),0,MEDIAN(0,($M$5-$C89)/($E89/24),1))</f>
        <v/>
      </c>
      <c r="U89">
        <f>($S89-$T89)*$E89</f>
        <v/>
      </c>
      <c r="V89">
        <f>IF(OR(AND($Q89&lt;&gt;"",$Q89&lt;$C$8),AND($Q89&lt;&gt;"",$R89&lt;&gt;"",$R89&lt;$Q89),AND($R89&lt;&gt;"",$Q89="")),1,0)</f>
        <v/>
      </c>
      <c r="W89">
        <f>IF($B89="","",IF($S89=1,IF($R89&lt;&gt;"",$R89,$D89),IF($Q89&lt;&gt;"",MAX($M$5,$Q89)+$E89*(1-$S89)/24,MAX($M$5,$C89)+$E89/24)))</f>
        <v/>
      </c>
      <c r="X89">
        <f>IF($B89="","",ROUND(($W89-$D89)*24,1))</f>
        <v/>
      </c>
      <c r="Y89">
        <f>IF($B89="","",IF($Q89&lt;&gt;"",$X89,IF($X89&gt;0,MAX($X89,IF($Y88="",0,IF($Y88&gt;0,$Y88-MAX(0,($C89-$D88)*24),$Y88))),IF($Y88="",0,IF($Y88&gt;0,$Y88-MAX(0,($C89-$D88)*24),$Y88)))))</f>
        <v/>
      </c>
      <c r="AB89">
        <f>IF(AND($B89&lt;&gt;"",$F89&gt;=3),1,0)</f>
        <v/>
      </c>
    </row>
    <row r="90" ht="19.5" customHeight="1">
      <c r="A90" s="24">
        <f>IF(OR($B90="",4&gt;$O$10),"",4)</f>
        <v/>
      </c>
      <c r="B90" s="25" t="inlineStr">
        <is>
          <t>Ballast removal</t>
        </is>
      </c>
      <c r="C90" s="106">
        <f>IF(OR($B90="",4&gt;$O$10),"",IF($F90=0,$C$8,IF($G90="SS",OFFSET($C$86,$F90,0)+$H90/24,IF($G90="FF",OFFSET($D$86,$F90,0)+$H90/24-$E90/24,IF($G90="SF",OFFSET($C$86,$F90,0)+$H90/24-$E90/24,OFFSET($D$86,$F90,0)+$H90/24)))))</f>
        <v/>
      </c>
      <c r="D90" s="106">
        <f>IF(OR($B90="",4&gt;$O$10),"",$C90+$E90/24)</f>
        <v/>
      </c>
      <c r="E90" s="107" t="n">
        <v>1</v>
      </c>
      <c r="F90" s="28" t="n">
        <v>3</v>
      </c>
      <c r="G90" s="29" t="inlineStr">
        <is>
          <t>FS</t>
        </is>
      </c>
      <c r="H90" s="108" t="n">
        <v>0</v>
      </c>
      <c r="I90" s="109" t="n"/>
      <c r="J90" s="110" t="n"/>
      <c r="K90" s="109" t="n"/>
      <c r="L90" s="110" t="n"/>
      <c r="M90" s="111">
        <f>IF(OR($Q90="",$R90="",$V90=1),"",($R90-$Q90)*24)</f>
        <v/>
      </c>
      <c r="N90" s="34" t="n"/>
      <c r="O90" s="22">
        <f>IF(OR($B90="",4&gt;$O$10),"",IF($AB90=1,"! CHECK LINK",IF($V90=1,"! CHECK DATES",IF($S90=1,IF($R90="","Completed",IF($R90&lt;$D90,"Completed - Ahead",IF($R90&lt;=$D90+1/1440,"Completed - On Time","Completed - Delayed"))),IF($Q90&lt;&gt;"",IF($Y90&lt;=0.1,"In Progress - On Track","In Progress - BEHIND"),IF($M$5&lt;$C90,"Not Started","NOT STARTED - LATE"))))))</f>
        <v/>
      </c>
      <c r="P90" s="35" t="n"/>
      <c r="Q90">
        <f>IF($I90="","",$I90+IF($J90="",0,$J90))</f>
        <v/>
      </c>
      <c r="R90">
        <f>IF($K90="","",$K90+IF($L90="",0,$L90))</f>
        <v/>
      </c>
      <c r="S90">
        <f>IF($V90=1,0,IF($R90&lt;&gt;"",1,IF($N90="",0,$N90)))</f>
        <v/>
      </c>
      <c r="T90">
        <f>IF(OR($B90="",$E90=0),0,MEDIAN(0,($M$5-$C90)/($E90/24),1))</f>
        <v/>
      </c>
      <c r="U90">
        <f>($S90-$T90)*$E90</f>
        <v/>
      </c>
      <c r="V90">
        <f>IF(OR(AND($Q90&lt;&gt;"",$Q90&lt;$C$8),AND($Q90&lt;&gt;"",$R90&lt;&gt;"",$R90&lt;$Q90),AND($R90&lt;&gt;"",$Q90="")),1,0)</f>
        <v/>
      </c>
      <c r="W90">
        <f>IF($B90="","",IF($S90=1,IF($R90&lt;&gt;"",$R90,$D90),IF($Q90&lt;&gt;"",MAX($M$5,$Q90)+$E90*(1-$S90)/24,MAX($M$5,$C90)+$E90/24)))</f>
        <v/>
      </c>
      <c r="X90">
        <f>IF($B90="","",ROUND(($W90-$D90)*24,1))</f>
        <v/>
      </c>
      <c r="Y90">
        <f>IF($B90="","",IF($Q90&lt;&gt;"",$X90,IF($X90&gt;0,MAX($X90,IF($Y89="",0,IF($Y89&gt;0,$Y89-MAX(0,($C90-$D89)*24),$Y89))),IF($Y89="",0,IF($Y89&gt;0,$Y89-MAX(0,($C90-$D89)*24),$Y89)))))</f>
        <v/>
      </c>
      <c r="AB90">
        <f>IF(AND($B90&lt;&gt;"",$F90&gt;=4),1,0)</f>
        <v/>
      </c>
    </row>
    <row r="91" ht="19.5" customHeight="1">
      <c r="A91" s="24">
        <f>IF(OR($B91="",5&gt;$O$10),"",5)</f>
        <v/>
      </c>
      <c r="B91" s="25" t="inlineStr">
        <is>
          <t>Cutting &amp; removal around existing culvert</t>
        </is>
      </c>
      <c r="C91" s="106">
        <f>IF(OR($B91="",5&gt;$O$10),"",IF($F91=0,$C$8,IF($G91="SS",OFFSET($C$86,$F91,0)+$H91/24,IF($G91="FF",OFFSET($D$86,$F91,0)+$H91/24-$E91/24,IF($G91="SF",OFFSET($C$86,$F91,0)+$H91/24-$E91/24,OFFSET($D$86,$F91,0)+$H91/24)))))</f>
        <v/>
      </c>
      <c r="D91" s="106">
        <f>IF(OR($B91="",5&gt;$O$10),"",$C91+$E91/24)</f>
        <v/>
      </c>
      <c r="E91" s="107" t="n">
        <v>1</v>
      </c>
      <c r="F91" s="28" t="n">
        <v>4</v>
      </c>
      <c r="G91" s="29" t="inlineStr">
        <is>
          <t>FS</t>
        </is>
      </c>
      <c r="H91" s="108" t="n">
        <v>0</v>
      </c>
      <c r="I91" s="109" t="n"/>
      <c r="J91" s="110" t="n"/>
      <c r="K91" s="109" t="n"/>
      <c r="L91" s="110" t="n"/>
      <c r="M91" s="111">
        <f>IF(OR($Q91="",$R91="",$V91=1),"",($R91-$Q91)*24)</f>
        <v/>
      </c>
      <c r="N91" s="34" t="n"/>
      <c r="O91" s="22">
        <f>IF(OR($B91="",5&gt;$O$10),"",IF($AB91=1,"! CHECK LINK",IF($V91=1,"! CHECK DATES",IF($S91=1,IF($R91="","Completed",IF($R91&lt;$D91,"Completed - Ahead",IF($R91&lt;=$D91+1/1440,"Completed - On Time","Completed - Delayed"))),IF($Q91&lt;&gt;"",IF($Y91&lt;=0.1,"In Progress - On Track","In Progress - BEHIND"),IF($M$5&lt;$C91,"Not Started","NOT STARTED - LATE"))))))</f>
        <v/>
      </c>
      <c r="P91" s="35" t="n"/>
      <c r="Q91">
        <f>IF($I91="","",$I91+IF($J91="",0,$J91))</f>
        <v/>
      </c>
      <c r="R91">
        <f>IF($K91="","",$K91+IF($L91="",0,$L91))</f>
        <v/>
      </c>
      <c r="S91">
        <f>IF($V91=1,0,IF($R91&lt;&gt;"",1,IF($N91="",0,$N91)))</f>
        <v/>
      </c>
      <c r="T91">
        <f>IF(OR($B91="",$E91=0),0,MEDIAN(0,($M$5-$C91)/($E91/24),1))</f>
        <v/>
      </c>
      <c r="U91">
        <f>($S91-$T91)*$E91</f>
        <v/>
      </c>
      <c r="V91">
        <f>IF(OR(AND($Q91&lt;&gt;"",$Q91&lt;$C$8),AND($Q91&lt;&gt;"",$R91&lt;&gt;"",$R91&lt;$Q91),AND($R91&lt;&gt;"",$Q91="")),1,0)</f>
        <v/>
      </c>
      <c r="W91">
        <f>IF($B91="","",IF($S91=1,IF($R91&lt;&gt;"",$R91,$D91),IF($Q91&lt;&gt;"",MAX($M$5,$Q91)+$E91*(1-$S91)/24,MAX($M$5,$C91)+$E91/24)))</f>
        <v/>
      </c>
      <c r="X91">
        <f>IF($B91="","",ROUND(($W91-$D91)*24,1))</f>
        <v/>
      </c>
      <c r="Y91">
        <f>IF($B91="","",IF($Q91&lt;&gt;"",$X91,IF($X91&gt;0,MAX($X91,IF($Y90="",0,IF($Y90&gt;0,$Y90-MAX(0,($C91-$D90)*24),$Y90))),IF($Y90="",0,IF($Y90&gt;0,$Y90-MAX(0,($C91-$D90)*24),$Y90)))))</f>
        <v/>
      </c>
      <c r="AB91">
        <f>IF(AND($B91&lt;&gt;"",$F91&gt;=5),1,0)</f>
        <v/>
      </c>
    </row>
    <row r="92" ht="19.5" customHeight="1">
      <c r="A92" s="24">
        <f>IF(OR($B92="",6&gt;$O$10),"",6)</f>
        <v/>
      </c>
      <c r="B92" s="25" t="inlineStr">
        <is>
          <t>Demolition of existing culvert</t>
        </is>
      </c>
      <c r="C92" s="106">
        <f>IF(OR($B92="",6&gt;$O$10),"",IF($F92=0,$C$8,IF($G92="SS",OFFSET($C$86,$F92,0)+$H92/24,IF($G92="FF",OFFSET($D$86,$F92,0)+$H92/24-$E92/24,IF($G92="SF",OFFSET($C$86,$F92,0)+$H92/24-$E92/24,OFFSET($D$86,$F92,0)+$H92/24)))))</f>
        <v/>
      </c>
      <c r="D92" s="106">
        <f>IF(OR($B92="",6&gt;$O$10),"",$C92+$E92/24)</f>
        <v/>
      </c>
      <c r="E92" s="107" t="n">
        <v>2</v>
      </c>
      <c r="F92" s="28" t="n">
        <v>5</v>
      </c>
      <c r="G92" s="29" t="inlineStr">
        <is>
          <t>FS</t>
        </is>
      </c>
      <c r="H92" s="108" t="n">
        <v>0</v>
      </c>
      <c r="I92" s="109" t="n"/>
      <c r="J92" s="110" t="n"/>
      <c r="K92" s="109" t="n"/>
      <c r="L92" s="110" t="n"/>
      <c r="M92" s="111">
        <f>IF(OR($Q92="",$R92="",$V92=1),"",($R92-$Q92)*24)</f>
        <v/>
      </c>
      <c r="N92" s="34" t="n"/>
      <c r="O92" s="22">
        <f>IF(OR($B92="",6&gt;$O$10),"",IF($AB92=1,"! CHECK LINK",IF($V92=1,"! CHECK DATES",IF($S92=1,IF($R92="","Completed",IF($R92&lt;$D92,"Completed - Ahead",IF($R92&lt;=$D92+1/1440,"Completed - On Time","Completed - Delayed"))),IF($Q92&lt;&gt;"",IF($Y92&lt;=0.1,"In Progress - On Track","In Progress - BEHIND"),IF($M$5&lt;$C92,"Not Started","NOT STARTED - LATE"))))))</f>
        <v/>
      </c>
      <c r="P92" s="35" t="n"/>
      <c r="Q92">
        <f>IF($I92="","",$I92+IF($J92="",0,$J92))</f>
        <v/>
      </c>
      <c r="R92">
        <f>IF($K92="","",$K92+IF($L92="",0,$L92))</f>
        <v/>
      </c>
      <c r="S92">
        <f>IF($V92=1,0,IF($R92&lt;&gt;"",1,IF($N92="",0,$N92)))</f>
        <v/>
      </c>
      <c r="T92">
        <f>IF(OR($B92="",$E92=0),0,MEDIAN(0,($M$5-$C92)/($E92/24),1))</f>
        <v/>
      </c>
      <c r="U92">
        <f>($S92-$T92)*$E92</f>
        <v/>
      </c>
      <c r="V92">
        <f>IF(OR(AND($Q92&lt;&gt;"",$Q92&lt;$C$8),AND($Q92&lt;&gt;"",$R92&lt;&gt;"",$R92&lt;$Q92),AND($R92&lt;&gt;"",$Q92="")),1,0)</f>
        <v/>
      </c>
      <c r="W92">
        <f>IF($B92="","",IF($S92=1,IF($R92&lt;&gt;"",$R92,$D92),IF($Q92&lt;&gt;"",MAX($M$5,$Q92)+$E92*(1-$S92)/24,MAX($M$5,$C92)+$E92/24)))</f>
        <v/>
      </c>
      <c r="X92">
        <f>IF($B92="","",ROUND(($W92-$D92)*24,1))</f>
        <v/>
      </c>
      <c r="Y92">
        <f>IF($B92="","",IF($Q92&lt;&gt;"",$X92,IF($X92&gt;0,MAX($X92,IF($Y91="",0,IF($Y91&gt;0,$Y91-MAX(0,($C92-$D91)*24),$Y91))),IF($Y91="",0,IF($Y91&gt;0,$Y91-MAX(0,($C92-$D91)*24),$Y91)))))</f>
        <v/>
      </c>
      <c r="AB92">
        <f>IF(AND($B92&lt;&gt;"",$F92&gt;=6),1,0)</f>
        <v/>
      </c>
    </row>
    <row r="93" ht="19.5" customHeight="1">
      <c r="A93" s="24">
        <f>IF(OR($B93="",7&gt;$O$10),"",7)</f>
        <v/>
      </c>
      <c r="B93" s="25" t="inlineStr">
        <is>
          <t>Surface preparation for precast installation</t>
        </is>
      </c>
      <c r="C93" s="106">
        <f>IF(OR($B93="",7&gt;$O$10),"",IF($F93=0,$C$8,IF($G93="SS",OFFSET($C$86,$F93,0)+$H93/24,IF($G93="FF",OFFSET($D$86,$F93,0)+$H93/24-$E93/24,IF($G93="SF",OFFSET($C$86,$F93,0)+$H93/24-$E93/24,OFFSET($D$86,$F93,0)+$H93/24)))))</f>
        <v/>
      </c>
      <c r="D93" s="106">
        <f>IF(OR($B93="",7&gt;$O$10),"",$C93+$E93/24)</f>
        <v/>
      </c>
      <c r="E93" s="107" t="n">
        <v>2</v>
      </c>
      <c r="F93" s="28" t="n">
        <v>6</v>
      </c>
      <c r="G93" s="29" t="inlineStr">
        <is>
          <t>FS</t>
        </is>
      </c>
      <c r="H93" s="108" t="n">
        <v>0</v>
      </c>
      <c r="I93" s="109" t="n"/>
      <c r="J93" s="110" t="n"/>
      <c r="K93" s="109" t="n"/>
      <c r="L93" s="110" t="n"/>
      <c r="M93" s="111">
        <f>IF(OR($Q93="",$R93="",$V93=1),"",($R93-$Q93)*24)</f>
        <v/>
      </c>
      <c r="N93" s="34" t="n"/>
      <c r="O93" s="22">
        <f>IF(OR($B93="",7&gt;$O$10),"",IF($AB93=1,"! CHECK LINK",IF($V93=1,"! CHECK DATES",IF($S93=1,IF($R93="","Completed",IF($R93&lt;$D93,"Completed - Ahead",IF($R93&lt;=$D93+1/1440,"Completed - On Time","Completed - Delayed"))),IF($Q93&lt;&gt;"",IF($Y93&lt;=0.1,"In Progress - On Track","In Progress - BEHIND"),IF($M$5&lt;$C93,"Not Started","NOT STARTED - LATE"))))))</f>
        <v/>
      </c>
      <c r="P93" s="35" t="n"/>
      <c r="Q93">
        <f>IF($I93="","",$I93+IF($J93="",0,$J93))</f>
        <v/>
      </c>
      <c r="R93">
        <f>IF($K93="","",$K93+IF($L93="",0,$L93))</f>
        <v/>
      </c>
      <c r="S93">
        <f>IF($V93=1,0,IF($R93&lt;&gt;"",1,IF($N93="",0,$N93)))</f>
        <v/>
      </c>
      <c r="T93">
        <f>IF(OR($B93="",$E93=0),0,MEDIAN(0,($M$5-$C93)/($E93/24),1))</f>
        <v/>
      </c>
      <c r="U93">
        <f>($S93-$T93)*$E93</f>
        <v/>
      </c>
      <c r="V93">
        <f>IF(OR(AND($Q93&lt;&gt;"",$Q93&lt;$C$8),AND($Q93&lt;&gt;"",$R93&lt;&gt;"",$R93&lt;$Q93),AND($R93&lt;&gt;"",$Q93="")),1,0)</f>
        <v/>
      </c>
      <c r="W93">
        <f>IF($B93="","",IF($S93=1,IF($R93&lt;&gt;"",$R93,$D93),IF($Q93&lt;&gt;"",MAX($M$5,$Q93)+$E93*(1-$S93)/24,MAX($M$5,$C93)+$E93/24)))</f>
        <v/>
      </c>
      <c r="X93">
        <f>IF($B93="","",ROUND(($W93-$D93)*24,1))</f>
        <v/>
      </c>
      <c r="Y93">
        <f>IF($B93="","",IF($Q93&lt;&gt;"",$X93,IF($X93&gt;0,MAX($X93,IF($Y92="",0,IF($Y92&gt;0,$Y92-MAX(0,($C93-$D92)*24),$Y92))),IF($Y92="",0,IF($Y92&gt;0,$Y92-MAX(0,($C93-$D92)*24),$Y92)))))</f>
        <v/>
      </c>
      <c r="AB93">
        <f>IF(AND($B93&lt;&gt;"",$F93&gt;=7),1,0)</f>
        <v/>
      </c>
    </row>
    <row r="94" ht="19.5" customHeight="1">
      <c r="A94" s="24">
        <f>IF(OR($B94="",8&gt;$O$10),"",8)</f>
        <v/>
      </c>
      <c r="B94" s="25" t="inlineStr">
        <is>
          <t>Installation of new precast culvert</t>
        </is>
      </c>
      <c r="C94" s="106">
        <f>IF(OR($B94="",8&gt;$O$10),"",IF($F94=0,$C$8,IF($G94="SS",OFFSET($C$86,$F94,0)+$H94/24,IF($G94="FF",OFFSET($D$86,$F94,0)+$H94/24-$E94/24,IF($G94="SF",OFFSET($C$86,$F94,0)+$H94/24-$E94/24,OFFSET($D$86,$F94,0)+$H94/24)))))</f>
        <v/>
      </c>
      <c r="D94" s="106">
        <f>IF(OR($B94="",8&gt;$O$10),"",$C94+$E94/24)</f>
        <v/>
      </c>
      <c r="E94" s="107" t="n">
        <v>3</v>
      </c>
      <c r="F94" s="28" t="n">
        <v>7</v>
      </c>
      <c r="G94" s="29" t="inlineStr">
        <is>
          <t>FS</t>
        </is>
      </c>
      <c r="H94" s="108" t="n">
        <v>0</v>
      </c>
      <c r="I94" s="109" t="n"/>
      <c r="J94" s="110" t="n"/>
      <c r="K94" s="109" t="n"/>
      <c r="L94" s="110" t="n"/>
      <c r="M94" s="111">
        <f>IF(OR($Q94="",$R94="",$V94=1),"",($R94-$Q94)*24)</f>
        <v/>
      </c>
      <c r="N94" s="34" t="n"/>
      <c r="O94" s="22">
        <f>IF(OR($B94="",8&gt;$O$10),"",IF($AB94=1,"! CHECK LINK",IF($V94=1,"! CHECK DATES",IF($S94=1,IF($R94="","Completed",IF($R94&lt;$D94,"Completed - Ahead",IF($R94&lt;=$D94+1/1440,"Completed - On Time","Completed - Delayed"))),IF($Q94&lt;&gt;"",IF($Y94&lt;=0.1,"In Progress - On Track","In Progress - BEHIND"),IF($M$5&lt;$C94,"Not Started","NOT STARTED - LATE"))))))</f>
        <v/>
      </c>
      <c r="P94" s="35" t="n"/>
      <c r="Q94">
        <f>IF($I94="","",$I94+IF($J94="",0,$J94))</f>
        <v/>
      </c>
      <c r="R94">
        <f>IF($K94="","",$K94+IF($L94="",0,$L94))</f>
        <v/>
      </c>
      <c r="S94">
        <f>IF($V94=1,0,IF($R94&lt;&gt;"",1,IF($N94="",0,$N94)))</f>
        <v/>
      </c>
      <c r="T94">
        <f>IF(OR($B94="",$E94=0),0,MEDIAN(0,($M$5-$C94)/($E94/24),1))</f>
        <v/>
      </c>
      <c r="U94">
        <f>($S94-$T94)*$E94</f>
        <v/>
      </c>
      <c r="V94">
        <f>IF(OR(AND($Q94&lt;&gt;"",$Q94&lt;$C$8),AND($Q94&lt;&gt;"",$R94&lt;&gt;"",$R94&lt;$Q94),AND($R94&lt;&gt;"",$Q94="")),1,0)</f>
        <v/>
      </c>
      <c r="W94">
        <f>IF($B94="","",IF($S94=1,IF($R94&lt;&gt;"",$R94,$D94),IF($Q94&lt;&gt;"",MAX($M$5,$Q94)+$E94*(1-$S94)/24,MAX($M$5,$C94)+$E94/24)))</f>
        <v/>
      </c>
      <c r="X94">
        <f>IF($B94="","",ROUND(($W94-$D94)*24,1))</f>
        <v/>
      </c>
      <c r="Y94">
        <f>IF($B94="","",IF($Q94&lt;&gt;"",$X94,IF($X94&gt;0,MAX($X94,IF($Y93="",0,IF($Y93&gt;0,$Y93-MAX(0,($C94-$D93)*24),$Y93))),IF($Y93="",0,IF($Y93&gt;0,$Y93-MAX(0,($C94-$D93)*24),$Y93)))))</f>
        <v/>
      </c>
      <c r="AB94">
        <f>IF(AND($B94&lt;&gt;"",$F94&gt;=8),1,0)</f>
        <v/>
      </c>
    </row>
    <row r="95" ht="19.5" customHeight="1">
      <c r="A95" s="24">
        <f>IF(OR($B95="",9&gt;$O$10),"",9)</f>
        <v/>
      </c>
      <c r="B95" s="25" t="inlineStr">
        <is>
          <t>Apply sealant to the culvert</t>
        </is>
      </c>
      <c r="C95" s="106">
        <f>IF(OR($B95="",9&gt;$O$10),"",IF($F95=0,$C$8,IF($G95="SS",OFFSET($C$86,$F95,0)+$H95/24,IF($G95="FF",OFFSET($D$86,$F95,0)+$H95/24-$E95/24,IF($G95="SF",OFFSET($C$86,$F95,0)+$H95/24-$E95/24,OFFSET($D$86,$F95,0)+$H95/24)))))</f>
        <v/>
      </c>
      <c r="D95" s="106">
        <f>IF(OR($B95="",9&gt;$O$10),"",$C95+$E95/24)</f>
        <v/>
      </c>
      <c r="E95" s="107" t="n">
        <v>1</v>
      </c>
      <c r="F95" s="28" t="n">
        <v>8</v>
      </c>
      <c r="G95" s="29" t="inlineStr">
        <is>
          <t>FS</t>
        </is>
      </c>
      <c r="H95" s="108" t="n">
        <v>0</v>
      </c>
      <c r="I95" s="109" t="n"/>
      <c r="J95" s="110" t="n"/>
      <c r="K95" s="109" t="n"/>
      <c r="L95" s="110" t="n"/>
      <c r="M95" s="111">
        <f>IF(OR($Q95="",$R95="",$V95=1),"",($R95-$Q95)*24)</f>
        <v/>
      </c>
      <c r="N95" s="34" t="n"/>
      <c r="O95" s="22">
        <f>IF(OR($B95="",9&gt;$O$10),"",IF($AB95=1,"! CHECK LINK",IF($V95=1,"! CHECK DATES",IF($S95=1,IF($R95="","Completed",IF($R95&lt;$D95,"Completed - Ahead",IF($R95&lt;=$D95+1/1440,"Completed - On Time","Completed - Delayed"))),IF($Q95&lt;&gt;"",IF($Y95&lt;=0.1,"In Progress - On Track","In Progress - BEHIND"),IF($M$5&lt;$C95,"Not Started","NOT STARTED - LATE"))))))</f>
        <v/>
      </c>
      <c r="P95" s="35" t="n"/>
      <c r="Q95">
        <f>IF($I95="","",$I95+IF($J95="",0,$J95))</f>
        <v/>
      </c>
      <c r="R95">
        <f>IF($K95="","",$K95+IF($L95="",0,$L95))</f>
        <v/>
      </c>
      <c r="S95">
        <f>IF($V95=1,0,IF($R95&lt;&gt;"",1,IF($N95="",0,$N95)))</f>
        <v/>
      </c>
      <c r="T95">
        <f>IF(OR($B95="",$E95=0),0,MEDIAN(0,($M$5-$C95)/($E95/24),1))</f>
        <v/>
      </c>
      <c r="U95">
        <f>($S95-$T95)*$E95</f>
        <v/>
      </c>
      <c r="V95">
        <f>IF(OR(AND($Q95&lt;&gt;"",$Q95&lt;$C$8),AND($Q95&lt;&gt;"",$R95&lt;&gt;"",$R95&lt;$Q95),AND($R95&lt;&gt;"",$Q95="")),1,0)</f>
        <v/>
      </c>
      <c r="W95">
        <f>IF($B95="","",IF($S95=1,IF($R95&lt;&gt;"",$R95,$D95),IF($Q95&lt;&gt;"",MAX($M$5,$Q95)+$E95*(1-$S95)/24,MAX($M$5,$C95)+$E95/24)))</f>
        <v/>
      </c>
      <c r="X95">
        <f>IF($B95="","",ROUND(($W95-$D95)*24,1))</f>
        <v/>
      </c>
      <c r="Y95">
        <f>IF($B95="","",IF($Q95&lt;&gt;"",$X95,IF($X95&gt;0,MAX($X95,IF($Y94="",0,IF($Y94&gt;0,$Y94-MAX(0,($C95-$D94)*24),$Y94))),IF($Y94="",0,IF($Y94&gt;0,$Y94-MAX(0,($C95-$D94)*24),$Y94)))))</f>
        <v/>
      </c>
      <c r="AB95">
        <f>IF(AND($B95&lt;&gt;"",$F95&gt;=9),1,0)</f>
        <v/>
      </c>
    </row>
    <row r="96" ht="19.5" customHeight="1">
      <c r="A96" s="24">
        <f>IF(OR($B96="",10&gt;$O$10),"",10)</f>
        <v/>
      </c>
      <c r="B96" s="25" t="inlineStr">
        <is>
          <t>Backfill around culvert to subgrade level</t>
        </is>
      </c>
      <c r="C96" s="106">
        <f>IF(OR($B96="",10&gt;$O$10),"",IF($F96=0,$C$8,IF($G96="SS",OFFSET($C$86,$F96,0)+$H96/24,IF($G96="FF",OFFSET($D$86,$F96,0)+$H96/24-$E96/24,IF($G96="SF",OFFSET($C$86,$F96,0)+$H96/24-$E96/24,OFFSET($D$86,$F96,0)+$H96/24)))))</f>
        <v/>
      </c>
      <c r="D96" s="106">
        <f>IF(OR($B96="",10&gt;$O$10),"",$C96+$E96/24)</f>
        <v/>
      </c>
      <c r="E96" s="107" t="n">
        <v>3</v>
      </c>
      <c r="F96" s="28" t="n">
        <v>9</v>
      </c>
      <c r="G96" s="29" t="inlineStr">
        <is>
          <t>FS</t>
        </is>
      </c>
      <c r="H96" s="108" t="n">
        <v>0</v>
      </c>
      <c r="I96" s="109" t="n"/>
      <c r="J96" s="110" t="n"/>
      <c r="K96" s="109" t="n"/>
      <c r="L96" s="110" t="n"/>
      <c r="M96" s="111">
        <f>IF(OR($Q96="",$R96="",$V96=1),"",($R96-$Q96)*24)</f>
        <v/>
      </c>
      <c r="N96" s="34" t="n"/>
      <c r="O96" s="22">
        <f>IF(OR($B96="",10&gt;$O$10),"",IF($AB96=1,"! CHECK LINK",IF($V96=1,"! CHECK DATES",IF($S96=1,IF($R96="","Completed",IF($R96&lt;$D96,"Completed - Ahead",IF($R96&lt;=$D96+1/1440,"Completed - On Time","Completed - Delayed"))),IF($Q96&lt;&gt;"",IF($Y96&lt;=0.1,"In Progress - On Track","In Progress - BEHIND"),IF($M$5&lt;$C96,"Not Started","NOT STARTED - LATE"))))))</f>
        <v/>
      </c>
      <c r="P96" s="35" t="n"/>
      <c r="Q96">
        <f>IF($I96="","",$I96+IF($J96="",0,$J96))</f>
        <v/>
      </c>
      <c r="R96">
        <f>IF($K96="","",$K96+IF($L96="",0,$L96))</f>
        <v/>
      </c>
      <c r="S96">
        <f>IF($V96=1,0,IF($R96&lt;&gt;"",1,IF($N96="",0,$N96)))</f>
        <v/>
      </c>
      <c r="T96">
        <f>IF(OR($B96="",$E96=0),0,MEDIAN(0,($M$5-$C96)/($E96/24),1))</f>
        <v/>
      </c>
      <c r="U96">
        <f>($S96-$T96)*$E96</f>
        <v/>
      </c>
      <c r="V96">
        <f>IF(OR(AND($Q96&lt;&gt;"",$Q96&lt;$C$8),AND($Q96&lt;&gt;"",$R96&lt;&gt;"",$R96&lt;$Q96),AND($R96&lt;&gt;"",$Q96="")),1,0)</f>
        <v/>
      </c>
      <c r="W96">
        <f>IF($B96="","",IF($S96=1,IF($R96&lt;&gt;"",$R96,$D96),IF($Q96&lt;&gt;"",MAX($M$5,$Q96)+$E96*(1-$S96)/24,MAX($M$5,$C96)+$E96/24)))</f>
        <v/>
      </c>
      <c r="X96">
        <f>IF($B96="","",ROUND(($W96-$D96)*24,1))</f>
        <v/>
      </c>
      <c r="Y96">
        <f>IF($B96="","",IF($Q96&lt;&gt;"",$X96,IF($X96&gt;0,MAX($X96,IF($Y95="",0,IF($Y95&gt;0,$Y95-MAX(0,($C96-$D95)*24),$Y95))),IF($Y95="",0,IF($Y95&gt;0,$Y95-MAX(0,($C96-$D95)*24),$Y95)))))</f>
        <v/>
      </c>
      <c r="AB96">
        <f>IF(AND($B96&lt;&gt;"",$F96&gt;=10),1,0)</f>
        <v/>
      </c>
    </row>
    <row r="97" ht="19.5" customHeight="1">
      <c r="A97" s="24">
        <f>IF(OR($B97="",11&gt;$O$10),"",11)</f>
        <v/>
      </c>
      <c r="B97" s="25" t="inlineStr">
        <is>
          <t>Backfill Subgrade</t>
        </is>
      </c>
      <c r="C97" s="106">
        <f>IF(OR($B97="",11&gt;$O$10),"",IF($F97=0,$C$8,IF($G97="SS",OFFSET($C$86,$F97,0)+$H97/24,IF($G97="FF",OFFSET($D$86,$F97,0)+$H97/24-$E97/24,IF($G97="SF",OFFSET($C$86,$F97,0)+$H97/24-$E97/24,OFFSET($D$86,$F97,0)+$H97/24)))))</f>
        <v/>
      </c>
      <c r="D97" s="106">
        <f>IF(OR($B97="",11&gt;$O$10),"",$C97+$E97/24)</f>
        <v/>
      </c>
      <c r="E97" s="107" t="n">
        <v>1</v>
      </c>
      <c r="F97" s="28" t="n">
        <v>10</v>
      </c>
      <c r="G97" s="29" t="inlineStr">
        <is>
          <t>FS</t>
        </is>
      </c>
      <c r="H97" s="108" t="n">
        <v>0</v>
      </c>
      <c r="I97" s="109" t="n"/>
      <c r="J97" s="110" t="n"/>
      <c r="K97" s="109" t="n"/>
      <c r="L97" s="110" t="n"/>
      <c r="M97" s="111">
        <f>IF(OR($Q97="",$R97="",$V97=1),"",($R97-$Q97)*24)</f>
        <v/>
      </c>
      <c r="N97" s="34" t="n"/>
      <c r="O97" s="22">
        <f>IF(OR($B97="",11&gt;$O$10),"",IF($AB97=1,"! CHECK LINK",IF($V97=1,"! CHECK DATES",IF($S97=1,IF($R97="","Completed",IF($R97&lt;$D97,"Completed - Ahead",IF($R97&lt;=$D97+1/1440,"Completed - On Time","Completed - Delayed"))),IF($Q97&lt;&gt;"",IF($Y97&lt;=0.1,"In Progress - On Track","In Progress - BEHIND"),IF($M$5&lt;$C97,"Not Started","NOT STARTED - LATE"))))))</f>
        <v/>
      </c>
      <c r="P97" s="35" t="n"/>
      <c r="Q97">
        <f>IF($I97="","",$I97+IF($J97="",0,$J97))</f>
        <v/>
      </c>
      <c r="R97">
        <f>IF($K97="","",$K97+IF($L97="",0,$L97))</f>
        <v/>
      </c>
      <c r="S97">
        <f>IF($V97=1,0,IF($R97&lt;&gt;"",1,IF($N97="",0,$N97)))</f>
        <v/>
      </c>
      <c r="T97">
        <f>IF(OR($B97="",$E97=0),0,MEDIAN(0,($M$5-$C97)/($E97/24),1))</f>
        <v/>
      </c>
      <c r="U97">
        <f>($S97-$T97)*$E97</f>
        <v/>
      </c>
      <c r="V97">
        <f>IF(OR(AND($Q97&lt;&gt;"",$Q97&lt;$C$8),AND($Q97&lt;&gt;"",$R97&lt;&gt;"",$R97&lt;$Q97),AND($R97&lt;&gt;"",$Q97="")),1,0)</f>
        <v/>
      </c>
      <c r="W97">
        <f>IF($B97="","",IF($S97=1,IF($R97&lt;&gt;"",$R97,$D97),IF($Q97&lt;&gt;"",MAX($M$5,$Q97)+$E97*(1-$S97)/24,MAX($M$5,$C97)+$E97/24)))</f>
        <v/>
      </c>
      <c r="X97">
        <f>IF($B97="","",ROUND(($W97-$D97)*24,1))</f>
        <v/>
      </c>
      <c r="Y97">
        <f>IF($B97="","",IF($Q97&lt;&gt;"",$X97,IF($X97&gt;0,MAX($X97,IF($Y96="",0,IF($Y96&gt;0,$Y96-MAX(0,($C97-$D96)*24),$Y96))),IF($Y96="",0,IF($Y96&gt;0,$Y96-MAX(0,($C97-$D96)*24),$Y96)))))</f>
        <v/>
      </c>
      <c r="AB97">
        <f>IF(AND($B97&lt;&gt;"",$F97&gt;=11),1,0)</f>
        <v/>
      </c>
    </row>
    <row r="98" ht="19.5" customHeight="1">
      <c r="A98" s="24">
        <f>IF(OR($B98="",12&gt;$O$10),"",12)</f>
        <v/>
      </c>
      <c r="B98" s="25" t="inlineStr">
        <is>
          <t>First layer of ballast (Line 1)</t>
        </is>
      </c>
      <c r="C98" s="106">
        <f>IF(OR($B98="",12&gt;$O$10),"",IF($F98=0,$C$8,IF($G98="SS",OFFSET($C$86,$F98,0)+$H98/24,IF($G98="FF",OFFSET($D$86,$F98,0)+$H98/24-$E98/24,IF($G98="SF",OFFSET($C$86,$F98,0)+$H98/24-$E98/24,OFFSET($D$86,$F98,0)+$H98/24)))))</f>
        <v/>
      </c>
      <c r="D98" s="106">
        <f>IF(OR($B98="",12&gt;$O$10),"",$C98+$E98/24)</f>
        <v/>
      </c>
      <c r="E98" s="107" t="n">
        <v>1</v>
      </c>
      <c r="F98" s="28" t="n">
        <v>11</v>
      </c>
      <c r="G98" s="29" t="inlineStr">
        <is>
          <t>FS</t>
        </is>
      </c>
      <c r="H98" s="108" t="n">
        <v>0</v>
      </c>
      <c r="I98" s="109" t="n"/>
      <c r="J98" s="110" t="n"/>
      <c r="K98" s="109" t="n"/>
      <c r="L98" s="110" t="n"/>
      <c r="M98" s="111">
        <f>IF(OR($Q98="",$R98="",$V98=1),"",($R98-$Q98)*24)</f>
        <v/>
      </c>
      <c r="N98" s="34" t="n"/>
      <c r="O98" s="22">
        <f>IF(OR($B98="",12&gt;$O$10),"",IF($AB98=1,"! CHECK LINK",IF($V98=1,"! CHECK DATES",IF($S98=1,IF($R98="","Completed",IF($R98&lt;$D98,"Completed - Ahead",IF($R98&lt;=$D98+1/1440,"Completed - On Time","Completed - Delayed"))),IF($Q98&lt;&gt;"",IF($Y98&lt;=0.1,"In Progress - On Track","In Progress - BEHIND"),IF($M$5&lt;$C98,"Not Started","NOT STARTED - LATE"))))))</f>
        <v/>
      </c>
      <c r="P98" s="35" t="n"/>
      <c r="Q98">
        <f>IF($I98="","",$I98+IF($J98="",0,$J98))</f>
        <v/>
      </c>
      <c r="R98">
        <f>IF($K98="","",$K98+IF($L98="",0,$L98))</f>
        <v/>
      </c>
      <c r="S98">
        <f>IF($V98=1,0,IF($R98&lt;&gt;"",1,IF($N98="",0,$N98)))</f>
        <v/>
      </c>
      <c r="T98">
        <f>IF(OR($B98="",$E98=0),0,MEDIAN(0,($M$5-$C98)/($E98/24),1))</f>
        <v/>
      </c>
      <c r="U98">
        <f>($S98-$T98)*$E98</f>
        <v/>
      </c>
      <c r="V98">
        <f>IF(OR(AND($Q98&lt;&gt;"",$Q98&lt;$C$8),AND($Q98&lt;&gt;"",$R98&lt;&gt;"",$R98&lt;$Q98),AND($R98&lt;&gt;"",$Q98="")),1,0)</f>
        <v/>
      </c>
      <c r="W98">
        <f>IF($B98="","",IF($S98=1,IF($R98&lt;&gt;"",$R98,$D98),IF($Q98&lt;&gt;"",MAX($M$5,$Q98)+$E98*(1-$S98)/24,MAX($M$5,$C98)+$E98/24)))</f>
        <v/>
      </c>
      <c r="X98">
        <f>IF($B98="","",ROUND(($W98-$D98)*24,1))</f>
        <v/>
      </c>
      <c r="Y98">
        <f>IF($B98="","",IF($Q98&lt;&gt;"",$X98,IF($X98&gt;0,MAX($X98,IF($Y97="",0,IF($Y97&gt;0,$Y97-MAX(0,($C98-$D97)*24),$Y97))),IF($Y97="",0,IF($Y97&gt;0,$Y97-MAX(0,($C98-$D97)*24),$Y97)))))</f>
        <v/>
      </c>
      <c r="AB98">
        <f>IF(AND($B98&lt;&gt;"",$F98&gt;=12),1,0)</f>
        <v/>
      </c>
    </row>
    <row r="99" ht="19.5" customHeight="1">
      <c r="A99" s="24">
        <f>IF(OR($B99="",13&gt;$O$10),"",13)</f>
        <v/>
      </c>
      <c r="B99" s="25" t="inlineStr">
        <is>
          <t>First layer of ballast (Line 3)</t>
        </is>
      </c>
      <c r="C99" s="106">
        <f>IF(OR($B99="",13&gt;$O$10),"",IF($F99=0,$C$8,IF($G99="SS",OFFSET($C$86,$F99,0)+$H99/24,IF($G99="FF",OFFSET($D$86,$F99,0)+$H99/24-$E99/24,IF($G99="SF",OFFSET($C$86,$F99,0)+$H99/24-$E99/24,OFFSET($D$86,$F99,0)+$H99/24)))))</f>
        <v/>
      </c>
      <c r="D99" s="106">
        <f>IF(OR($B99="",13&gt;$O$10),"",$C99+$E99/24)</f>
        <v/>
      </c>
      <c r="E99" s="107" t="n">
        <v>1</v>
      </c>
      <c r="F99" s="28" t="n">
        <v>12</v>
      </c>
      <c r="G99" s="29" t="inlineStr">
        <is>
          <t>FS</t>
        </is>
      </c>
      <c r="H99" s="108" t="n">
        <v>0</v>
      </c>
      <c r="I99" s="109" t="n"/>
      <c r="J99" s="110" t="n"/>
      <c r="K99" s="109" t="n"/>
      <c r="L99" s="110" t="n"/>
      <c r="M99" s="111">
        <f>IF(OR($Q99="",$R99="",$V99=1),"",($R99-$Q99)*24)</f>
        <v/>
      </c>
      <c r="N99" s="34" t="n"/>
      <c r="O99" s="22">
        <f>IF(OR($B99="",13&gt;$O$10),"",IF($AB99=1,"! CHECK LINK",IF($V99=1,"! CHECK DATES",IF($S99=1,IF($R99="","Completed",IF($R99&lt;$D99,"Completed - Ahead",IF($R99&lt;=$D99+1/1440,"Completed - On Time","Completed - Delayed"))),IF($Q99&lt;&gt;"",IF($Y99&lt;=0.1,"In Progress - On Track","In Progress - BEHIND"),IF($M$5&lt;$C99,"Not Started","NOT STARTED - LATE"))))))</f>
        <v/>
      </c>
      <c r="P99" s="35" t="n"/>
      <c r="Q99">
        <f>IF($I99="","",$I99+IF($J99="",0,$J99))</f>
        <v/>
      </c>
      <c r="R99">
        <f>IF($K99="","",$K99+IF($L99="",0,$L99))</f>
        <v/>
      </c>
      <c r="S99">
        <f>IF($V99=1,0,IF($R99&lt;&gt;"",1,IF($N99="",0,$N99)))</f>
        <v/>
      </c>
      <c r="T99">
        <f>IF(OR($B99="",$E99=0),0,MEDIAN(0,($M$5-$C99)/($E99/24),1))</f>
        <v/>
      </c>
      <c r="U99">
        <f>($S99-$T99)*$E99</f>
        <v/>
      </c>
      <c r="V99">
        <f>IF(OR(AND($Q99&lt;&gt;"",$Q99&lt;$C$8),AND($Q99&lt;&gt;"",$R99&lt;&gt;"",$R99&lt;$Q99),AND($R99&lt;&gt;"",$Q99="")),1,0)</f>
        <v/>
      </c>
      <c r="W99">
        <f>IF($B99="","",IF($S99=1,IF($R99&lt;&gt;"",$R99,$D99),IF($Q99&lt;&gt;"",MAX($M$5,$Q99)+$E99*(1-$S99)/24,MAX($M$5,$C99)+$E99/24)))</f>
        <v/>
      </c>
      <c r="X99">
        <f>IF($B99="","",ROUND(($W99-$D99)*24,1))</f>
        <v/>
      </c>
      <c r="Y99">
        <f>IF($B99="","",IF($Q99&lt;&gt;"",$X99,IF($X99&gt;0,MAX($X99,IF($Y98="",0,IF($Y98&gt;0,$Y98-MAX(0,($C99-$D98)*24),$Y98))),IF($Y98="",0,IF($Y98&gt;0,$Y98-MAX(0,($C99-$D98)*24),$Y98)))))</f>
        <v/>
      </c>
      <c r="AB99">
        <f>IF(AND($B99&lt;&gt;"",$F99&gt;=13),1,0)</f>
        <v/>
      </c>
    </row>
    <row r="100" ht="19.5" customHeight="1">
      <c r="A100" s="24">
        <f>IF(OR($B100="",14&gt;$O$10),"",14)</f>
        <v/>
      </c>
      <c r="B100" s="25" t="inlineStr">
        <is>
          <t>Track installation (Line 1)</t>
        </is>
      </c>
      <c r="C100" s="106">
        <f>IF(OR($B100="",14&gt;$O$10),"",IF($F100=0,$C$8,IF($G100="SS",OFFSET($C$86,$F100,0)+$H100/24,IF($G100="FF",OFFSET($D$86,$F100,0)+$H100/24-$E100/24,IF($G100="SF",OFFSET($C$86,$F100,0)+$H100/24-$E100/24,OFFSET($D$86,$F100,0)+$H100/24)))))</f>
        <v/>
      </c>
      <c r="D100" s="106">
        <f>IF(OR($B100="",14&gt;$O$10),"",$C100+$E100/24)</f>
        <v/>
      </c>
      <c r="E100" s="107" t="n">
        <v>1</v>
      </c>
      <c r="F100" s="28" t="n">
        <v>13</v>
      </c>
      <c r="G100" s="29" t="inlineStr">
        <is>
          <t>FS</t>
        </is>
      </c>
      <c r="H100" s="108" t="n">
        <v>0</v>
      </c>
      <c r="I100" s="109" t="n"/>
      <c r="J100" s="110" t="n"/>
      <c r="K100" s="109" t="n"/>
      <c r="L100" s="110" t="n"/>
      <c r="M100" s="111">
        <f>IF(OR($Q100="",$R100="",$V100=1),"",($R100-$Q100)*24)</f>
        <v/>
      </c>
      <c r="N100" s="34" t="n"/>
      <c r="O100" s="22">
        <f>IF(OR($B100="",14&gt;$O$10),"",IF($AB100=1,"! CHECK LINK",IF($V100=1,"! CHECK DATES",IF($S100=1,IF($R100="","Completed",IF($R100&lt;$D100,"Completed - Ahead",IF($R100&lt;=$D100+1/1440,"Completed - On Time","Completed - Delayed"))),IF($Q100&lt;&gt;"",IF($Y100&lt;=0.1,"In Progress - On Track","In Progress - BEHIND"),IF($M$5&lt;$C100,"Not Started","NOT STARTED - LATE"))))))</f>
        <v/>
      </c>
      <c r="P100" s="35" t="n"/>
      <c r="Q100">
        <f>IF($I100="","",$I100+IF($J100="",0,$J100))</f>
        <v/>
      </c>
      <c r="R100">
        <f>IF($K100="","",$K100+IF($L100="",0,$L100))</f>
        <v/>
      </c>
      <c r="S100">
        <f>IF($V100=1,0,IF($R100&lt;&gt;"",1,IF($N100="",0,$N100)))</f>
        <v/>
      </c>
      <c r="T100">
        <f>IF(OR($B100="",$E100=0),0,MEDIAN(0,($M$5-$C100)/($E100/24),1))</f>
        <v/>
      </c>
      <c r="U100">
        <f>($S100-$T100)*$E100</f>
        <v/>
      </c>
      <c r="V100">
        <f>IF(OR(AND($Q100&lt;&gt;"",$Q100&lt;$C$8),AND($Q100&lt;&gt;"",$R100&lt;&gt;"",$R100&lt;$Q100),AND($R100&lt;&gt;"",$Q100="")),1,0)</f>
        <v/>
      </c>
      <c r="W100">
        <f>IF($B100="","",IF($S100=1,IF($R100&lt;&gt;"",$R100,$D100),IF($Q100&lt;&gt;"",MAX($M$5,$Q100)+$E100*(1-$S100)/24,MAX($M$5,$C100)+$E100/24)))</f>
        <v/>
      </c>
      <c r="X100">
        <f>IF($B100="","",ROUND(($W100-$D100)*24,1))</f>
        <v/>
      </c>
      <c r="Y100">
        <f>IF($B100="","",IF($Q100&lt;&gt;"",$X100,IF($X100&gt;0,MAX($X100,IF($Y99="",0,IF($Y99&gt;0,$Y99-MAX(0,($C100-$D99)*24),$Y99))),IF($Y99="",0,IF($Y99&gt;0,$Y99-MAX(0,($C100-$D99)*24),$Y99)))))</f>
        <v/>
      </c>
      <c r="AB100">
        <f>IF(AND($B100&lt;&gt;"",$F100&gt;=14),1,0)</f>
        <v/>
      </c>
    </row>
    <row r="101" ht="19.5" customHeight="1">
      <c r="A101" s="24">
        <f>IF(OR($B101="",15&gt;$O$10),"",15)</f>
        <v/>
      </c>
      <c r="B101" s="25" t="inlineStr">
        <is>
          <t>Track installation (Line 3)</t>
        </is>
      </c>
      <c r="C101" s="106">
        <f>IF(OR($B101="",15&gt;$O$10),"",IF($F101=0,$C$8,IF($G101="SS",OFFSET($C$86,$F101,0)+$H101/24,IF($G101="FF",OFFSET($D$86,$F101,0)+$H101/24-$E101/24,IF($G101="SF",OFFSET($C$86,$F101,0)+$H101/24-$E101/24,OFFSET($D$86,$F101,0)+$H101/24)))))</f>
        <v/>
      </c>
      <c r="D101" s="106">
        <f>IF(OR($B101="",15&gt;$O$10),"",$C101+$E101/24)</f>
        <v/>
      </c>
      <c r="E101" s="107" t="n">
        <v>1</v>
      </c>
      <c r="F101" s="28" t="n">
        <v>14</v>
      </c>
      <c r="G101" s="29" t="inlineStr">
        <is>
          <t>FS</t>
        </is>
      </c>
      <c r="H101" s="108" t="n">
        <v>0</v>
      </c>
      <c r="I101" s="109" t="n"/>
      <c r="J101" s="110" t="n"/>
      <c r="K101" s="109" t="n"/>
      <c r="L101" s="110" t="n"/>
      <c r="M101" s="111">
        <f>IF(OR($Q101="",$R101="",$V101=1),"",($R101-$Q101)*24)</f>
        <v/>
      </c>
      <c r="N101" s="34" t="n"/>
      <c r="O101" s="22">
        <f>IF(OR($B101="",15&gt;$O$10),"",IF($AB101=1,"! CHECK LINK",IF($V101=1,"! CHECK DATES",IF($S101=1,IF($R101="","Completed",IF($R101&lt;$D101,"Completed - Ahead",IF($R101&lt;=$D101+1/1440,"Completed - On Time","Completed - Delayed"))),IF($Q101&lt;&gt;"",IF($Y101&lt;=0.1,"In Progress - On Track","In Progress - BEHIND"),IF($M$5&lt;$C101,"Not Started","NOT STARTED - LATE"))))))</f>
        <v/>
      </c>
      <c r="P101" s="35" t="n"/>
      <c r="Q101">
        <f>IF($I101="","",$I101+IF($J101="",0,$J101))</f>
        <v/>
      </c>
      <c r="R101">
        <f>IF($K101="","",$K101+IF($L101="",0,$L101))</f>
        <v/>
      </c>
      <c r="S101">
        <f>IF($V101=1,0,IF($R101&lt;&gt;"",1,IF($N101="",0,$N101)))</f>
        <v/>
      </c>
      <c r="T101">
        <f>IF(OR($B101="",$E101=0),0,MEDIAN(0,($M$5-$C101)/($E101/24),1))</f>
        <v/>
      </c>
      <c r="U101">
        <f>($S101-$T101)*$E101</f>
        <v/>
      </c>
      <c r="V101">
        <f>IF(OR(AND($Q101&lt;&gt;"",$Q101&lt;$C$8),AND($Q101&lt;&gt;"",$R101&lt;&gt;"",$R101&lt;$Q101),AND($R101&lt;&gt;"",$Q101="")),1,0)</f>
        <v/>
      </c>
      <c r="W101">
        <f>IF($B101="","",IF($S101=1,IF($R101&lt;&gt;"",$R101,$D101),IF($Q101&lt;&gt;"",MAX($M$5,$Q101)+$E101*(1-$S101)/24,MAX($M$5,$C101)+$E101/24)))</f>
        <v/>
      </c>
      <c r="X101">
        <f>IF($B101="","",ROUND(($W101-$D101)*24,1))</f>
        <v/>
      </c>
      <c r="Y101">
        <f>IF($B101="","",IF($Q101&lt;&gt;"",$X101,IF($X101&gt;0,MAX($X101,IF($Y100="",0,IF($Y100&gt;0,$Y100-MAX(0,($C101-$D100)*24),$Y100))),IF($Y100="",0,IF($Y100&gt;0,$Y100-MAX(0,($C101-$D100)*24),$Y100)))))</f>
        <v/>
      </c>
      <c r="AB101">
        <f>IF(AND($B101&lt;&gt;"",$F101&gt;=15),1,0)</f>
        <v/>
      </c>
    </row>
    <row r="102" ht="19.5" customHeight="1">
      <c r="A102" s="24">
        <f>IF(OR($B102="",16&gt;$O$10),"",16)</f>
        <v/>
      </c>
      <c r="B102" s="25" t="inlineStr">
        <is>
          <t>1st &amp; 2nd Ballasting / Tamping (Line 1)</t>
        </is>
      </c>
      <c r="C102" s="106">
        <f>IF(OR($B102="",16&gt;$O$10),"",IF($F102=0,$C$8,IF($G102="SS",OFFSET($C$86,$F102,0)+$H102/24,IF($G102="FF",OFFSET($D$86,$F102,0)+$H102/24-$E102/24,IF($G102="SF",OFFSET($C$86,$F102,0)+$H102/24-$E102/24,OFFSET($D$86,$F102,0)+$H102/24)))))</f>
        <v/>
      </c>
      <c r="D102" s="106">
        <f>IF(OR($B102="",16&gt;$O$10),"",$C102+$E102/24)</f>
        <v/>
      </c>
      <c r="E102" s="107" t="n">
        <v>1</v>
      </c>
      <c r="F102" s="28" t="n">
        <v>15</v>
      </c>
      <c r="G102" s="29" t="inlineStr">
        <is>
          <t>FS</t>
        </is>
      </c>
      <c r="H102" s="108" t="n">
        <v>0</v>
      </c>
      <c r="I102" s="109" t="n"/>
      <c r="J102" s="110" t="n"/>
      <c r="K102" s="109" t="n"/>
      <c r="L102" s="110" t="n"/>
      <c r="M102" s="111">
        <f>IF(OR($Q102="",$R102="",$V102=1),"",($R102-$Q102)*24)</f>
        <v/>
      </c>
      <c r="N102" s="34" t="n"/>
      <c r="O102" s="22">
        <f>IF(OR($B102="",16&gt;$O$10),"",IF($AB102=1,"! CHECK LINK",IF($V102=1,"! CHECK DATES",IF($S102=1,IF($R102="","Completed",IF($R102&lt;$D102,"Completed - Ahead",IF($R102&lt;=$D102+1/1440,"Completed - On Time","Completed - Delayed"))),IF($Q102&lt;&gt;"",IF($Y102&lt;=0.1,"In Progress - On Track","In Progress - BEHIND"),IF($M$5&lt;$C102,"Not Started","NOT STARTED - LATE"))))))</f>
        <v/>
      </c>
      <c r="P102" s="35" t="n"/>
      <c r="Q102">
        <f>IF($I102="","",$I102+IF($J102="",0,$J102))</f>
        <v/>
      </c>
      <c r="R102">
        <f>IF($K102="","",$K102+IF($L102="",0,$L102))</f>
        <v/>
      </c>
      <c r="S102">
        <f>IF($V102=1,0,IF($R102&lt;&gt;"",1,IF($N102="",0,$N102)))</f>
        <v/>
      </c>
      <c r="T102">
        <f>IF(OR($B102="",$E102=0),0,MEDIAN(0,($M$5-$C102)/($E102/24),1))</f>
        <v/>
      </c>
      <c r="U102">
        <f>($S102-$T102)*$E102</f>
        <v/>
      </c>
      <c r="V102">
        <f>IF(OR(AND($Q102&lt;&gt;"",$Q102&lt;$C$8),AND($Q102&lt;&gt;"",$R102&lt;&gt;"",$R102&lt;$Q102),AND($R102&lt;&gt;"",$Q102="")),1,0)</f>
        <v/>
      </c>
      <c r="W102">
        <f>IF($B102="","",IF($S102=1,IF($R102&lt;&gt;"",$R102,$D102),IF($Q102&lt;&gt;"",MAX($M$5,$Q102)+$E102*(1-$S102)/24,MAX($M$5,$C102)+$E102/24)))</f>
        <v/>
      </c>
      <c r="X102">
        <f>IF($B102="","",ROUND(($W102-$D102)*24,1))</f>
        <v/>
      </c>
      <c r="Y102">
        <f>IF($B102="","",IF($Q102&lt;&gt;"",$X102,IF($X102&gt;0,MAX($X102,IF($Y101="",0,IF($Y101&gt;0,$Y101-MAX(0,($C102-$D101)*24),$Y101))),IF($Y101="",0,IF($Y101&gt;0,$Y101-MAX(0,($C102-$D101)*24),$Y101)))))</f>
        <v/>
      </c>
      <c r="AB102">
        <f>IF(AND($B102&lt;&gt;"",$F102&gt;=16),1,0)</f>
        <v/>
      </c>
    </row>
    <row r="103" ht="19.5" customHeight="1">
      <c r="A103" s="24">
        <f>IF(OR($B103="",17&gt;$O$10),"",17)</f>
        <v/>
      </c>
      <c r="B103" s="25" t="inlineStr">
        <is>
          <t>Final Ballasting / Tamping (Line 1)</t>
        </is>
      </c>
      <c r="C103" s="106">
        <f>IF(OR($B103="",17&gt;$O$10),"",IF($F103=0,$C$8,IF($G103="SS",OFFSET($C$86,$F103,0)+$H103/24,IF($G103="FF",OFFSET($D$86,$F103,0)+$H103/24-$E103/24,IF($G103="SF",OFFSET($C$86,$F103,0)+$H103/24-$E103/24,OFFSET($D$86,$F103,0)+$H103/24)))))</f>
        <v/>
      </c>
      <c r="D103" s="106">
        <f>IF(OR($B103="",17&gt;$O$10),"",$C103+$E103/24)</f>
        <v/>
      </c>
      <c r="E103" s="107" t="n">
        <v>1</v>
      </c>
      <c r="F103" s="28" t="n">
        <v>16</v>
      </c>
      <c r="G103" s="29" t="inlineStr">
        <is>
          <t>FS</t>
        </is>
      </c>
      <c r="H103" s="108" t="n">
        <v>0</v>
      </c>
      <c r="I103" s="109" t="n"/>
      <c r="J103" s="110" t="n"/>
      <c r="K103" s="109" t="n"/>
      <c r="L103" s="110" t="n"/>
      <c r="M103" s="111">
        <f>IF(OR($Q103="",$R103="",$V103=1),"",($R103-$Q103)*24)</f>
        <v/>
      </c>
      <c r="N103" s="34" t="n"/>
      <c r="O103" s="22">
        <f>IF(OR($B103="",17&gt;$O$10),"",IF($AB103=1,"! CHECK LINK",IF($V103=1,"! CHECK DATES",IF($S103=1,IF($R103="","Completed",IF($R103&lt;$D103,"Completed - Ahead",IF($R103&lt;=$D103+1/1440,"Completed - On Time","Completed - Delayed"))),IF($Q103&lt;&gt;"",IF($Y103&lt;=0.1,"In Progress - On Track","In Progress - BEHIND"),IF($M$5&lt;$C103,"Not Started","NOT STARTED - LATE"))))))</f>
        <v/>
      </c>
      <c r="P103" s="35" t="n"/>
      <c r="Q103">
        <f>IF($I103="","",$I103+IF($J103="",0,$J103))</f>
        <v/>
      </c>
      <c r="R103">
        <f>IF($K103="","",$K103+IF($L103="",0,$L103))</f>
        <v/>
      </c>
      <c r="S103">
        <f>IF($V103=1,0,IF($R103&lt;&gt;"",1,IF($N103="",0,$N103)))</f>
        <v/>
      </c>
      <c r="T103">
        <f>IF(OR($B103="",$E103=0),0,MEDIAN(0,($M$5-$C103)/($E103/24),1))</f>
        <v/>
      </c>
      <c r="U103">
        <f>($S103-$T103)*$E103</f>
        <v/>
      </c>
      <c r="V103">
        <f>IF(OR(AND($Q103&lt;&gt;"",$Q103&lt;$C$8),AND($Q103&lt;&gt;"",$R103&lt;&gt;"",$R103&lt;$Q103),AND($R103&lt;&gt;"",$Q103="")),1,0)</f>
        <v/>
      </c>
      <c r="W103">
        <f>IF($B103="","",IF($S103=1,IF($R103&lt;&gt;"",$R103,$D103),IF($Q103&lt;&gt;"",MAX($M$5,$Q103)+$E103*(1-$S103)/24,MAX($M$5,$C103)+$E103/24)))</f>
        <v/>
      </c>
      <c r="X103">
        <f>IF($B103="","",ROUND(($W103-$D103)*24,1))</f>
        <v/>
      </c>
      <c r="Y103">
        <f>IF($B103="","",IF($Q103&lt;&gt;"",$X103,IF($X103&gt;0,MAX($X103,IF($Y102="",0,IF($Y102&gt;0,$Y102-MAX(0,($C103-$D102)*24),$Y102))),IF($Y102="",0,IF($Y102&gt;0,$Y102-MAX(0,($C103-$D102)*24),$Y102)))))</f>
        <v/>
      </c>
      <c r="AB103">
        <f>IF(AND($B103&lt;&gt;"",$F103&gt;=17),1,0)</f>
        <v/>
      </c>
    </row>
    <row r="104" ht="19.5" customHeight="1">
      <c r="A104" s="24">
        <f>IF(OR($B104="",18&gt;$O$10),"",18)</f>
        <v/>
      </c>
      <c r="B104" s="25" t="inlineStr">
        <is>
          <t>OTMP moves from line 1 to Line 3</t>
        </is>
      </c>
      <c r="C104" s="106">
        <f>IF(OR($B104="",18&gt;$O$10),"",IF($F104=0,$C$8,IF($G104="SS",OFFSET($C$86,$F104,0)+$H104/24,IF($G104="FF",OFFSET($D$86,$F104,0)+$H104/24-$E104/24,IF($G104="SF",OFFSET($C$86,$F104,0)+$H104/24-$E104/24,OFFSET($D$86,$F104,0)+$H104/24)))))</f>
        <v/>
      </c>
      <c r="D104" s="106">
        <f>IF(OR($B104="",18&gt;$O$10),"",$C104+$E104/24)</f>
        <v/>
      </c>
      <c r="E104" s="107" t="n">
        <v>1</v>
      </c>
      <c r="F104" s="28" t="n">
        <v>17</v>
      </c>
      <c r="G104" s="29" t="inlineStr">
        <is>
          <t>FS</t>
        </is>
      </c>
      <c r="H104" s="108" t="n">
        <v>0</v>
      </c>
      <c r="I104" s="109" t="n"/>
      <c r="J104" s="110" t="n"/>
      <c r="K104" s="109" t="n"/>
      <c r="L104" s="110" t="n"/>
      <c r="M104" s="111">
        <f>IF(OR($Q104="",$R104="",$V104=1),"",($R104-$Q104)*24)</f>
        <v/>
      </c>
      <c r="N104" s="34" t="n"/>
      <c r="O104" s="22">
        <f>IF(OR($B104="",18&gt;$O$10),"",IF($AB104=1,"! CHECK LINK",IF($V104=1,"! CHECK DATES",IF($S104=1,IF($R104="","Completed",IF($R104&lt;$D104,"Completed - Ahead",IF($R104&lt;=$D104+1/1440,"Completed - On Time","Completed - Delayed"))),IF($Q104&lt;&gt;"",IF($Y104&lt;=0.1,"In Progress - On Track","In Progress - BEHIND"),IF($M$5&lt;$C104,"Not Started","NOT STARTED - LATE"))))))</f>
        <v/>
      </c>
      <c r="P104" s="35" t="n"/>
      <c r="Q104">
        <f>IF($I104="","",$I104+IF($J104="",0,$J104))</f>
        <v/>
      </c>
      <c r="R104">
        <f>IF($K104="","",$K104+IF($L104="",0,$L104))</f>
        <v/>
      </c>
      <c r="S104">
        <f>IF($V104=1,0,IF($R104&lt;&gt;"",1,IF($N104="",0,$N104)))</f>
        <v/>
      </c>
      <c r="T104">
        <f>IF(OR($B104="",$E104=0),0,MEDIAN(0,($M$5-$C104)/($E104/24),1))</f>
        <v/>
      </c>
      <c r="U104">
        <f>($S104-$T104)*$E104</f>
        <v/>
      </c>
      <c r="V104">
        <f>IF(OR(AND($Q104&lt;&gt;"",$Q104&lt;$C$8),AND($Q104&lt;&gt;"",$R104&lt;&gt;"",$R104&lt;$Q104),AND($R104&lt;&gt;"",$Q104="")),1,0)</f>
        <v/>
      </c>
      <c r="W104">
        <f>IF($B104="","",IF($S104=1,IF($R104&lt;&gt;"",$R104,$D104),IF($Q104&lt;&gt;"",MAX($M$5,$Q104)+$E104*(1-$S104)/24,MAX($M$5,$C104)+$E104/24)))</f>
        <v/>
      </c>
      <c r="X104">
        <f>IF($B104="","",ROUND(($W104-$D104)*24,1))</f>
        <v/>
      </c>
      <c r="Y104">
        <f>IF($B104="","",IF($Q104&lt;&gt;"",$X104,IF($X104&gt;0,MAX($X104,IF($Y103="",0,IF($Y103&gt;0,$Y103-MAX(0,($C104-$D103)*24),$Y103))),IF($Y103="",0,IF($Y103&gt;0,$Y103-MAX(0,($C104-$D103)*24),$Y103)))))</f>
        <v/>
      </c>
      <c r="AB104">
        <f>IF(AND($B104&lt;&gt;"",$F104&gt;=18),1,0)</f>
        <v/>
      </c>
    </row>
    <row r="105" ht="19.5" customHeight="1">
      <c r="A105" s="24">
        <f>IF(OR($B105="",19&gt;$O$10),"",19)</f>
        <v/>
      </c>
      <c r="B105" s="25" t="inlineStr">
        <is>
          <t>ATW – 4U (out of destressing) (Line 1)</t>
        </is>
      </c>
      <c r="C105" s="106">
        <f>IF(OR($B105="",19&gt;$O$10),"",IF($F105=0,$C$8,IF($G105="SS",OFFSET($C$86,$F105,0)+$H105/24,IF($G105="FF",OFFSET($D$86,$F105,0)+$H105/24-$E105/24,IF($G105="SF",OFFSET($C$86,$F105,0)+$H105/24-$E105/24,OFFSET($D$86,$F105,0)+$H105/24)))))</f>
        <v/>
      </c>
      <c r="D105" s="106">
        <f>IF(OR($B105="",19&gt;$O$10),"",$C105+$E105/24)</f>
        <v/>
      </c>
      <c r="E105" s="107" t="n">
        <v>2</v>
      </c>
      <c r="F105" s="28" t="n">
        <v>18</v>
      </c>
      <c r="G105" s="29" t="inlineStr">
        <is>
          <t>FS</t>
        </is>
      </c>
      <c r="H105" s="108" t="n">
        <v>0</v>
      </c>
      <c r="I105" s="109" t="n"/>
      <c r="J105" s="110" t="n"/>
      <c r="K105" s="109" t="n"/>
      <c r="L105" s="110" t="n"/>
      <c r="M105" s="111">
        <f>IF(OR($Q105="",$R105="",$V105=1),"",($R105-$Q105)*24)</f>
        <v/>
      </c>
      <c r="N105" s="34" t="n"/>
      <c r="O105" s="22">
        <f>IF(OR($B105="",19&gt;$O$10),"",IF($AB105=1,"! CHECK LINK",IF($V105=1,"! CHECK DATES",IF($S105=1,IF($R105="","Completed",IF($R105&lt;$D105,"Completed - Ahead",IF($R105&lt;=$D105+1/1440,"Completed - On Time","Completed - Delayed"))),IF($Q105&lt;&gt;"",IF($Y105&lt;=0.1,"In Progress - On Track","In Progress - BEHIND"),IF($M$5&lt;$C105,"Not Started","NOT STARTED - LATE"))))))</f>
        <v/>
      </c>
      <c r="P105" s="35" t="n"/>
      <c r="Q105">
        <f>IF($I105="","",$I105+IF($J105="",0,$J105))</f>
        <v/>
      </c>
      <c r="R105">
        <f>IF($K105="","",$K105+IF($L105="",0,$L105))</f>
        <v/>
      </c>
      <c r="S105">
        <f>IF($V105=1,0,IF($R105&lt;&gt;"",1,IF($N105="",0,$N105)))</f>
        <v/>
      </c>
      <c r="T105">
        <f>IF(OR($B105="",$E105=0),0,MEDIAN(0,($M$5-$C105)/($E105/24),1))</f>
        <v/>
      </c>
      <c r="U105">
        <f>($S105-$T105)*$E105</f>
        <v/>
      </c>
      <c r="V105">
        <f>IF(OR(AND($Q105&lt;&gt;"",$Q105&lt;$C$8),AND($Q105&lt;&gt;"",$R105&lt;&gt;"",$R105&lt;$Q105),AND($R105&lt;&gt;"",$Q105="")),1,0)</f>
        <v/>
      </c>
      <c r="W105">
        <f>IF($B105="","",IF($S105=1,IF($R105&lt;&gt;"",$R105,$D105),IF($Q105&lt;&gt;"",MAX($M$5,$Q105)+$E105*(1-$S105)/24,MAX($M$5,$C105)+$E105/24)))</f>
        <v/>
      </c>
      <c r="X105">
        <f>IF($B105="","",ROUND(($W105-$D105)*24,1))</f>
        <v/>
      </c>
      <c r="Y105">
        <f>IF($B105="","",IF($Q105&lt;&gt;"",$X105,IF($X105&gt;0,MAX($X105,IF($Y104="",0,IF($Y104&gt;0,$Y104-MAX(0,($C105-$D104)*24),$Y104))),IF($Y104="",0,IF($Y104&gt;0,$Y104-MAX(0,($C105-$D104)*24),$Y104)))))</f>
        <v/>
      </c>
      <c r="AB105">
        <f>IF(AND($B105&lt;&gt;"",$F105&gt;=19),1,0)</f>
        <v/>
      </c>
    </row>
    <row r="106" ht="19.5" customHeight="1">
      <c r="A106" s="24">
        <f>IF(OR($B106="",20&gt;$O$10),"",20)</f>
        <v/>
      </c>
      <c r="B106" s="25" t="inlineStr">
        <is>
          <t>ATW – 4U (out of destressing) (Line 3)</t>
        </is>
      </c>
      <c r="C106" s="106">
        <f>IF(OR($B106="",20&gt;$O$10),"",IF($F106=0,$C$8,IF($G106="SS",OFFSET($C$86,$F106,0)+$H106/24,IF($G106="FF",OFFSET($D$86,$F106,0)+$H106/24-$E106/24,IF($G106="SF",OFFSET($C$86,$F106,0)+$H106/24-$E106/24,OFFSET($D$86,$F106,0)+$H106/24)))))</f>
        <v/>
      </c>
      <c r="D106" s="106">
        <f>IF(OR($B106="",20&gt;$O$10),"",$C106+$E106/24)</f>
        <v/>
      </c>
      <c r="E106" s="107" t="n">
        <v>2</v>
      </c>
      <c r="F106" s="28" t="n">
        <v>19</v>
      </c>
      <c r="G106" s="29" t="inlineStr">
        <is>
          <t>FS</t>
        </is>
      </c>
      <c r="H106" s="108" t="n">
        <v>0</v>
      </c>
      <c r="I106" s="109" t="n"/>
      <c r="J106" s="110" t="n"/>
      <c r="K106" s="109" t="n"/>
      <c r="L106" s="110" t="n"/>
      <c r="M106" s="111">
        <f>IF(OR($Q106="",$R106="",$V106=1),"",($R106-$Q106)*24)</f>
        <v/>
      </c>
      <c r="N106" s="34" t="n"/>
      <c r="O106" s="22">
        <f>IF(OR($B106="",20&gt;$O$10),"",IF($AB106=1,"! CHECK LINK",IF($V106=1,"! CHECK DATES",IF($S106=1,IF($R106="","Completed",IF($R106&lt;$D106,"Completed - Ahead",IF($R106&lt;=$D106+1/1440,"Completed - On Time","Completed - Delayed"))),IF($Q106&lt;&gt;"",IF($Y106&lt;=0.1,"In Progress - On Track","In Progress - BEHIND"),IF($M$5&lt;$C106,"Not Started","NOT STARTED - LATE"))))))</f>
        <v/>
      </c>
      <c r="P106" s="35" t="n"/>
      <c r="Q106">
        <f>IF($I106="","",$I106+IF($J106="",0,$J106))</f>
        <v/>
      </c>
      <c r="R106">
        <f>IF($K106="","",$K106+IF($L106="",0,$L106))</f>
        <v/>
      </c>
      <c r="S106">
        <f>IF($V106=1,0,IF($R106&lt;&gt;"",1,IF($N106="",0,$N106)))</f>
        <v/>
      </c>
      <c r="T106">
        <f>IF(OR($B106="",$E106=0),0,MEDIAN(0,($M$5-$C106)/($E106/24),1))</f>
        <v/>
      </c>
      <c r="U106">
        <f>($S106-$T106)*$E106</f>
        <v/>
      </c>
      <c r="V106">
        <f>IF(OR(AND($Q106&lt;&gt;"",$Q106&lt;$C$8),AND($Q106&lt;&gt;"",$R106&lt;&gt;"",$R106&lt;$Q106),AND($R106&lt;&gt;"",$Q106="")),1,0)</f>
        <v/>
      </c>
      <c r="W106">
        <f>IF($B106="","",IF($S106=1,IF($R106&lt;&gt;"",$R106,$D106),IF($Q106&lt;&gt;"",MAX($M$5,$Q106)+$E106*(1-$S106)/24,MAX($M$5,$C106)+$E106/24)))</f>
        <v/>
      </c>
      <c r="X106">
        <f>IF($B106="","",ROUND(($W106-$D106)*24,1))</f>
        <v/>
      </c>
      <c r="Y106">
        <f>IF($B106="","",IF($Q106&lt;&gt;"",$X106,IF($X106&gt;0,MAX($X106,IF($Y105="",0,IF($Y105&gt;0,$Y105-MAX(0,($C106-$D105)*24),$Y105))),IF($Y105="",0,IF($Y105&gt;0,$Y105-MAX(0,($C106-$D105)*24),$Y105)))))</f>
        <v/>
      </c>
      <c r="AB106">
        <f>IF(AND($B106&lt;&gt;"",$F106&gt;=20),1,0)</f>
        <v/>
      </c>
    </row>
    <row r="107" ht="19.5" customHeight="1">
      <c r="A107" s="24">
        <f>IF(OR($B107="",21&gt;$O$10),"",21)</f>
        <v/>
      </c>
      <c r="B107" s="25" t="inlineStr">
        <is>
          <t>1st &amp; 2nd Ballasting / Tamping (Line 3)</t>
        </is>
      </c>
      <c r="C107" s="106">
        <f>IF(OR($B107="",21&gt;$O$10),"",IF($F107=0,$C$8,IF($G107="SS",OFFSET($C$86,$F107,0)+$H107/24,IF($G107="FF",OFFSET($D$86,$F107,0)+$H107/24-$E107/24,IF($G107="SF",OFFSET($C$86,$F107,0)+$H107/24-$E107/24,OFFSET($D$86,$F107,0)+$H107/24)))))</f>
        <v/>
      </c>
      <c r="D107" s="106">
        <f>IF(OR($B107="",21&gt;$O$10),"",$C107+$E107/24)</f>
        <v/>
      </c>
      <c r="E107" s="107" t="n">
        <v>1</v>
      </c>
      <c r="F107" s="28" t="n">
        <v>20</v>
      </c>
      <c r="G107" s="29" t="inlineStr">
        <is>
          <t>FS</t>
        </is>
      </c>
      <c r="H107" s="108" t="n">
        <v>0</v>
      </c>
      <c r="I107" s="109" t="n"/>
      <c r="J107" s="110" t="n"/>
      <c r="K107" s="109" t="n"/>
      <c r="L107" s="110" t="n"/>
      <c r="M107" s="111">
        <f>IF(OR($Q107="",$R107="",$V107=1),"",($R107-$Q107)*24)</f>
        <v/>
      </c>
      <c r="N107" s="34" t="n"/>
      <c r="O107" s="22">
        <f>IF(OR($B107="",21&gt;$O$10),"",IF($AB107=1,"! CHECK LINK",IF($V107=1,"! CHECK DATES",IF($S107=1,IF($R107="","Completed",IF($R107&lt;$D107,"Completed - Ahead",IF($R107&lt;=$D107+1/1440,"Completed - On Time","Completed - Delayed"))),IF($Q107&lt;&gt;"",IF($Y107&lt;=0.1,"In Progress - On Track","In Progress - BEHIND"),IF($M$5&lt;$C107,"Not Started","NOT STARTED - LATE"))))))</f>
        <v/>
      </c>
      <c r="P107" s="35" t="n"/>
      <c r="Q107">
        <f>IF($I107="","",$I107+IF($J107="",0,$J107))</f>
        <v/>
      </c>
      <c r="R107">
        <f>IF($K107="","",$K107+IF($L107="",0,$L107))</f>
        <v/>
      </c>
      <c r="S107">
        <f>IF($V107=1,0,IF($R107&lt;&gt;"",1,IF($N107="",0,$N107)))</f>
        <v/>
      </c>
      <c r="T107">
        <f>IF(OR($B107="",$E107=0),0,MEDIAN(0,($M$5-$C107)/($E107/24),1))</f>
        <v/>
      </c>
      <c r="U107">
        <f>($S107-$T107)*$E107</f>
        <v/>
      </c>
      <c r="V107">
        <f>IF(OR(AND($Q107&lt;&gt;"",$Q107&lt;$C$8),AND($Q107&lt;&gt;"",$R107&lt;&gt;"",$R107&lt;$Q107),AND($R107&lt;&gt;"",$Q107="")),1,0)</f>
        <v/>
      </c>
      <c r="W107">
        <f>IF($B107="","",IF($S107=1,IF($R107&lt;&gt;"",$R107,$D107),IF($Q107&lt;&gt;"",MAX($M$5,$Q107)+$E107*(1-$S107)/24,MAX($M$5,$C107)+$E107/24)))</f>
        <v/>
      </c>
      <c r="X107">
        <f>IF($B107="","",ROUND(($W107-$D107)*24,1))</f>
        <v/>
      </c>
      <c r="Y107">
        <f>IF($B107="","",IF($Q107&lt;&gt;"",$X107,IF($X107&gt;0,MAX($X107,IF($Y106="",0,IF($Y106&gt;0,$Y106-MAX(0,($C107-$D106)*24),$Y106))),IF($Y106="",0,IF($Y106&gt;0,$Y106-MAX(0,($C107-$D106)*24),$Y106)))))</f>
        <v/>
      </c>
      <c r="AB107">
        <f>IF(AND($B107&lt;&gt;"",$F107&gt;=21),1,0)</f>
        <v/>
      </c>
    </row>
    <row r="108" ht="19.5" customHeight="1">
      <c r="A108" s="24">
        <f>IF(OR($B108="",22&gt;$O$10),"",22)</f>
        <v/>
      </c>
      <c r="B108" s="25" t="inlineStr">
        <is>
          <t>Final Ballasting / Tamping (Line 3)</t>
        </is>
      </c>
      <c r="C108" s="106">
        <f>IF(OR($B108="",22&gt;$O$10),"",IF($F108=0,$C$8,IF($G108="SS",OFFSET($C$86,$F108,0)+$H108/24,IF($G108="FF",OFFSET($D$86,$F108,0)+$H108/24-$E108/24,IF($G108="SF",OFFSET($C$86,$F108,0)+$H108/24-$E108/24,OFFSET($D$86,$F108,0)+$H108/24)))))</f>
        <v/>
      </c>
      <c r="D108" s="106">
        <f>IF(OR($B108="",22&gt;$O$10),"",$C108+$E108/24)</f>
        <v/>
      </c>
      <c r="E108" s="107" t="n">
        <v>1</v>
      </c>
      <c r="F108" s="28" t="n">
        <v>21</v>
      </c>
      <c r="G108" s="29" t="inlineStr">
        <is>
          <t>FS</t>
        </is>
      </c>
      <c r="H108" s="108" t="n">
        <v>0</v>
      </c>
      <c r="I108" s="109" t="n"/>
      <c r="J108" s="110" t="n"/>
      <c r="K108" s="109" t="n"/>
      <c r="L108" s="110" t="n"/>
      <c r="M108" s="111">
        <f>IF(OR($Q108="",$R108="",$V108=1),"",($R108-$Q108)*24)</f>
        <v/>
      </c>
      <c r="N108" s="34" t="n"/>
      <c r="O108" s="22">
        <f>IF(OR($B108="",22&gt;$O$10),"",IF($AB108=1,"! CHECK LINK",IF($V108=1,"! CHECK DATES",IF($S108=1,IF($R108="","Completed",IF($R108&lt;$D108,"Completed - Ahead",IF($R108&lt;=$D108+1/1440,"Completed - On Time","Completed - Delayed"))),IF($Q108&lt;&gt;"",IF($Y108&lt;=0.1,"In Progress - On Track","In Progress - BEHIND"),IF($M$5&lt;$C108,"Not Started","NOT STARTED - LATE"))))))</f>
        <v/>
      </c>
      <c r="P108" s="35" t="n"/>
      <c r="Q108">
        <f>IF($I108="","",$I108+IF($J108="",0,$J108))</f>
        <v/>
      </c>
      <c r="R108">
        <f>IF($K108="","",$K108+IF($L108="",0,$L108))</f>
        <v/>
      </c>
      <c r="S108">
        <f>IF($V108=1,0,IF($R108&lt;&gt;"",1,IF($N108="",0,$N108)))</f>
        <v/>
      </c>
      <c r="T108">
        <f>IF(OR($B108="",$E108=0),0,MEDIAN(0,($M$5-$C108)/($E108/24),1))</f>
        <v/>
      </c>
      <c r="U108">
        <f>($S108-$T108)*$E108</f>
        <v/>
      </c>
      <c r="V108">
        <f>IF(OR(AND($Q108&lt;&gt;"",$Q108&lt;$C$8),AND($Q108&lt;&gt;"",$R108&lt;&gt;"",$R108&lt;$Q108),AND($R108&lt;&gt;"",$Q108="")),1,0)</f>
        <v/>
      </c>
      <c r="W108">
        <f>IF($B108="","",IF($S108=1,IF($R108&lt;&gt;"",$R108,$D108),IF($Q108&lt;&gt;"",MAX($M$5,$Q108)+$E108*(1-$S108)/24,MAX($M$5,$C108)+$E108/24)))</f>
        <v/>
      </c>
      <c r="X108">
        <f>IF($B108="","",ROUND(($W108-$D108)*24,1))</f>
        <v/>
      </c>
      <c r="Y108">
        <f>IF($B108="","",IF($Q108&lt;&gt;"",$X108,IF($X108&gt;0,MAX($X108,IF($Y107="",0,IF($Y107&gt;0,$Y107-MAX(0,($C108-$D107)*24),$Y107))),IF($Y107="",0,IF($Y107&gt;0,$Y107-MAX(0,($C108-$D107)*24),$Y107)))))</f>
        <v/>
      </c>
      <c r="AB108">
        <f>IF(AND($B108&lt;&gt;"",$F108&gt;=22),1,0)</f>
        <v/>
      </c>
    </row>
    <row r="109" ht="19.5" customHeight="1">
      <c r="A109" s="24">
        <f>IF(OR($B109="",23&gt;$O$10),"",23)</f>
        <v/>
      </c>
      <c r="B109" s="25" t="inlineStr">
        <is>
          <t>OTMP back towards station 29</t>
        </is>
      </c>
      <c r="C109" s="106">
        <f>IF(OR($B109="",23&gt;$O$10),"",IF($F109=0,$C$8,IF($G109="SS",OFFSET($C$86,$F109,0)+$H109/24,IF($G109="FF",OFFSET($D$86,$F109,0)+$H109/24-$E109/24,IF($G109="SF",OFFSET($C$86,$F109,0)+$H109/24-$E109/24,OFFSET($D$86,$F109,0)+$H109/24)))))</f>
        <v/>
      </c>
      <c r="D109" s="106">
        <f>IF(OR($B109="",23&gt;$O$10),"",$C109+$E109/24)</f>
        <v/>
      </c>
      <c r="E109" s="107" t="n">
        <v>2</v>
      </c>
      <c r="F109" s="28" t="n">
        <v>22</v>
      </c>
      <c r="G109" s="29" t="inlineStr">
        <is>
          <t>FS</t>
        </is>
      </c>
      <c r="H109" s="108" t="n">
        <v>0</v>
      </c>
      <c r="I109" s="109" t="n"/>
      <c r="J109" s="110" t="n"/>
      <c r="K109" s="109" t="n"/>
      <c r="L109" s="110" t="n"/>
      <c r="M109" s="111">
        <f>IF(OR($Q109="",$R109="",$V109=1),"",($R109-$Q109)*24)</f>
        <v/>
      </c>
      <c r="N109" s="34" t="n"/>
      <c r="O109" s="22">
        <f>IF(OR($B109="",23&gt;$O$10),"",IF($AB109=1,"! CHECK LINK",IF($V109=1,"! CHECK DATES",IF($S109=1,IF($R109="","Completed",IF($R109&lt;$D109,"Completed - Ahead",IF($R109&lt;=$D109+1/1440,"Completed - On Time","Completed - Delayed"))),IF($Q109&lt;&gt;"",IF($Y109&lt;=0.1,"In Progress - On Track","In Progress - BEHIND"),IF($M$5&lt;$C109,"Not Started","NOT STARTED - LATE"))))))</f>
        <v/>
      </c>
      <c r="P109" s="35" t="n"/>
      <c r="Q109">
        <f>IF($I109="","",$I109+IF($J109="",0,$J109))</f>
        <v/>
      </c>
      <c r="R109">
        <f>IF($K109="","",$K109+IF($L109="",0,$L109))</f>
        <v/>
      </c>
      <c r="S109">
        <f>IF($V109=1,0,IF($R109&lt;&gt;"",1,IF($N109="",0,$N109)))</f>
        <v/>
      </c>
      <c r="T109">
        <f>IF(OR($B109="",$E109=0),0,MEDIAN(0,($M$5-$C109)/($E109/24),1))</f>
        <v/>
      </c>
      <c r="U109">
        <f>($S109-$T109)*$E109</f>
        <v/>
      </c>
      <c r="V109">
        <f>IF(OR(AND($Q109&lt;&gt;"",$Q109&lt;$C$8),AND($Q109&lt;&gt;"",$R109&lt;&gt;"",$R109&lt;$Q109),AND($R109&lt;&gt;"",$Q109="")),1,0)</f>
        <v/>
      </c>
      <c r="W109">
        <f>IF($B109="","",IF($S109=1,IF($R109&lt;&gt;"",$R109,$D109),IF($Q109&lt;&gt;"",MAX($M$5,$Q109)+$E109*(1-$S109)/24,MAX($M$5,$C109)+$E109/24)))</f>
        <v/>
      </c>
      <c r="X109">
        <f>IF($B109="","",ROUND(($W109-$D109)*24,1))</f>
        <v/>
      </c>
      <c r="Y109">
        <f>IF($B109="","",IF($Q109&lt;&gt;"",$X109,IF($X109&gt;0,MAX($X109,IF($Y108="",0,IF($Y108&gt;0,$Y108-MAX(0,($C109-$D108)*24),$Y108))),IF($Y108="",0,IF($Y108&gt;0,$Y108-MAX(0,($C109-$D108)*24),$Y108)))))</f>
        <v/>
      </c>
      <c r="AB109">
        <f>IF(AND($B109&lt;&gt;"",$F109&gt;=23),1,0)</f>
        <v/>
      </c>
    </row>
    <row r="110" ht="19.5" customHeight="1">
      <c r="A110" s="24">
        <f>IF(OR($B110="",24&gt;$O$10),"",24)</f>
        <v/>
      </c>
      <c r="B110" s="25" t="inlineStr">
        <is>
          <t>Destressing (incl. 2 ATW) (Line 1)</t>
        </is>
      </c>
      <c r="C110" s="106">
        <f>IF(OR($B110="",24&gt;$O$10),"",IF($F110=0,$C$8,IF($G110="SS",OFFSET($C$86,$F110,0)+$H110/24,IF($G110="FF",OFFSET($D$86,$F110,0)+$H110/24-$E110/24,IF($G110="SF",OFFSET($C$86,$F110,0)+$H110/24-$E110/24,OFFSET($D$86,$F110,0)+$H110/24)))))</f>
        <v/>
      </c>
      <c r="D110" s="106">
        <f>IF(OR($B110="",24&gt;$O$10),"",$C110+$E110/24)</f>
        <v/>
      </c>
      <c r="E110" s="107" t="n">
        <v>4</v>
      </c>
      <c r="F110" s="28" t="n">
        <v>23</v>
      </c>
      <c r="G110" s="29" t="inlineStr">
        <is>
          <t>FS</t>
        </is>
      </c>
      <c r="H110" s="108" t="n">
        <v>0</v>
      </c>
      <c r="I110" s="109" t="n"/>
      <c r="J110" s="110" t="n"/>
      <c r="K110" s="109" t="n"/>
      <c r="L110" s="110" t="n"/>
      <c r="M110" s="111">
        <f>IF(OR($Q110="",$R110="",$V110=1),"",($R110-$Q110)*24)</f>
        <v/>
      </c>
      <c r="N110" s="34" t="n"/>
      <c r="O110" s="22">
        <f>IF(OR($B110="",24&gt;$O$10),"",IF($AB110=1,"! CHECK LINK",IF($V110=1,"! CHECK DATES",IF($S110=1,IF($R110="","Completed",IF($R110&lt;$D110,"Completed - Ahead",IF($R110&lt;=$D110+1/1440,"Completed - On Time","Completed - Delayed"))),IF($Q110&lt;&gt;"",IF($Y110&lt;=0.1,"In Progress - On Track","In Progress - BEHIND"),IF($M$5&lt;$C110,"Not Started","NOT STARTED - LATE"))))))</f>
        <v/>
      </c>
      <c r="P110" s="35" t="n"/>
      <c r="Q110">
        <f>IF($I110="","",$I110+IF($J110="",0,$J110))</f>
        <v/>
      </c>
      <c r="R110">
        <f>IF($K110="","",$K110+IF($L110="",0,$L110))</f>
        <v/>
      </c>
      <c r="S110">
        <f>IF($V110=1,0,IF($R110&lt;&gt;"",1,IF($N110="",0,$N110)))</f>
        <v/>
      </c>
      <c r="T110">
        <f>IF(OR($B110="",$E110=0),0,MEDIAN(0,($M$5-$C110)/($E110/24),1))</f>
        <v/>
      </c>
      <c r="U110">
        <f>($S110-$T110)*$E110</f>
        <v/>
      </c>
      <c r="V110">
        <f>IF(OR(AND($Q110&lt;&gt;"",$Q110&lt;$C$8),AND($Q110&lt;&gt;"",$R110&lt;&gt;"",$R110&lt;$Q110),AND($R110&lt;&gt;"",$Q110="")),1,0)</f>
        <v/>
      </c>
      <c r="W110">
        <f>IF($B110="","",IF($S110=1,IF($R110&lt;&gt;"",$R110,$D110),IF($Q110&lt;&gt;"",MAX($M$5,$Q110)+$E110*(1-$S110)/24,MAX($M$5,$C110)+$E110/24)))</f>
        <v/>
      </c>
      <c r="X110">
        <f>IF($B110="","",ROUND(($W110-$D110)*24,1))</f>
        <v/>
      </c>
      <c r="Y110">
        <f>IF($B110="","",IF($Q110&lt;&gt;"",$X110,IF($X110&gt;0,MAX($X110,IF($Y109="",0,IF($Y109&gt;0,$Y109-MAX(0,($C110-$D109)*24),$Y109))),IF($Y109="",0,IF($Y109&gt;0,$Y109-MAX(0,($C110-$D109)*24),$Y109)))))</f>
        <v/>
      </c>
      <c r="AB110">
        <f>IF(AND($B110&lt;&gt;"",$F110&gt;=24),1,0)</f>
        <v/>
      </c>
    </row>
    <row r="111" ht="19.5" customHeight="1">
      <c r="A111" s="24">
        <f>IF(OR($B111="",25&gt;$O$10),"",25)</f>
        <v/>
      </c>
      <c r="B111" s="25" t="inlineStr">
        <is>
          <t>Destressing (incl. 2 ATW) (Line 3)</t>
        </is>
      </c>
      <c r="C111" s="106">
        <f>IF(OR($B111="",25&gt;$O$10),"",IF($F111=0,$C$8,IF($G111="SS",OFFSET($C$86,$F111,0)+$H111/24,IF($G111="FF",OFFSET($D$86,$F111,0)+$H111/24-$E111/24,IF($G111="SF",OFFSET($C$86,$F111,0)+$H111/24-$E111/24,OFFSET($D$86,$F111,0)+$H111/24)))))</f>
        <v/>
      </c>
      <c r="D111" s="106">
        <f>IF(OR($B111="",25&gt;$O$10),"",$C111+$E111/24)</f>
        <v/>
      </c>
      <c r="E111" s="107" t="n">
        <v>4</v>
      </c>
      <c r="F111" s="28" t="n">
        <v>24</v>
      </c>
      <c r="G111" s="29" t="inlineStr">
        <is>
          <t>FS</t>
        </is>
      </c>
      <c r="H111" s="108" t="n">
        <v>0</v>
      </c>
      <c r="I111" s="109" t="n"/>
      <c r="J111" s="110" t="n"/>
      <c r="K111" s="109" t="n"/>
      <c r="L111" s="110" t="n"/>
      <c r="M111" s="111">
        <f>IF(OR($Q111="",$R111="",$V111=1),"",($R111-$Q111)*24)</f>
        <v/>
      </c>
      <c r="N111" s="34" t="n"/>
      <c r="O111" s="22">
        <f>IF(OR($B111="",25&gt;$O$10),"",IF($AB111=1,"! CHECK LINK",IF($V111=1,"! CHECK DATES",IF($S111=1,IF($R111="","Completed",IF($R111&lt;$D111,"Completed - Ahead",IF($R111&lt;=$D111+1/1440,"Completed - On Time","Completed - Delayed"))),IF($Q111&lt;&gt;"",IF($Y111&lt;=0.1,"In Progress - On Track","In Progress - BEHIND"),IF($M$5&lt;$C111,"Not Started","NOT STARTED - LATE"))))))</f>
        <v/>
      </c>
      <c r="P111" s="35" t="n"/>
      <c r="Q111">
        <f>IF($I111="","",$I111+IF($J111="",0,$J111))</f>
        <v/>
      </c>
      <c r="R111">
        <f>IF($K111="","",$K111+IF($L111="",0,$L111))</f>
        <v/>
      </c>
      <c r="S111">
        <f>IF($V111=1,0,IF($R111&lt;&gt;"",1,IF($N111="",0,$N111)))</f>
        <v/>
      </c>
      <c r="T111">
        <f>IF(OR($B111="",$E111=0),0,MEDIAN(0,($M$5-$C111)/($E111/24),1))</f>
        <v/>
      </c>
      <c r="U111">
        <f>($S111-$T111)*$E111</f>
        <v/>
      </c>
      <c r="V111">
        <f>IF(OR(AND($Q111&lt;&gt;"",$Q111&lt;$C$8),AND($Q111&lt;&gt;"",$R111&lt;&gt;"",$R111&lt;$Q111),AND($R111&lt;&gt;"",$Q111="")),1,0)</f>
        <v/>
      </c>
      <c r="W111">
        <f>IF($B111="","",IF($S111=1,IF($R111&lt;&gt;"",$R111,$D111),IF($Q111&lt;&gt;"",MAX($M$5,$Q111)+$E111*(1-$S111)/24,MAX($M$5,$C111)+$E111/24)))</f>
        <v/>
      </c>
      <c r="X111">
        <f>IF($B111="","",ROUND(($W111-$D111)*24,1))</f>
        <v/>
      </c>
      <c r="Y111">
        <f>IF($B111="","",IF($Q111&lt;&gt;"",$X111,IF($X111&gt;0,MAX($X111,IF($Y110="",0,IF($Y110&gt;0,$Y110-MAX(0,($C111-$D110)*24),$Y110))),IF($Y110="",0,IF($Y110&gt;0,$Y110-MAX(0,($C111-$D110)*24),$Y110)))))</f>
        <v/>
      </c>
      <c r="AB111">
        <f>IF(AND($B111&lt;&gt;"",$F111&gt;=25),1,0)</f>
        <v/>
      </c>
    </row>
    <row r="112" ht="19.5" customHeight="1">
      <c r="A112" s="24">
        <f>IF(OR($B112="",26&gt;$O$10),"",26)</f>
        <v/>
      </c>
      <c r="B112" s="25" t="inlineStr">
        <is>
          <t>Finishing (grinding, stamp, UT, inspection)</t>
        </is>
      </c>
      <c r="C112" s="106">
        <f>IF(OR($B112="",26&gt;$O$10),"",IF($F112=0,$C$8,IF($G112="SS",OFFSET($C$86,$F112,0)+$H112/24,IF($G112="FF",OFFSET($D$86,$F112,0)+$H112/24-$E112/24,IF($G112="SF",OFFSET($C$86,$F112,0)+$H112/24-$E112/24,OFFSET($D$86,$F112,0)+$H112/24)))))</f>
        <v/>
      </c>
      <c r="D112" s="106">
        <f>IF(OR($B112="",26&gt;$O$10),"",$C112+$E112/24)</f>
        <v/>
      </c>
      <c r="E112" s="107" t="n">
        <v>1</v>
      </c>
      <c r="F112" s="28" t="n">
        <v>25</v>
      </c>
      <c r="G112" s="29" t="inlineStr">
        <is>
          <t>FS</t>
        </is>
      </c>
      <c r="H112" s="108" t="n">
        <v>0</v>
      </c>
      <c r="I112" s="109" t="n"/>
      <c r="J112" s="110" t="n"/>
      <c r="K112" s="109" t="n"/>
      <c r="L112" s="110" t="n"/>
      <c r="M112" s="111">
        <f>IF(OR($Q112="",$R112="",$V112=1),"",($R112-$Q112)*24)</f>
        <v/>
      </c>
      <c r="N112" s="34" t="n"/>
      <c r="O112" s="22">
        <f>IF(OR($B112="",26&gt;$O$10),"",IF($AB112=1,"! CHECK LINK",IF($V112=1,"! CHECK DATES",IF($S112=1,IF($R112="","Completed",IF($R112&lt;$D112,"Completed - Ahead",IF($R112&lt;=$D112+1/1440,"Completed - On Time","Completed - Delayed"))),IF($Q112&lt;&gt;"",IF($Y112&lt;=0.1,"In Progress - On Track","In Progress - BEHIND"),IF($M$5&lt;$C112,"Not Started","NOT STARTED - LATE"))))))</f>
        <v/>
      </c>
      <c r="P112" s="35" t="n"/>
      <c r="Q112">
        <f>IF($I112="","",$I112+IF($J112="",0,$J112))</f>
        <v/>
      </c>
      <c r="R112">
        <f>IF($K112="","",$K112+IF($L112="",0,$L112))</f>
        <v/>
      </c>
      <c r="S112">
        <f>IF($V112=1,0,IF($R112&lt;&gt;"",1,IF($N112="",0,$N112)))</f>
        <v/>
      </c>
      <c r="T112">
        <f>IF(OR($B112="",$E112=0),0,MEDIAN(0,($M$5-$C112)/($E112/24),1))</f>
        <v/>
      </c>
      <c r="U112">
        <f>($S112-$T112)*$E112</f>
        <v/>
      </c>
      <c r="V112">
        <f>IF(OR(AND($Q112&lt;&gt;"",$Q112&lt;$C$8),AND($Q112&lt;&gt;"",$R112&lt;&gt;"",$R112&lt;$Q112),AND($R112&lt;&gt;"",$Q112="")),1,0)</f>
        <v/>
      </c>
      <c r="W112">
        <f>IF($B112="","",IF($S112=1,IF($R112&lt;&gt;"",$R112,$D112),IF($Q112&lt;&gt;"",MAX($M$5,$Q112)+$E112*(1-$S112)/24,MAX($M$5,$C112)+$E112/24)))</f>
        <v/>
      </c>
      <c r="X112">
        <f>IF($B112="","",ROUND(($W112-$D112)*24,1))</f>
        <v/>
      </c>
      <c r="Y112">
        <f>IF($B112="","",IF($Q112&lt;&gt;"",$X112,IF($X112&gt;0,MAX($X112,IF($Y111="",0,IF($Y111&gt;0,$Y111-MAX(0,($C112-$D111)*24),$Y111))),IF($Y111="",0,IF($Y111&gt;0,$Y111-MAX(0,($C112-$D111)*24),$Y111)))))</f>
        <v/>
      </c>
      <c r="AB112">
        <f>IF(AND($B112&lt;&gt;"",$F112&gt;=26),1,0)</f>
        <v/>
      </c>
    </row>
    <row r="113" ht="19.5" customHeight="1">
      <c r="A113" s="36" t="inlineStr">
        <is>
          <t>TOT</t>
        </is>
      </c>
      <c r="B113" s="37">
        <f>IF($B$17="","",$B$17&amp;"   -   sum of activity hours")</f>
        <v/>
      </c>
      <c r="C113" s="38" t="n"/>
      <c r="D113" s="112">
        <f>IF(COUNT($D87:$D112)=0,"",MAX($D87:$D112))</f>
        <v/>
      </c>
      <c r="E113" s="113">
        <f>SUM($E87:$E112)</f>
        <v/>
      </c>
      <c r="F113" s="38" t="n"/>
      <c r="G113" s="38" t="n"/>
      <c r="H113" s="38" t="n"/>
      <c r="I113" s="38" t="n"/>
      <c r="J113" s="38" t="n"/>
      <c r="K113" s="38" t="n"/>
      <c r="L113" s="38" t="n"/>
      <c r="M113" s="113">
        <f>SUM($M87:$M112)</f>
        <v/>
      </c>
      <c r="N113" s="41">
        <f>$S113</f>
        <v/>
      </c>
      <c r="O113" s="36">
        <f>IF($B$17="","",IF($X113&lt;=0,"ON TRACK","BEHIND"))</f>
        <v/>
      </c>
      <c r="P113" s="38" t="n"/>
      <c r="S113">
        <f>IF($E113=0,0,SUMPRODUCT($E87:$E112,$S87:$S112)/$E113)</f>
        <v/>
      </c>
      <c r="T113">
        <f>IF($E113=0,0,SUMPRODUCT($E87:$E112,$T87:$T112)/$E113)</f>
        <v/>
      </c>
      <c r="U113">
        <f>$S113-$T113</f>
        <v/>
      </c>
      <c r="W113">
        <f>IF($D113="","",$D113+$X113/24)</f>
        <v/>
      </c>
      <c r="X113">
        <f>IF(COUNT($Y87:$Y112)=0,0,LOOKUP(9.9E+307,$Y87:$Y112))</f>
        <v/>
      </c>
    </row>
    <row r="115" ht="24" customHeight="1">
      <c r="A115" s="21">
        <f>IF($B$18="","LOCATION 4  -  not used","   LOCATION 4  -  "&amp;$B$18)</f>
        <v/>
      </c>
    </row>
    <row r="116" ht="30" customHeight="1">
      <c r="A116" s="22" t="inlineStr">
        <is>
          <t>No</t>
        </is>
      </c>
      <c r="B116" s="22" t="inlineStr">
        <is>
          <t>ACTIVITY  (leave blank to switch the row off)</t>
        </is>
      </c>
      <c r="C116" s="22" t="inlineStr">
        <is>
          <t>Planned
Start</t>
        </is>
      </c>
      <c r="D116" s="22" t="inlineStr">
        <is>
          <t>Planned
Finish</t>
        </is>
      </c>
      <c r="E116" s="22" t="inlineStr">
        <is>
          <t>DUR
(h)</t>
        </is>
      </c>
      <c r="F116" s="22" t="inlineStr">
        <is>
          <t>PRED
No</t>
        </is>
      </c>
      <c r="G116" s="22" t="inlineStr">
        <is>
          <t>REL</t>
        </is>
      </c>
      <c r="H116" s="22" t="inlineStr">
        <is>
          <t>LAG
(h)</t>
        </is>
      </c>
      <c r="I116" s="23" t="inlineStr">
        <is>
          <t>ACT START
Date</t>
        </is>
      </c>
      <c r="J116" s="23" t="inlineStr">
        <is>
          <t>ACT START
Time</t>
        </is>
      </c>
      <c r="K116" s="23" t="inlineStr">
        <is>
          <t>ACT FINISH
Date</t>
        </is>
      </c>
      <c r="L116" s="23" t="inlineStr">
        <is>
          <t>ACT FINISH
Time</t>
        </is>
      </c>
      <c r="M116" s="22" t="inlineStr">
        <is>
          <t>ACT
Dur</t>
        </is>
      </c>
      <c r="N116" s="23" t="inlineStr">
        <is>
          <t>% COMP</t>
        </is>
      </c>
      <c r="O116" s="22" t="inlineStr">
        <is>
          <t>STATUS  (auto)</t>
        </is>
      </c>
      <c r="P116" s="23" t="inlineStr">
        <is>
          <t>REMARKS</t>
        </is>
      </c>
    </row>
    <row r="117" ht="19.5" customHeight="1">
      <c r="A117" s="24">
        <f>IF(OR($B117="",1&gt;$O$10),"",1)</f>
        <v/>
      </c>
      <c r="B117" s="25" t="inlineStr">
        <is>
          <t>OTMP moves from station 35 to main Line 1</t>
        </is>
      </c>
      <c r="C117" s="106">
        <f>IF(OR($B117="",1&gt;$O$10),"",IF($F117=0,$C$8,IF($G117="SS",OFFSET($C$116,$F117,0)+$H117/24,IF($G117="FF",OFFSET($D$116,$F117,0)+$H117/24-$E117/24,IF($G117="SF",OFFSET($C$116,$F117,0)+$H117/24-$E117/24,OFFSET($D$116,$F117,0)+$H117/24)))))</f>
        <v/>
      </c>
      <c r="D117" s="106">
        <f>IF(OR($B117="",1&gt;$O$10),"",$C117+$E117/24)</f>
        <v/>
      </c>
      <c r="E117" s="107" t="n">
        <v>1</v>
      </c>
      <c r="F117" s="28" t="n">
        <v>0</v>
      </c>
      <c r="G117" s="29" t="inlineStr">
        <is>
          <t>FS</t>
        </is>
      </c>
      <c r="H117" s="108" t="n">
        <v>0</v>
      </c>
      <c r="I117" s="109" t="n"/>
      <c r="J117" s="110" t="n"/>
      <c r="K117" s="109" t="n"/>
      <c r="L117" s="110" t="n"/>
      <c r="M117" s="111">
        <f>IF(OR($Q117="",$R117="",$V117=1),"",($R117-$Q117)*24)</f>
        <v/>
      </c>
      <c r="N117" s="34" t="n"/>
      <c r="O117" s="22">
        <f>IF(OR($B117="",1&gt;$O$10),"",IF($AB117=1,"! CHECK LINK",IF($V117=1,"! CHECK DATES",IF($S117=1,IF($R117="","Completed",IF($R117&lt;$D117,"Completed - Ahead",IF($R117&lt;=$D117+1/1440,"Completed - On Time","Completed - Delayed"))),IF($Q117&lt;&gt;"",IF($Y117&lt;=0.1,"In Progress - On Track","In Progress - BEHIND"),IF($M$5&lt;$C117,"Not Started","NOT STARTED - LATE"))))))</f>
        <v/>
      </c>
      <c r="P117" s="35" t="n"/>
      <c r="Q117">
        <f>IF($I117="","",$I117+IF($J117="",0,$J117))</f>
        <v/>
      </c>
      <c r="R117">
        <f>IF($K117="","",$K117+IF($L117="",0,$L117))</f>
        <v/>
      </c>
      <c r="S117">
        <f>IF($V117=1,0,IF($R117&lt;&gt;"",1,IF($N117="",0,$N117)))</f>
        <v/>
      </c>
      <c r="T117">
        <f>IF(OR($B117="",$E117=0),0,MEDIAN(0,($M$5-$C117)/($E117/24),1))</f>
        <v/>
      </c>
      <c r="U117">
        <f>($S117-$T117)*$E117</f>
        <v/>
      </c>
      <c r="V117">
        <f>IF(OR(AND($Q117&lt;&gt;"",$Q117&lt;$C$8),AND($Q117&lt;&gt;"",$R117&lt;&gt;"",$R117&lt;$Q117),AND($R117&lt;&gt;"",$Q117="")),1,0)</f>
        <v/>
      </c>
      <c r="W117">
        <f>IF($B117="","",IF($S117=1,IF($R117&lt;&gt;"",$R117,$D117),IF($Q117&lt;&gt;"",MAX($M$5,$Q117)+$E117*(1-$S117)/24,MAX($M$5,$C117)+$E117/24)))</f>
        <v/>
      </c>
      <c r="X117">
        <f>IF($B117="","",ROUND(($W117-$D117)*24,1))</f>
        <v/>
      </c>
      <c r="Y117">
        <f>IF($B117="","",$X117)</f>
        <v/>
      </c>
      <c r="AB117">
        <f>IF(AND($B117&lt;&gt;"",$F117&gt;=1),1,0)</f>
        <v/>
      </c>
    </row>
    <row r="118" ht="19.5" customHeight="1">
      <c r="A118" s="24">
        <f>IF(OR($B118="",2&gt;$O$10),"",2)</f>
        <v/>
      </c>
      <c r="B118" s="25" t="inlineStr">
        <is>
          <t>Track removal &amp; panel evacuation (Line 1)</t>
        </is>
      </c>
      <c r="C118" s="106">
        <f>IF(OR($B118="",2&gt;$O$10),"",IF($F118=0,$C$8,IF($G118="SS",OFFSET($C$116,$F118,0)+$H118/24,IF($G118="FF",OFFSET($D$116,$F118,0)+$H118/24-$E118/24,IF($G118="SF",OFFSET($C$116,$F118,0)+$H118/24-$E118/24,OFFSET($D$116,$F118,0)+$H118/24)))))</f>
        <v/>
      </c>
      <c r="D118" s="106">
        <f>IF(OR($B118="",2&gt;$O$10),"",$C118+$E118/24)</f>
        <v/>
      </c>
      <c r="E118" s="107" t="n">
        <v>1</v>
      </c>
      <c r="F118" s="28" t="n">
        <v>1</v>
      </c>
      <c r="G118" s="29" t="inlineStr">
        <is>
          <t>FS</t>
        </is>
      </c>
      <c r="H118" s="108" t="n">
        <v>0</v>
      </c>
      <c r="I118" s="109" t="n"/>
      <c r="J118" s="110" t="n"/>
      <c r="K118" s="109" t="n"/>
      <c r="L118" s="110" t="n"/>
      <c r="M118" s="111">
        <f>IF(OR($Q118="",$R118="",$V118=1),"",($R118-$Q118)*24)</f>
        <v/>
      </c>
      <c r="N118" s="34" t="n"/>
      <c r="O118" s="22">
        <f>IF(OR($B118="",2&gt;$O$10),"",IF($AB118=1,"! CHECK LINK",IF($V118=1,"! CHECK DATES",IF($S118=1,IF($R118="","Completed",IF($R118&lt;$D118,"Completed - Ahead",IF($R118&lt;=$D118+1/1440,"Completed - On Time","Completed - Delayed"))),IF($Q118&lt;&gt;"",IF($Y118&lt;=0.1,"In Progress - On Track","In Progress - BEHIND"),IF($M$5&lt;$C118,"Not Started","NOT STARTED - LATE"))))))</f>
        <v/>
      </c>
      <c r="P118" s="35" t="n"/>
      <c r="Q118">
        <f>IF($I118="","",$I118+IF($J118="",0,$J118))</f>
        <v/>
      </c>
      <c r="R118">
        <f>IF($K118="","",$K118+IF($L118="",0,$L118))</f>
        <v/>
      </c>
      <c r="S118">
        <f>IF($V118=1,0,IF($R118&lt;&gt;"",1,IF($N118="",0,$N118)))</f>
        <v/>
      </c>
      <c r="T118">
        <f>IF(OR($B118="",$E118=0),0,MEDIAN(0,($M$5-$C118)/($E118/24),1))</f>
        <v/>
      </c>
      <c r="U118">
        <f>($S118-$T118)*$E118</f>
        <v/>
      </c>
      <c r="V118">
        <f>IF(OR(AND($Q118&lt;&gt;"",$Q118&lt;$C$8),AND($Q118&lt;&gt;"",$R118&lt;&gt;"",$R118&lt;$Q118),AND($R118&lt;&gt;"",$Q118="")),1,0)</f>
        <v/>
      </c>
      <c r="W118">
        <f>IF($B118="","",IF($S118=1,IF($R118&lt;&gt;"",$R118,$D118),IF($Q118&lt;&gt;"",MAX($M$5,$Q118)+$E118*(1-$S118)/24,MAX($M$5,$C118)+$E118/24)))</f>
        <v/>
      </c>
      <c r="X118">
        <f>IF($B118="","",ROUND(($W118-$D118)*24,1))</f>
        <v/>
      </c>
      <c r="Y118">
        <f>IF($B118="","",IF($Q118&lt;&gt;"",$X118,IF($X118&gt;0,MAX($X118,IF($Y117="",0,IF($Y117&gt;0,$Y117-MAX(0,($C118-$D117)*24),$Y117))),IF($Y117="",0,IF($Y117&gt;0,$Y117-MAX(0,($C118-$D117)*24),$Y117)))))</f>
        <v/>
      </c>
      <c r="AB118">
        <f>IF(AND($B118&lt;&gt;"",$F118&gt;=2),1,0)</f>
        <v/>
      </c>
    </row>
    <row r="119" ht="19.5" customHeight="1">
      <c r="A119" s="24">
        <f>IF(OR($B119="",3&gt;$O$10),"",3)</f>
        <v/>
      </c>
      <c r="B119" s="25" t="inlineStr">
        <is>
          <t>Track removal &amp; panel evacuation (Line 2)</t>
        </is>
      </c>
      <c r="C119" s="106">
        <f>IF(OR($B119="",3&gt;$O$10),"",IF($F119=0,$C$8,IF($G119="SS",OFFSET($C$116,$F119,0)+$H119/24,IF($G119="FF",OFFSET($D$116,$F119,0)+$H119/24-$E119/24,IF($G119="SF",OFFSET($C$116,$F119,0)+$H119/24-$E119/24,OFFSET($D$116,$F119,0)+$H119/24)))))</f>
        <v/>
      </c>
      <c r="D119" s="106">
        <f>IF(OR($B119="",3&gt;$O$10),"",$C119+$E119/24)</f>
        <v/>
      </c>
      <c r="E119" s="107" t="n">
        <v>1</v>
      </c>
      <c r="F119" s="28" t="n">
        <v>2</v>
      </c>
      <c r="G119" s="29" t="inlineStr">
        <is>
          <t>FS</t>
        </is>
      </c>
      <c r="H119" s="108" t="n">
        <v>0</v>
      </c>
      <c r="I119" s="109" t="n"/>
      <c r="J119" s="110" t="n"/>
      <c r="K119" s="109" t="n"/>
      <c r="L119" s="110" t="n"/>
      <c r="M119" s="111">
        <f>IF(OR($Q119="",$R119="",$V119=1),"",($R119-$Q119)*24)</f>
        <v/>
      </c>
      <c r="N119" s="34" t="n"/>
      <c r="O119" s="22">
        <f>IF(OR($B119="",3&gt;$O$10),"",IF($AB119=1,"! CHECK LINK",IF($V119=1,"! CHECK DATES",IF($S119=1,IF($R119="","Completed",IF($R119&lt;$D119,"Completed - Ahead",IF($R119&lt;=$D119+1/1440,"Completed - On Time","Completed - Delayed"))),IF($Q119&lt;&gt;"",IF($Y119&lt;=0.1,"In Progress - On Track","In Progress - BEHIND"),IF($M$5&lt;$C119,"Not Started","NOT STARTED - LATE"))))))</f>
        <v/>
      </c>
      <c r="P119" s="35" t="n"/>
      <c r="Q119">
        <f>IF($I119="","",$I119+IF($J119="",0,$J119))</f>
        <v/>
      </c>
      <c r="R119">
        <f>IF($K119="","",$K119+IF($L119="",0,$L119))</f>
        <v/>
      </c>
      <c r="S119">
        <f>IF($V119=1,0,IF($R119&lt;&gt;"",1,IF($N119="",0,$N119)))</f>
        <v/>
      </c>
      <c r="T119">
        <f>IF(OR($B119="",$E119=0),0,MEDIAN(0,($M$5-$C119)/($E119/24),1))</f>
        <v/>
      </c>
      <c r="U119">
        <f>($S119-$T119)*$E119</f>
        <v/>
      </c>
      <c r="V119">
        <f>IF(OR(AND($Q119&lt;&gt;"",$Q119&lt;$C$8),AND($Q119&lt;&gt;"",$R119&lt;&gt;"",$R119&lt;$Q119),AND($R119&lt;&gt;"",$Q119="")),1,0)</f>
        <v/>
      </c>
      <c r="W119">
        <f>IF($B119="","",IF($S119=1,IF($R119&lt;&gt;"",$R119,$D119),IF($Q119&lt;&gt;"",MAX($M$5,$Q119)+$E119*(1-$S119)/24,MAX($M$5,$C119)+$E119/24)))</f>
        <v/>
      </c>
      <c r="X119">
        <f>IF($B119="","",ROUND(($W119-$D119)*24,1))</f>
        <v/>
      </c>
      <c r="Y119">
        <f>IF($B119="","",IF($Q119&lt;&gt;"",$X119,IF($X119&gt;0,MAX($X119,IF($Y118="",0,IF($Y118&gt;0,$Y118-MAX(0,($C119-$D118)*24),$Y118))),IF($Y118="",0,IF($Y118&gt;0,$Y118-MAX(0,($C119-$D118)*24),$Y118)))))</f>
        <v/>
      </c>
      <c r="AB119">
        <f>IF(AND($B119&lt;&gt;"",$F119&gt;=3),1,0)</f>
        <v/>
      </c>
    </row>
    <row r="120" ht="19.5" customHeight="1">
      <c r="A120" s="24">
        <f>IF(OR($B120="",4&gt;$O$10),"",4)</f>
        <v/>
      </c>
      <c r="B120" s="25" t="inlineStr">
        <is>
          <t>Ballast removal</t>
        </is>
      </c>
      <c r="C120" s="106">
        <f>IF(OR($B120="",4&gt;$O$10),"",IF($F120=0,$C$8,IF($G120="SS",OFFSET($C$116,$F120,0)+$H120/24,IF($G120="FF",OFFSET($D$116,$F120,0)+$H120/24-$E120/24,IF($G120="SF",OFFSET($C$116,$F120,0)+$H120/24-$E120/24,OFFSET($D$116,$F120,0)+$H120/24)))))</f>
        <v/>
      </c>
      <c r="D120" s="106">
        <f>IF(OR($B120="",4&gt;$O$10),"",$C120+$E120/24)</f>
        <v/>
      </c>
      <c r="E120" s="107" t="n">
        <v>1</v>
      </c>
      <c r="F120" s="28" t="n">
        <v>3</v>
      </c>
      <c r="G120" s="29" t="inlineStr">
        <is>
          <t>FS</t>
        </is>
      </c>
      <c r="H120" s="108" t="n">
        <v>0</v>
      </c>
      <c r="I120" s="109" t="n"/>
      <c r="J120" s="110" t="n"/>
      <c r="K120" s="109" t="n"/>
      <c r="L120" s="110" t="n"/>
      <c r="M120" s="111">
        <f>IF(OR($Q120="",$R120="",$V120=1),"",($R120-$Q120)*24)</f>
        <v/>
      </c>
      <c r="N120" s="34" t="n"/>
      <c r="O120" s="22">
        <f>IF(OR($B120="",4&gt;$O$10),"",IF($AB120=1,"! CHECK LINK",IF($V120=1,"! CHECK DATES",IF($S120=1,IF($R120="","Completed",IF($R120&lt;$D120,"Completed - Ahead",IF($R120&lt;=$D120+1/1440,"Completed - On Time","Completed - Delayed"))),IF($Q120&lt;&gt;"",IF($Y120&lt;=0.1,"In Progress - On Track","In Progress - BEHIND"),IF($M$5&lt;$C120,"Not Started","NOT STARTED - LATE"))))))</f>
        <v/>
      </c>
      <c r="P120" s="35" t="n"/>
      <c r="Q120">
        <f>IF($I120="","",$I120+IF($J120="",0,$J120))</f>
        <v/>
      </c>
      <c r="R120">
        <f>IF($K120="","",$K120+IF($L120="",0,$L120))</f>
        <v/>
      </c>
      <c r="S120">
        <f>IF($V120=1,0,IF($R120&lt;&gt;"",1,IF($N120="",0,$N120)))</f>
        <v/>
      </c>
      <c r="T120">
        <f>IF(OR($B120="",$E120=0),0,MEDIAN(0,($M$5-$C120)/($E120/24),1))</f>
        <v/>
      </c>
      <c r="U120">
        <f>($S120-$T120)*$E120</f>
        <v/>
      </c>
      <c r="V120">
        <f>IF(OR(AND($Q120&lt;&gt;"",$Q120&lt;$C$8),AND($Q120&lt;&gt;"",$R120&lt;&gt;"",$R120&lt;$Q120),AND($R120&lt;&gt;"",$Q120="")),1,0)</f>
        <v/>
      </c>
      <c r="W120">
        <f>IF($B120="","",IF($S120=1,IF($R120&lt;&gt;"",$R120,$D120),IF($Q120&lt;&gt;"",MAX($M$5,$Q120)+$E120*(1-$S120)/24,MAX($M$5,$C120)+$E120/24)))</f>
        <v/>
      </c>
      <c r="X120">
        <f>IF($B120="","",ROUND(($W120-$D120)*24,1))</f>
        <v/>
      </c>
      <c r="Y120">
        <f>IF($B120="","",IF($Q120&lt;&gt;"",$X120,IF($X120&gt;0,MAX($X120,IF($Y119="",0,IF($Y119&gt;0,$Y119-MAX(0,($C120-$D119)*24),$Y119))),IF($Y119="",0,IF($Y119&gt;0,$Y119-MAX(0,($C120-$D119)*24),$Y119)))))</f>
        <v/>
      </c>
      <c r="AB120">
        <f>IF(AND($B120&lt;&gt;"",$F120&gt;=4),1,0)</f>
        <v/>
      </c>
    </row>
    <row r="121" ht="19.5" customHeight="1">
      <c r="A121" s="24">
        <f>IF(OR($B121="",5&gt;$O$10),"",5)</f>
        <v/>
      </c>
      <c r="B121" s="25" t="inlineStr">
        <is>
          <t>Cutting &amp; removal around existing culvert</t>
        </is>
      </c>
      <c r="C121" s="106">
        <f>IF(OR($B121="",5&gt;$O$10),"",IF($F121=0,$C$8,IF($G121="SS",OFFSET($C$116,$F121,0)+$H121/24,IF($G121="FF",OFFSET($D$116,$F121,0)+$H121/24-$E121/24,IF($G121="SF",OFFSET($C$116,$F121,0)+$H121/24-$E121/24,OFFSET($D$116,$F121,0)+$H121/24)))))</f>
        <v/>
      </c>
      <c r="D121" s="106">
        <f>IF(OR($B121="",5&gt;$O$10),"",$C121+$E121/24)</f>
        <v/>
      </c>
      <c r="E121" s="107" t="n">
        <v>1</v>
      </c>
      <c r="F121" s="28" t="n">
        <v>4</v>
      </c>
      <c r="G121" s="29" t="inlineStr">
        <is>
          <t>FS</t>
        </is>
      </c>
      <c r="H121" s="108" t="n">
        <v>0</v>
      </c>
      <c r="I121" s="109" t="n"/>
      <c r="J121" s="110" t="n"/>
      <c r="K121" s="109" t="n"/>
      <c r="L121" s="110" t="n"/>
      <c r="M121" s="111">
        <f>IF(OR($Q121="",$R121="",$V121=1),"",($R121-$Q121)*24)</f>
        <v/>
      </c>
      <c r="N121" s="34" t="n"/>
      <c r="O121" s="22">
        <f>IF(OR($B121="",5&gt;$O$10),"",IF($AB121=1,"! CHECK LINK",IF($V121=1,"! CHECK DATES",IF($S121=1,IF($R121="","Completed",IF($R121&lt;$D121,"Completed - Ahead",IF($R121&lt;=$D121+1/1440,"Completed - On Time","Completed - Delayed"))),IF($Q121&lt;&gt;"",IF($Y121&lt;=0.1,"In Progress - On Track","In Progress - BEHIND"),IF($M$5&lt;$C121,"Not Started","NOT STARTED - LATE"))))))</f>
        <v/>
      </c>
      <c r="P121" s="35" t="n"/>
      <c r="Q121">
        <f>IF($I121="","",$I121+IF($J121="",0,$J121))</f>
        <v/>
      </c>
      <c r="R121">
        <f>IF($K121="","",$K121+IF($L121="",0,$L121))</f>
        <v/>
      </c>
      <c r="S121">
        <f>IF($V121=1,0,IF($R121&lt;&gt;"",1,IF($N121="",0,$N121)))</f>
        <v/>
      </c>
      <c r="T121">
        <f>IF(OR($B121="",$E121=0),0,MEDIAN(0,($M$5-$C121)/($E121/24),1))</f>
        <v/>
      </c>
      <c r="U121">
        <f>($S121-$T121)*$E121</f>
        <v/>
      </c>
      <c r="V121">
        <f>IF(OR(AND($Q121&lt;&gt;"",$Q121&lt;$C$8),AND($Q121&lt;&gt;"",$R121&lt;&gt;"",$R121&lt;$Q121),AND($R121&lt;&gt;"",$Q121="")),1,0)</f>
        <v/>
      </c>
      <c r="W121">
        <f>IF($B121="","",IF($S121=1,IF($R121&lt;&gt;"",$R121,$D121),IF($Q121&lt;&gt;"",MAX($M$5,$Q121)+$E121*(1-$S121)/24,MAX($M$5,$C121)+$E121/24)))</f>
        <v/>
      </c>
      <c r="X121">
        <f>IF($B121="","",ROUND(($W121-$D121)*24,1))</f>
        <v/>
      </c>
      <c r="Y121">
        <f>IF($B121="","",IF($Q121&lt;&gt;"",$X121,IF($X121&gt;0,MAX($X121,IF($Y120="",0,IF($Y120&gt;0,$Y120-MAX(0,($C121-$D120)*24),$Y120))),IF($Y120="",0,IF($Y120&gt;0,$Y120-MAX(0,($C121-$D120)*24),$Y120)))))</f>
        <v/>
      </c>
      <c r="AB121">
        <f>IF(AND($B121&lt;&gt;"",$F121&gt;=5),1,0)</f>
        <v/>
      </c>
    </row>
    <row r="122" ht="19.5" customHeight="1">
      <c r="A122" s="24">
        <f>IF(OR($B122="",6&gt;$O$10),"",6)</f>
        <v/>
      </c>
      <c r="B122" s="25" t="inlineStr">
        <is>
          <t>Demolition of existing culvert</t>
        </is>
      </c>
      <c r="C122" s="106">
        <f>IF(OR($B122="",6&gt;$O$10),"",IF($F122=0,$C$8,IF($G122="SS",OFFSET($C$116,$F122,0)+$H122/24,IF($G122="FF",OFFSET($D$116,$F122,0)+$H122/24-$E122/24,IF($G122="SF",OFFSET($C$116,$F122,0)+$H122/24-$E122/24,OFFSET($D$116,$F122,0)+$H122/24)))))</f>
        <v/>
      </c>
      <c r="D122" s="106">
        <f>IF(OR($B122="",6&gt;$O$10),"",$C122+$E122/24)</f>
        <v/>
      </c>
      <c r="E122" s="107" t="n">
        <v>2</v>
      </c>
      <c r="F122" s="28" t="n">
        <v>5</v>
      </c>
      <c r="G122" s="29" t="inlineStr">
        <is>
          <t>FS</t>
        </is>
      </c>
      <c r="H122" s="108" t="n">
        <v>0</v>
      </c>
      <c r="I122" s="109" t="n"/>
      <c r="J122" s="110" t="n"/>
      <c r="K122" s="109" t="n"/>
      <c r="L122" s="110" t="n"/>
      <c r="M122" s="111">
        <f>IF(OR($Q122="",$R122="",$V122=1),"",($R122-$Q122)*24)</f>
        <v/>
      </c>
      <c r="N122" s="34" t="n"/>
      <c r="O122" s="22">
        <f>IF(OR($B122="",6&gt;$O$10),"",IF($AB122=1,"! CHECK LINK",IF($V122=1,"! CHECK DATES",IF($S122=1,IF($R122="","Completed",IF($R122&lt;$D122,"Completed - Ahead",IF($R122&lt;=$D122+1/1440,"Completed - On Time","Completed - Delayed"))),IF($Q122&lt;&gt;"",IF($Y122&lt;=0.1,"In Progress - On Track","In Progress - BEHIND"),IF($M$5&lt;$C122,"Not Started","NOT STARTED - LATE"))))))</f>
        <v/>
      </c>
      <c r="P122" s="35" t="n"/>
      <c r="Q122">
        <f>IF($I122="","",$I122+IF($J122="",0,$J122))</f>
        <v/>
      </c>
      <c r="R122">
        <f>IF($K122="","",$K122+IF($L122="",0,$L122))</f>
        <v/>
      </c>
      <c r="S122">
        <f>IF($V122=1,0,IF($R122&lt;&gt;"",1,IF($N122="",0,$N122)))</f>
        <v/>
      </c>
      <c r="T122">
        <f>IF(OR($B122="",$E122=0),0,MEDIAN(0,($M$5-$C122)/($E122/24),1))</f>
        <v/>
      </c>
      <c r="U122">
        <f>($S122-$T122)*$E122</f>
        <v/>
      </c>
      <c r="V122">
        <f>IF(OR(AND($Q122&lt;&gt;"",$Q122&lt;$C$8),AND($Q122&lt;&gt;"",$R122&lt;&gt;"",$R122&lt;$Q122),AND($R122&lt;&gt;"",$Q122="")),1,0)</f>
        <v/>
      </c>
      <c r="W122">
        <f>IF($B122="","",IF($S122=1,IF($R122&lt;&gt;"",$R122,$D122),IF($Q122&lt;&gt;"",MAX($M$5,$Q122)+$E122*(1-$S122)/24,MAX($M$5,$C122)+$E122/24)))</f>
        <v/>
      </c>
      <c r="X122">
        <f>IF($B122="","",ROUND(($W122-$D122)*24,1))</f>
        <v/>
      </c>
      <c r="Y122">
        <f>IF($B122="","",IF($Q122&lt;&gt;"",$X122,IF($X122&gt;0,MAX($X122,IF($Y121="",0,IF($Y121&gt;0,$Y121-MAX(0,($C122-$D121)*24),$Y121))),IF($Y121="",0,IF($Y121&gt;0,$Y121-MAX(0,($C122-$D121)*24),$Y121)))))</f>
        <v/>
      </c>
      <c r="AB122">
        <f>IF(AND($B122&lt;&gt;"",$F122&gt;=6),1,0)</f>
        <v/>
      </c>
    </row>
    <row r="123" ht="19.5" customHeight="1">
      <c r="A123" s="24">
        <f>IF(OR($B123="",7&gt;$O$10),"",7)</f>
        <v/>
      </c>
      <c r="B123" s="25" t="inlineStr">
        <is>
          <t>Surface preparation for precast installation</t>
        </is>
      </c>
      <c r="C123" s="106">
        <f>IF(OR($B123="",7&gt;$O$10),"",IF($F123=0,$C$8,IF($G123="SS",OFFSET($C$116,$F123,0)+$H123/24,IF($G123="FF",OFFSET($D$116,$F123,0)+$H123/24-$E123/24,IF($G123="SF",OFFSET($C$116,$F123,0)+$H123/24-$E123/24,OFFSET($D$116,$F123,0)+$H123/24)))))</f>
        <v/>
      </c>
      <c r="D123" s="106">
        <f>IF(OR($B123="",7&gt;$O$10),"",$C123+$E123/24)</f>
        <v/>
      </c>
      <c r="E123" s="107" t="n">
        <v>2</v>
      </c>
      <c r="F123" s="28" t="n">
        <v>6</v>
      </c>
      <c r="G123" s="29" t="inlineStr">
        <is>
          <t>FS</t>
        </is>
      </c>
      <c r="H123" s="108" t="n">
        <v>0</v>
      </c>
      <c r="I123" s="109" t="n"/>
      <c r="J123" s="110" t="n"/>
      <c r="K123" s="109" t="n"/>
      <c r="L123" s="110" t="n"/>
      <c r="M123" s="111">
        <f>IF(OR($Q123="",$R123="",$V123=1),"",($R123-$Q123)*24)</f>
        <v/>
      </c>
      <c r="N123" s="34" t="n"/>
      <c r="O123" s="22">
        <f>IF(OR($B123="",7&gt;$O$10),"",IF($AB123=1,"! CHECK LINK",IF($V123=1,"! CHECK DATES",IF($S123=1,IF($R123="","Completed",IF($R123&lt;$D123,"Completed - Ahead",IF($R123&lt;=$D123+1/1440,"Completed - On Time","Completed - Delayed"))),IF($Q123&lt;&gt;"",IF($Y123&lt;=0.1,"In Progress - On Track","In Progress - BEHIND"),IF($M$5&lt;$C123,"Not Started","NOT STARTED - LATE"))))))</f>
        <v/>
      </c>
      <c r="P123" s="35" t="n"/>
      <c r="Q123">
        <f>IF($I123="","",$I123+IF($J123="",0,$J123))</f>
        <v/>
      </c>
      <c r="R123">
        <f>IF($K123="","",$K123+IF($L123="",0,$L123))</f>
        <v/>
      </c>
      <c r="S123">
        <f>IF($V123=1,0,IF($R123&lt;&gt;"",1,IF($N123="",0,$N123)))</f>
        <v/>
      </c>
      <c r="T123">
        <f>IF(OR($B123="",$E123=0),0,MEDIAN(0,($M$5-$C123)/($E123/24),1))</f>
        <v/>
      </c>
      <c r="U123">
        <f>($S123-$T123)*$E123</f>
        <v/>
      </c>
      <c r="V123">
        <f>IF(OR(AND($Q123&lt;&gt;"",$Q123&lt;$C$8),AND($Q123&lt;&gt;"",$R123&lt;&gt;"",$R123&lt;$Q123),AND($R123&lt;&gt;"",$Q123="")),1,0)</f>
        <v/>
      </c>
      <c r="W123">
        <f>IF($B123="","",IF($S123=1,IF($R123&lt;&gt;"",$R123,$D123),IF($Q123&lt;&gt;"",MAX($M$5,$Q123)+$E123*(1-$S123)/24,MAX($M$5,$C123)+$E123/24)))</f>
        <v/>
      </c>
      <c r="X123">
        <f>IF($B123="","",ROUND(($W123-$D123)*24,1))</f>
        <v/>
      </c>
      <c r="Y123">
        <f>IF($B123="","",IF($Q123&lt;&gt;"",$X123,IF($X123&gt;0,MAX($X123,IF($Y122="",0,IF($Y122&gt;0,$Y122-MAX(0,($C123-$D122)*24),$Y122))),IF($Y122="",0,IF($Y122&gt;0,$Y122-MAX(0,($C123-$D122)*24),$Y122)))))</f>
        <v/>
      </c>
      <c r="AB123">
        <f>IF(AND($B123&lt;&gt;"",$F123&gt;=7),1,0)</f>
        <v/>
      </c>
    </row>
    <row r="124" ht="19.5" customHeight="1">
      <c r="A124" s="24">
        <f>IF(OR($B124="",8&gt;$O$10),"",8)</f>
        <v/>
      </c>
      <c r="B124" s="25" t="inlineStr">
        <is>
          <t>Installation of new precast culvert</t>
        </is>
      </c>
      <c r="C124" s="106">
        <f>IF(OR($B124="",8&gt;$O$10),"",IF($F124=0,$C$8,IF($G124="SS",OFFSET($C$116,$F124,0)+$H124/24,IF($G124="FF",OFFSET($D$116,$F124,0)+$H124/24-$E124/24,IF($G124="SF",OFFSET($C$116,$F124,0)+$H124/24-$E124/24,OFFSET($D$116,$F124,0)+$H124/24)))))</f>
        <v/>
      </c>
      <c r="D124" s="106">
        <f>IF(OR($B124="",8&gt;$O$10),"",$C124+$E124/24)</f>
        <v/>
      </c>
      <c r="E124" s="107" t="n">
        <v>3</v>
      </c>
      <c r="F124" s="28" t="n">
        <v>7</v>
      </c>
      <c r="G124" s="29" t="inlineStr">
        <is>
          <t>FS</t>
        </is>
      </c>
      <c r="H124" s="108" t="n">
        <v>0</v>
      </c>
      <c r="I124" s="109" t="n"/>
      <c r="J124" s="110" t="n"/>
      <c r="K124" s="109" t="n"/>
      <c r="L124" s="110" t="n"/>
      <c r="M124" s="111">
        <f>IF(OR($Q124="",$R124="",$V124=1),"",($R124-$Q124)*24)</f>
        <v/>
      </c>
      <c r="N124" s="34" t="n"/>
      <c r="O124" s="22">
        <f>IF(OR($B124="",8&gt;$O$10),"",IF($AB124=1,"! CHECK LINK",IF($V124=1,"! CHECK DATES",IF($S124=1,IF($R124="","Completed",IF($R124&lt;$D124,"Completed - Ahead",IF($R124&lt;=$D124+1/1440,"Completed - On Time","Completed - Delayed"))),IF($Q124&lt;&gt;"",IF($Y124&lt;=0.1,"In Progress - On Track","In Progress - BEHIND"),IF($M$5&lt;$C124,"Not Started","NOT STARTED - LATE"))))))</f>
        <v/>
      </c>
      <c r="P124" s="35" t="n"/>
      <c r="Q124">
        <f>IF($I124="","",$I124+IF($J124="",0,$J124))</f>
        <v/>
      </c>
      <c r="R124">
        <f>IF($K124="","",$K124+IF($L124="",0,$L124))</f>
        <v/>
      </c>
      <c r="S124">
        <f>IF($V124=1,0,IF($R124&lt;&gt;"",1,IF($N124="",0,$N124)))</f>
        <v/>
      </c>
      <c r="T124">
        <f>IF(OR($B124="",$E124=0),0,MEDIAN(0,($M$5-$C124)/($E124/24),1))</f>
        <v/>
      </c>
      <c r="U124">
        <f>($S124-$T124)*$E124</f>
        <v/>
      </c>
      <c r="V124">
        <f>IF(OR(AND($Q124&lt;&gt;"",$Q124&lt;$C$8),AND($Q124&lt;&gt;"",$R124&lt;&gt;"",$R124&lt;$Q124),AND($R124&lt;&gt;"",$Q124="")),1,0)</f>
        <v/>
      </c>
      <c r="W124">
        <f>IF($B124="","",IF($S124=1,IF($R124&lt;&gt;"",$R124,$D124),IF($Q124&lt;&gt;"",MAX($M$5,$Q124)+$E124*(1-$S124)/24,MAX($M$5,$C124)+$E124/24)))</f>
        <v/>
      </c>
      <c r="X124">
        <f>IF($B124="","",ROUND(($W124-$D124)*24,1))</f>
        <v/>
      </c>
      <c r="Y124">
        <f>IF($B124="","",IF($Q124&lt;&gt;"",$X124,IF($X124&gt;0,MAX($X124,IF($Y123="",0,IF($Y123&gt;0,$Y123-MAX(0,($C124-$D123)*24),$Y123))),IF($Y123="",0,IF($Y123&gt;0,$Y123-MAX(0,($C124-$D123)*24),$Y123)))))</f>
        <v/>
      </c>
      <c r="AB124">
        <f>IF(AND($B124&lt;&gt;"",$F124&gt;=8),1,0)</f>
        <v/>
      </c>
    </row>
    <row r="125" ht="19.5" customHeight="1">
      <c r="A125" s="24">
        <f>IF(OR($B125="",9&gt;$O$10),"",9)</f>
        <v/>
      </c>
      <c r="B125" s="25" t="inlineStr">
        <is>
          <t>Apply sealant to the culvert</t>
        </is>
      </c>
      <c r="C125" s="106">
        <f>IF(OR($B125="",9&gt;$O$10),"",IF($F125=0,$C$8,IF($G125="SS",OFFSET($C$116,$F125,0)+$H125/24,IF($G125="FF",OFFSET($D$116,$F125,0)+$H125/24-$E125/24,IF($G125="SF",OFFSET($C$116,$F125,0)+$H125/24-$E125/24,OFFSET($D$116,$F125,0)+$H125/24)))))</f>
        <v/>
      </c>
      <c r="D125" s="106">
        <f>IF(OR($B125="",9&gt;$O$10),"",$C125+$E125/24)</f>
        <v/>
      </c>
      <c r="E125" s="107" t="n">
        <v>2</v>
      </c>
      <c r="F125" s="28" t="n">
        <v>8</v>
      </c>
      <c r="G125" s="29" t="inlineStr">
        <is>
          <t>FS</t>
        </is>
      </c>
      <c r="H125" s="108" t="n">
        <v>0</v>
      </c>
      <c r="I125" s="109" t="n"/>
      <c r="J125" s="110" t="n"/>
      <c r="K125" s="109" t="n"/>
      <c r="L125" s="110" t="n"/>
      <c r="M125" s="111">
        <f>IF(OR($Q125="",$R125="",$V125=1),"",($R125-$Q125)*24)</f>
        <v/>
      </c>
      <c r="N125" s="34" t="n"/>
      <c r="O125" s="22">
        <f>IF(OR($B125="",9&gt;$O$10),"",IF($AB125=1,"! CHECK LINK",IF($V125=1,"! CHECK DATES",IF($S125=1,IF($R125="","Completed",IF($R125&lt;$D125,"Completed - Ahead",IF($R125&lt;=$D125+1/1440,"Completed - On Time","Completed - Delayed"))),IF($Q125&lt;&gt;"",IF($Y125&lt;=0.1,"In Progress - On Track","In Progress - BEHIND"),IF($M$5&lt;$C125,"Not Started","NOT STARTED - LATE"))))))</f>
        <v/>
      </c>
      <c r="P125" s="35" t="n"/>
      <c r="Q125">
        <f>IF($I125="","",$I125+IF($J125="",0,$J125))</f>
        <v/>
      </c>
      <c r="R125">
        <f>IF($K125="","",$K125+IF($L125="",0,$L125))</f>
        <v/>
      </c>
      <c r="S125">
        <f>IF($V125=1,0,IF($R125&lt;&gt;"",1,IF($N125="",0,$N125)))</f>
        <v/>
      </c>
      <c r="T125">
        <f>IF(OR($B125="",$E125=0),0,MEDIAN(0,($M$5-$C125)/($E125/24),1))</f>
        <v/>
      </c>
      <c r="U125">
        <f>($S125-$T125)*$E125</f>
        <v/>
      </c>
      <c r="V125">
        <f>IF(OR(AND($Q125&lt;&gt;"",$Q125&lt;$C$8),AND($Q125&lt;&gt;"",$R125&lt;&gt;"",$R125&lt;$Q125),AND($R125&lt;&gt;"",$Q125="")),1,0)</f>
        <v/>
      </c>
      <c r="W125">
        <f>IF($B125="","",IF($S125=1,IF($R125&lt;&gt;"",$R125,$D125),IF($Q125&lt;&gt;"",MAX($M$5,$Q125)+$E125*(1-$S125)/24,MAX($M$5,$C125)+$E125/24)))</f>
        <v/>
      </c>
      <c r="X125">
        <f>IF($B125="","",ROUND(($W125-$D125)*24,1))</f>
        <v/>
      </c>
      <c r="Y125">
        <f>IF($B125="","",IF($Q125&lt;&gt;"",$X125,IF($X125&gt;0,MAX($X125,IF($Y124="",0,IF($Y124&gt;0,$Y124-MAX(0,($C125-$D124)*24),$Y124))),IF($Y124="",0,IF($Y124&gt;0,$Y124-MAX(0,($C125-$D124)*24),$Y124)))))</f>
        <v/>
      </c>
      <c r="AB125">
        <f>IF(AND($B125&lt;&gt;"",$F125&gt;=9),1,0)</f>
        <v/>
      </c>
    </row>
    <row r="126" ht="19.5" customHeight="1">
      <c r="A126" s="24">
        <f>IF(OR($B126="",10&gt;$O$10),"",10)</f>
        <v/>
      </c>
      <c r="B126" s="25" t="inlineStr">
        <is>
          <t>Backfill around culvert to subgrade level</t>
        </is>
      </c>
      <c r="C126" s="106">
        <f>IF(OR($B126="",10&gt;$O$10),"",IF($F126=0,$C$8,IF($G126="SS",OFFSET($C$116,$F126,0)+$H126/24,IF($G126="FF",OFFSET($D$116,$F126,0)+$H126/24-$E126/24,IF($G126="SF",OFFSET($C$116,$F126,0)+$H126/24-$E126/24,OFFSET($D$116,$F126,0)+$H126/24)))))</f>
        <v/>
      </c>
      <c r="D126" s="106">
        <f>IF(OR($B126="",10&gt;$O$10),"",$C126+$E126/24)</f>
        <v/>
      </c>
      <c r="E126" s="107" t="n">
        <v>3</v>
      </c>
      <c r="F126" s="28" t="n">
        <v>9</v>
      </c>
      <c r="G126" s="29" t="inlineStr">
        <is>
          <t>FS</t>
        </is>
      </c>
      <c r="H126" s="108" t="n">
        <v>0</v>
      </c>
      <c r="I126" s="109" t="n"/>
      <c r="J126" s="110" t="n"/>
      <c r="K126" s="109" t="n"/>
      <c r="L126" s="110" t="n"/>
      <c r="M126" s="111">
        <f>IF(OR($Q126="",$R126="",$V126=1),"",($R126-$Q126)*24)</f>
        <v/>
      </c>
      <c r="N126" s="34" t="n"/>
      <c r="O126" s="22">
        <f>IF(OR($B126="",10&gt;$O$10),"",IF($AB126=1,"! CHECK LINK",IF($V126=1,"! CHECK DATES",IF($S126=1,IF($R126="","Completed",IF($R126&lt;$D126,"Completed - Ahead",IF($R126&lt;=$D126+1/1440,"Completed - On Time","Completed - Delayed"))),IF($Q126&lt;&gt;"",IF($Y126&lt;=0.1,"In Progress - On Track","In Progress - BEHIND"),IF($M$5&lt;$C126,"Not Started","NOT STARTED - LATE"))))))</f>
        <v/>
      </c>
      <c r="P126" s="35" t="n"/>
      <c r="Q126">
        <f>IF($I126="","",$I126+IF($J126="",0,$J126))</f>
        <v/>
      </c>
      <c r="R126">
        <f>IF($K126="","",$K126+IF($L126="",0,$L126))</f>
        <v/>
      </c>
      <c r="S126">
        <f>IF($V126=1,0,IF($R126&lt;&gt;"",1,IF($N126="",0,$N126)))</f>
        <v/>
      </c>
      <c r="T126">
        <f>IF(OR($B126="",$E126=0),0,MEDIAN(0,($M$5-$C126)/($E126/24),1))</f>
        <v/>
      </c>
      <c r="U126">
        <f>($S126-$T126)*$E126</f>
        <v/>
      </c>
      <c r="V126">
        <f>IF(OR(AND($Q126&lt;&gt;"",$Q126&lt;$C$8),AND($Q126&lt;&gt;"",$R126&lt;&gt;"",$R126&lt;$Q126),AND($R126&lt;&gt;"",$Q126="")),1,0)</f>
        <v/>
      </c>
      <c r="W126">
        <f>IF($B126="","",IF($S126=1,IF($R126&lt;&gt;"",$R126,$D126),IF($Q126&lt;&gt;"",MAX($M$5,$Q126)+$E126*(1-$S126)/24,MAX($M$5,$C126)+$E126/24)))</f>
        <v/>
      </c>
      <c r="X126">
        <f>IF($B126="","",ROUND(($W126-$D126)*24,1))</f>
        <v/>
      </c>
      <c r="Y126">
        <f>IF($B126="","",IF($Q126&lt;&gt;"",$X126,IF($X126&gt;0,MAX($X126,IF($Y125="",0,IF($Y125&gt;0,$Y125-MAX(0,($C126-$D125)*24),$Y125))),IF($Y125="",0,IF($Y125&gt;0,$Y125-MAX(0,($C126-$D125)*24),$Y125)))))</f>
        <v/>
      </c>
      <c r="AB126">
        <f>IF(AND($B126&lt;&gt;"",$F126&gt;=10),1,0)</f>
        <v/>
      </c>
    </row>
    <row r="127" ht="19.5" customHeight="1">
      <c r="A127" s="24">
        <f>IF(OR($B127="",11&gt;$O$10),"",11)</f>
        <v/>
      </c>
      <c r="B127" s="25" t="inlineStr">
        <is>
          <t>Backfill Subgrade</t>
        </is>
      </c>
      <c r="C127" s="106">
        <f>IF(OR($B127="",11&gt;$O$10),"",IF($F127=0,$C$8,IF($G127="SS",OFFSET($C$116,$F127,0)+$H127/24,IF($G127="FF",OFFSET($D$116,$F127,0)+$H127/24-$E127/24,IF($G127="SF",OFFSET($C$116,$F127,0)+$H127/24-$E127/24,OFFSET($D$116,$F127,0)+$H127/24)))))</f>
        <v/>
      </c>
      <c r="D127" s="106">
        <f>IF(OR($B127="",11&gt;$O$10),"",$C127+$E127/24)</f>
        <v/>
      </c>
      <c r="E127" s="107" t="n">
        <v>2</v>
      </c>
      <c r="F127" s="28" t="n">
        <v>10</v>
      </c>
      <c r="G127" s="29" t="inlineStr">
        <is>
          <t>FS</t>
        </is>
      </c>
      <c r="H127" s="108" t="n">
        <v>0</v>
      </c>
      <c r="I127" s="109" t="n"/>
      <c r="J127" s="110" t="n"/>
      <c r="K127" s="109" t="n"/>
      <c r="L127" s="110" t="n"/>
      <c r="M127" s="111">
        <f>IF(OR($Q127="",$R127="",$V127=1),"",($R127-$Q127)*24)</f>
        <v/>
      </c>
      <c r="N127" s="34" t="n"/>
      <c r="O127" s="22">
        <f>IF(OR($B127="",11&gt;$O$10),"",IF($AB127=1,"! CHECK LINK",IF($V127=1,"! CHECK DATES",IF($S127=1,IF($R127="","Completed",IF($R127&lt;$D127,"Completed - Ahead",IF($R127&lt;=$D127+1/1440,"Completed - On Time","Completed - Delayed"))),IF($Q127&lt;&gt;"",IF($Y127&lt;=0.1,"In Progress - On Track","In Progress - BEHIND"),IF($M$5&lt;$C127,"Not Started","NOT STARTED - LATE"))))))</f>
        <v/>
      </c>
      <c r="P127" s="35" t="n"/>
      <c r="Q127">
        <f>IF($I127="","",$I127+IF($J127="",0,$J127))</f>
        <v/>
      </c>
      <c r="R127">
        <f>IF($K127="","",$K127+IF($L127="",0,$L127))</f>
        <v/>
      </c>
      <c r="S127">
        <f>IF($V127=1,0,IF($R127&lt;&gt;"",1,IF($N127="",0,$N127)))</f>
        <v/>
      </c>
      <c r="T127">
        <f>IF(OR($B127="",$E127=0),0,MEDIAN(0,($M$5-$C127)/($E127/24),1))</f>
        <v/>
      </c>
      <c r="U127">
        <f>($S127-$T127)*$E127</f>
        <v/>
      </c>
      <c r="V127">
        <f>IF(OR(AND($Q127&lt;&gt;"",$Q127&lt;$C$8),AND($Q127&lt;&gt;"",$R127&lt;&gt;"",$R127&lt;$Q127),AND($R127&lt;&gt;"",$Q127="")),1,0)</f>
        <v/>
      </c>
      <c r="W127">
        <f>IF($B127="","",IF($S127=1,IF($R127&lt;&gt;"",$R127,$D127),IF($Q127&lt;&gt;"",MAX($M$5,$Q127)+$E127*(1-$S127)/24,MAX($M$5,$C127)+$E127/24)))</f>
        <v/>
      </c>
      <c r="X127">
        <f>IF($B127="","",ROUND(($W127-$D127)*24,1))</f>
        <v/>
      </c>
      <c r="Y127">
        <f>IF($B127="","",IF($Q127&lt;&gt;"",$X127,IF($X127&gt;0,MAX($X127,IF($Y126="",0,IF($Y126&gt;0,$Y126-MAX(0,($C127-$D126)*24),$Y126))),IF($Y126="",0,IF($Y126&gt;0,$Y126-MAX(0,($C127-$D126)*24),$Y126)))))</f>
        <v/>
      </c>
      <c r="AB127">
        <f>IF(AND($B127&lt;&gt;"",$F127&gt;=11),1,0)</f>
        <v/>
      </c>
    </row>
    <row r="128" ht="19.5" customHeight="1">
      <c r="A128" s="24">
        <f>IF(OR($B128="",12&gt;$O$10),"",12)</f>
        <v/>
      </c>
      <c r="B128" s="25" t="inlineStr">
        <is>
          <t>First layer of ballast (Line 1)</t>
        </is>
      </c>
      <c r="C128" s="106">
        <f>IF(OR($B128="",12&gt;$O$10),"",IF($F128=0,$C$8,IF($G128="SS",OFFSET($C$116,$F128,0)+$H128/24,IF($G128="FF",OFFSET($D$116,$F128,0)+$H128/24-$E128/24,IF($G128="SF",OFFSET($C$116,$F128,0)+$H128/24-$E128/24,OFFSET($D$116,$F128,0)+$H128/24)))))</f>
        <v/>
      </c>
      <c r="D128" s="106">
        <f>IF(OR($B128="",12&gt;$O$10),"",$C128+$E128/24)</f>
        <v/>
      </c>
      <c r="E128" s="107" t="n">
        <v>1</v>
      </c>
      <c r="F128" s="28" t="n">
        <v>11</v>
      </c>
      <c r="G128" s="29" t="inlineStr">
        <is>
          <t>FS</t>
        </is>
      </c>
      <c r="H128" s="108" t="n">
        <v>0</v>
      </c>
      <c r="I128" s="109" t="n"/>
      <c r="J128" s="110" t="n"/>
      <c r="K128" s="109" t="n"/>
      <c r="L128" s="110" t="n"/>
      <c r="M128" s="111">
        <f>IF(OR($Q128="",$R128="",$V128=1),"",($R128-$Q128)*24)</f>
        <v/>
      </c>
      <c r="N128" s="34" t="n"/>
      <c r="O128" s="22">
        <f>IF(OR($B128="",12&gt;$O$10),"",IF($AB128=1,"! CHECK LINK",IF($V128=1,"! CHECK DATES",IF($S128=1,IF($R128="","Completed",IF($R128&lt;$D128,"Completed - Ahead",IF($R128&lt;=$D128+1/1440,"Completed - On Time","Completed - Delayed"))),IF($Q128&lt;&gt;"",IF($Y128&lt;=0.1,"In Progress - On Track","In Progress - BEHIND"),IF($M$5&lt;$C128,"Not Started","NOT STARTED - LATE"))))))</f>
        <v/>
      </c>
      <c r="P128" s="35" t="n"/>
      <c r="Q128">
        <f>IF($I128="","",$I128+IF($J128="",0,$J128))</f>
        <v/>
      </c>
      <c r="R128">
        <f>IF($K128="","",$K128+IF($L128="",0,$L128))</f>
        <v/>
      </c>
      <c r="S128">
        <f>IF($V128=1,0,IF($R128&lt;&gt;"",1,IF($N128="",0,$N128)))</f>
        <v/>
      </c>
      <c r="T128">
        <f>IF(OR($B128="",$E128=0),0,MEDIAN(0,($M$5-$C128)/($E128/24),1))</f>
        <v/>
      </c>
      <c r="U128">
        <f>($S128-$T128)*$E128</f>
        <v/>
      </c>
      <c r="V128">
        <f>IF(OR(AND($Q128&lt;&gt;"",$Q128&lt;$C$8),AND($Q128&lt;&gt;"",$R128&lt;&gt;"",$R128&lt;$Q128),AND($R128&lt;&gt;"",$Q128="")),1,0)</f>
        <v/>
      </c>
      <c r="W128">
        <f>IF($B128="","",IF($S128=1,IF($R128&lt;&gt;"",$R128,$D128),IF($Q128&lt;&gt;"",MAX($M$5,$Q128)+$E128*(1-$S128)/24,MAX($M$5,$C128)+$E128/24)))</f>
        <v/>
      </c>
      <c r="X128">
        <f>IF($B128="","",ROUND(($W128-$D128)*24,1))</f>
        <v/>
      </c>
      <c r="Y128">
        <f>IF($B128="","",IF($Q128&lt;&gt;"",$X128,IF($X128&gt;0,MAX($X128,IF($Y127="",0,IF($Y127&gt;0,$Y127-MAX(0,($C128-$D127)*24),$Y127))),IF($Y127="",0,IF($Y127&gt;0,$Y127-MAX(0,($C128-$D127)*24),$Y127)))))</f>
        <v/>
      </c>
      <c r="AB128">
        <f>IF(AND($B128&lt;&gt;"",$F128&gt;=12),1,0)</f>
        <v/>
      </c>
    </row>
    <row r="129" ht="19.5" customHeight="1">
      <c r="A129" s="24">
        <f>IF(OR($B129="",13&gt;$O$10),"",13)</f>
        <v/>
      </c>
      <c r="B129" s="25" t="inlineStr">
        <is>
          <t>First layer of ballast (Line 3)</t>
        </is>
      </c>
      <c r="C129" s="106">
        <f>IF(OR($B129="",13&gt;$O$10),"",IF($F129=0,$C$8,IF($G129="SS",OFFSET($C$116,$F129,0)+$H129/24,IF($G129="FF",OFFSET($D$116,$F129,0)+$H129/24-$E129/24,IF($G129="SF",OFFSET($C$116,$F129,0)+$H129/24-$E129/24,OFFSET($D$116,$F129,0)+$H129/24)))))</f>
        <v/>
      </c>
      <c r="D129" s="106">
        <f>IF(OR($B129="",13&gt;$O$10),"",$C129+$E129/24)</f>
        <v/>
      </c>
      <c r="E129" s="107" t="n">
        <v>1</v>
      </c>
      <c r="F129" s="28" t="n">
        <v>12</v>
      </c>
      <c r="G129" s="29" t="inlineStr">
        <is>
          <t>FS</t>
        </is>
      </c>
      <c r="H129" s="108" t="n">
        <v>0</v>
      </c>
      <c r="I129" s="109" t="n"/>
      <c r="J129" s="110" t="n"/>
      <c r="K129" s="109" t="n"/>
      <c r="L129" s="110" t="n"/>
      <c r="M129" s="111">
        <f>IF(OR($Q129="",$R129="",$V129=1),"",($R129-$Q129)*24)</f>
        <v/>
      </c>
      <c r="N129" s="34" t="n"/>
      <c r="O129" s="22">
        <f>IF(OR($B129="",13&gt;$O$10),"",IF($AB129=1,"! CHECK LINK",IF($V129=1,"! CHECK DATES",IF($S129=1,IF($R129="","Completed",IF($R129&lt;$D129,"Completed - Ahead",IF($R129&lt;=$D129+1/1440,"Completed - On Time","Completed - Delayed"))),IF($Q129&lt;&gt;"",IF($Y129&lt;=0.1,"In Progress - On Track","In Progress - BEHIND"),IF($M$5&lt;$C129,"Not Started","NOT STARTED - LATE"))))))</f>
        <v/>
      </c>
      <c r="P129" s="35" t="n"/>
      <c r="Q129">
        <f>IF($I129="","",$I129+IF($J129="",0,$J129))</f>
        <v/>
      </c>
      <c r="R129">
        <f>IF($K129="","",$K129+IF($L129="",0,$L129))</f>
        <v/>
      </c>
      <c r="S129">
        <f>IF($V129=1,0,IF($R129&lt;&gt;"",1,IF($N129="",0,$N129)))</f>
        <v/>
      </c>
      <c r="T129">
        <f>IF(OR($B129="",$E129=0),0,MEDIAN(0,($M$5-$C129)/($E129/24),1))</f>
        <v/>
      </c>
      <c r="U129">
        <f>($S129-$T129)*$E129</f>
        <v/>
      </c>
      <c r="V129">
        <f>IF(OR(AND($Q129&lt;&gt;"",$Q129&lt;$C$8),AND($Q129&lt;&gt;"",$R129&lt;&gt;"",$R129&lt;$Q129),AND($R129&lt;&gt;"",$Q129="")),1,0)</f>
        <v/>
      </c>
      <c r="W129">
        <f>IF($B129="","",IF($S129=1,IF($R129&lt;&gt;"",$R129,$D129),IF($Q129&lt;&gt;"",MAX($M$5,$Q129)+$E129*(1-$S129)/24,MAX($M$5,$C129)+$E129/24)))</f>
        <v/>
      </c>
      <c r="X129">
        <f>IF($B129="","",ROUND(($W129-$D129)*24,1))</f>
        <v/>
      </c>
      <c r="Y129">
        <f>IF($B129="","",IF($Q129&lt;&gt;"",$X129,IF($X129&gt;0,MAX($X129,IF($Y128="",0,IF($Y128&gt;0,$Y128-MAX(0,($C129-$D128)*24),$Y128))),IF($Y128="",0,IF($Y128&gt;0,$Y128-MAX(0,($C129-$D128)*24),$Y128)))))</f>
        <v/>
      </c>
      <c r="AB129">
        <f>IF(AND($B129&lt;&gt;"",$F129&gt;=13),1,0)</f>
        <v/>
      </c>
    </row>
    <row r="130" ht="19.5" customHeight="1">
      <c r="A130" s="24">
        <f>IF(OR($B130="",14&gt;$O$10),"",14)</f>
        <v/>
      </c>
      <c r="B130" s="25" t="inlineStr">
        <is>
          <t>Track installation (Line 1)</t>
        </is>
      </c>
      <c r="C130" s="106">
        <f>IF(OR($B130="",14&gt;$O$10),"",IF($F130=0,$C$8,IF($G130="SS",OFFSET($C$116,$F130,0)+$H130/24,IF($G130="FF",OFFSET($D$116,$F130,0)+$H130/24-$E130/24,IF($G130="SF",OFFSET($C$116,$F130,0)+$H130/24-$E130/24,OFFSET($D$116,$F130,0)+$H130/24)))))</f>
        <v/>
      </c>
      <c r="D130" s="106">
        <f>IF(OR($B130="",14&gt;$O$10),"",$C130+$E130/24)</f>
        <v/>
      </c>
      <c r="E130" s="107" t="n">
        <v>1</v>
      </c>
      <c r="F130" s="28" t="n">
        <v>13</v>
      </c>
      <c r="G130" s="29" t="inlineStr">
        <is>
          <t>FS</t>
        </is>
      </c>
      <c r="H130" s="108" t="n">
        <v>0</v>
      </c>
      <c r="I130" s="109" t="n"/>
      <c r="J130" s="110" t="n"/>
      <c r="K130" s="109" t="n"/>
      <c r="L130" s="110" t="n"/>
      <c r="M130" s="111">
        <f>IF(OR($Q130="",$R130="",$V130=1),"",($R130-$Q130)*24)</f>
        <v/>
      </c>
      <c r="N130" s="34" t="n"/>
      <c r="O130" s="22">
        <f>IF(OR($B130="",14&gt;$O$10),"",IF($AB130=1,"! CHECK LINK",IF($V130=1,"! CHECK DATES",IF($S130=1,IF($R130="","Completed",IF($R130&lt;$D130,"Completed - Ahead",IF($R130&lt;=$D130+1/1440,"Completed - On Time","Completed - Delayed"))),IF($Q130&lt;&gt;"",IF($Y130&lt;=0.1,"In Progress - On Track","In Progress - BEHIND"),IF($M$5&lt;$C130,"Not Started","NOT STARTED - LATE"))))))</f>
        <v/>
      </c>
      <c r="P130" s="35" t="n"/>
      <c r="Q130">
        <f>IF($I130="","",$I130+IF($J130="",0,$J130))</f>
        <v/>
      </c>
      <c r="R130">
        <f>IF($K130="","",$K130+IF($L130="",0,$L130))</f>
        <v/>
      </c>
      <c r="S130">
        <f>IF($V130=1,0,IF($R130&lt;&gt;"",1,IF($N130="",0,$N130)))</f>
        <v/>
      </c>
      <c r="T130">
        <f>IF(OR($B130="",$E130=0),0,MEDIAN(0,($M$5-$C130)/($E130/24),1))</f>
        <v/>
      </c>
      <c r="U130">
        <f>($S130-$T130)*$E130</f>
        <v/>
      </c>
      <c r="V130">
        <f>IF(OR(AND($Q130&lt;&gt;"",$Q130&lt;$C$8),AND($Q130&lt;&gt;"",$R130&lt;&gt;"",$R130&lt;$Q130),AND($R130&lt;&gt;"",$Q130="")),1,0)</f>
        <v/>
      </c>
      <c r="W130">
        <f>IF($B130="","",IF($S130=1,IF($R130&lt;&gt;"",$R130,$D130),IF($Q130&lt;&gt;"",MAX($M$5,$Q130)+$E130*(1-$S130)/24,MAX($M$5,$C130)+$E130/24)))</f>
        <v/>
      </c>
      <c r="X130">
        <f>IF($B130="","",ROUND(($W130-$D130)*24,1))</f>
        <v/>
      </c>
      <c r="Y130">
        <f>IF($B130="","",IF($Q130&lt;&gt;"",$X130,IF($X130&gt;0,MAX($X130,IF($Y129="",0,IF($Y129&gt;0,$Y129-MAX(0,($C130-$D129)*24),$Y129))),IF($Y129="",0,IF($Y129&gt;0,$Y129-MAX(0,($C130-$D129)*24),$Y129)))))</f>
        <v/>
      </c>
      <c r="AB130">
        <f>IF(AND($B130&lt;&gt;"",$F130&gt;=14),1,0)</f>
        <v/>
      </c>
    </row>
    <row r="131" ht="19.5" customHeight="1">
      <c r="A131" s="24">
        <f>IF(OR($B131="",15&gt;$O$10),"",15)</f>
        <v/>
      </c>
      <c r="B131" s="25" t="inlineStr">
        <is>
          <t>Track installation (Line 3)</t>
        </is>
      </c>
      <c r="C131" s="106">
        <f>IF(OR($B131="",15&gt;$O$10),"",IF($F131=0,$C$8,IF($G131="SS",OFFSET($C$116,$F131,0)+$H131/24,IF($G131="FF",OFFSET($D$116,$F131,0)+$H131/24-$E131/24,IF($G131="SF",OFFSET($C$116,$F131,0)+$H131/24-$E131/24,OFFSET($D$116,$F131,0)+$H131/24)))))</f>
        <v/>
      </c>
      <c r="D131" s="106">
        <f>IF(OR($B131="",15&gt;$O$10),"",$C131+$E131/24)</f>
        <v/>
      </c>
      <c r="E131" s="107" t="n">
        <v>1</v>
      </c>
      <c r="F131" s="28" t="n">
        <v>14</v>
      </c>
      <c r="G131" s="29" t="inlineStr">
        <is>
          <t>FS</t>
        </is>
      </c>
      <c r="H131" s="108" t="n">
        <v>0</v>
      </c>
      <c r="I131" s="109" t="n"/>
      <c r="J131" s="110" t="n"/>
      <c r="K131" s="109" t="n"/>
      <c r="L131" s="110" t="n"/>
      <c r="M131" s="111">
        <f>IF(OR($Q131="",$R131="",$V131=1),"",($R131-$Q131)*24)</f>
        <v/>
      </c>
      <c r="N131" s="34" t="n"/>
      <c r="O131" s="22">
        <f>IF(OR($B131="",15&gt;$O$10),"",IF($AB131=1,"! CHECK LINK",IF($V131=1,"! CHECK DATES",IF($S131=1,IF($R131="","Completed",IF($R131&lt;$D131,"Completed - Ahead",IF($R131&lt;=$D131+1/1440,"Completed - On Time","Completed - Delayed"))),IF($Q131&lt;&gt;"",IF($Y131&lt;=0.1,"In Progress - On Track","In Progress - BEHIND"),IF($M$5&lt;$C131,"Not Started","NOT STARTED - LATE"))))))</f>
        <v/>
      </c>
      <c r="P131" s="35" t="n"/>
      <c r="Q131">
        <f>IF($I131="","",$I131+IF($J131="",0,$J131))</f>
        <v/>
      </c>
      <c r="R131">
        <f>IF($K131="","",$K131+IF($L131="",0,$L131))</f>
        <v/>
      </c>
      <c r="S131">
        <f>IF($V131=1,0,IF($R131&lt;&gt;"",1,IF($N131="",0,$N131)))</f>
        <v/>
      </c>
      <c r="T131">
        <f>IF(OR($B131="",$E131=0),0,MEDIAN(0,($M$5-$C131)/($E131/24),1))</f>
        <v/>
      </c>
      <c r="U131">
        <f>($S131-$T131)*$E131</f>
        <v/>
      </c>
      <c r="V131">
        <f>IF(OR(AND($Q131&lt;&gt;"",$Q131&lt;$C$8),AND($Q131&lt;&gt;"",$R131&lt;&gt;"",$R131&lt;$Q131),AND($R131&lt;&gt;"",$Q131="")),1,0)</f>
        <v/>
      </c>
      <c r="W131">
        <f>IF($B131="","",IF($S131=1,IF($R131&lt;&gt;"",$R131,$D131),IF($Q131&lt;&gt;"",MAX($M$5,$Q131)+$E131*(1-$S131)/24,MAX($M$5,$C131)+$E131/24)))</f>
        <v/>
      </c>
      <c r="X131">
        <f>IF($B131="","",ROUND(($W131-$D131)*24,1))</f>
        <v/>
      </c>
      <c r="Y131">
        <f>IF($B131="","",IF($Q131&lt;&gt;"",$X131,IF($X131&gt;0,MAX($X131,IF($Y130="",0,IF($Y130&gt;0,$Y130-MAX(0,($C131-$D130)*24),$Y130))),IF($Y130="",0,IF($Y130&gt;0,$Y130-MAX(0,($C131-$D130)*24),$Y130)))))</f>
        <v/>
      </c>
      <c r="AB131">
        <f>IF(AND($B131&lt;&gt;"",$F131&gt;=15),1,0)</f>
        <v/>
      </c>
    </row>
    <row r="132" ht="19.5" customHeight="1">
      <c r="A132" s="24">
        <f>IF(OR($B132="",16&gt;$O$10),"",16)</f>
        <v/>
      </c>
      <c r="B132" s="25" t="inlineStr">
        <is>
          <t>1st &amp; 2nd Ballasting / Tamping (Line 1)</t>
        </is>
      </c>
      <c r="C132" s="106">
        <f>IF(OR($B132="",16&gt;$O$10),"",IF($F132=0,$C$8,IF($G132="SS",OFFSET($C$116,$F132,0)+$H132/24,IF($G132="FF",OFFSET($D$116,$F132,0)+$H132/24-$E132/24,IF($G132="SF",OFFSET($C$116,$F132,0)+$H132/24-$E132/24,OFFSET($D$116,$F132,0)+$H132/24)))))</f>
        <v/>
      </c>
      <c r="D132" s="106">
        <f>IF(OR($B132="",16&gt;$O$10),"",$C132+$E132/24)</f>
        <v/>
      </c>
      <c r="E132" s="107" t="n">
        <v>1</v>
      </c>
      <c r="F132" s="28" t="n">
        <v>15</v>
      </c>
      <c r="G132" s="29" t="inlineStr">
        <is>
          <t>FS</t>
        </is>
      </c>
      <c r="H132" s="108" t="n">
        <v>0</v>
      </c>
      <c r="I132" s="109" t="n"/>
      <c r="J132" s="110" t="n"/>
      <c r="K132" s="109" t="n"/>
      <c r="L132" s="110" t="n"/>
      <c r="M132" s="111">
        <f>IF(OR($Q132="",$R132="",$V132=1),"",($R132-$Q132)*24)</f>
        <v/>
      </c>
      <c r="N132" s="34" t="n"/>
      <c r="O132" s="22">
        <f>IF(OR($B132="",16&gt;$O$10),"",IF($AB132=1,"! CHECK LINK",IF($V132=1,"! CHECK DATES",IF($S132=1,IF($R132="","Completed",IF($R132&lt;$D132,"Completed - Ahead",IF($R132&lt;=$D132+1/1440,"Completed - On Time","Completed - Delayed"))),IF($Q132&lt;&gt;"",IF($Y132&lt;=0.1,"In Progress - On Track","In Progress - BEHIND"),IF($M$5&lt;$C132,"Not Started","NOT STARTED - LATE"))))))</f>
        <v/>
      </c>
      <c r="P132" s="35" t="n"/>
      <c r="Q132">
        <f>IF($I132="","",$I132+IF($J132="",0,$J132))</f>
        <v/>
      </c>
      <c r="R132">
        <f>IF($K132="","",$K132+IF($L132="",0,$L132))</f>
        <v/>
      </c>
      <c r="S132">
        <f>IF($V132=1,0,IF($R132&lt;&gt;"",1,IF($N132="",0,$N132)))</f>
        <v/>
      </c>
      <c r="T132">
        <f>IF(OR($B132="",$E132=0),0,MEDIAN(0,($M$5-$C132)/($E132/24),1))</f>
        <v/>
      </c>
      <c r="U132">
        <f>($S132-$T132)*$E132</f>
        <v/>
      </c>
      <c r="V132">
        <f>IF(OR(AND($Q132&lt;&gt;"",$Q132&lt;$C$8),AND($Q132&lt;&gt;"",$R132&lt;&gt;"",$R132&lt;$Q132),AND($R132&lt;&gt;"",$Q132="")),1,0)</f>
        <v/>
      </c>
      <c r="W132">
        <f>IF($B132="","",IF($S132=1,IF($R132&lt;&gt;"",$R132,$D132),IF($Q132&lt;&gt;"",MAX($M$5,$Q132)+$E132*(1-$S132)/24,MAX($M$5,$C132)+$E132/24)))</f>
        <v/>
      </c>
      <c r="X132">
        <f>IF($B132="","",ROUND(($W132-$D132)*24,1))</f>
        <v/>
      </c>
      <c r="Y132">
        <f>IF($B132="","",IF($Q132&lt;&gt;"",$X132,IF($X132&gt;0,MAX($X132,IF($Y131="",0,IF($Y131&gt;0,$Y131-MAX(0,($C132-$D131)*24),$Y131))),IF($Y131="",0,IF($Y131&gt;0,$Y131-MAX(0,($C132-$D131)*24),$Y131)))))</f>
        <v/>
      </c>
      <c r="AB132">
        <f>IF(AND($B132&lt;&gt;"",$F132&gt;=16),1,0)</f>
        <v/>
      </c>
    </row>
    <row r="133" ht="19.5" customHeight="1">
      <c r="A133" s="24">
        <f>IF(OR($B133="",17&gt;$O$10),"",17)</f>
        <v/>
      </c>
      <c r="B133" s="25" t="inlineStr">
        <is>
          <t>Final Ballasting / Tamping (Line 1)</t>
        </is>
      </c>
      <c r="C133" s="106">
        <f>IF(OR($B133="",17&gt;$O$10),"",IF($F133=0,$C$8,IF($G133="SS",OFFSET($C$116,$F133,0)+$H133/24,IF($G133="FF",OFFSET($D$116,$F133,0)+$H133/24-$E133/24,IF($G133="SF",OFFSET($C$116,$F133,0)+$H133/24-$E133/24,OFFSET($D$116,$F133,0)+$H133/24)))))</f>
        <v/>
      </c>
      <c r="D133" s="106">
        <f>IF(OR($B133="",17&gt;$O$10),"",$C133+$E133/24)</f>
        <v/>
      </c>
      <c r="E133" s="107" t="n">
        <v>1</v>
      </c>
      <c r="F133" s="28" t="n">
        <v>16</v>
      </c>
      <c r="G133" s="29" t="inlineStr">
        <is>
          <t>FS</t>
        </is>
      </c>
      <c r="H133" s="108" t="n">
        <v>0</v>
      </c>
      <c r="I133" s="109" t="n"/>
      <c r="J133" s="110" t="n"/>
      <c r="K133" s="109" t="n"/>
      <c r="L133" s="110" t="n"/>
      <c r="M133" s="111">
        <f>IF(OR($Q133="",$R133="",$V133=1),"",($R133-$Q133)*24)</f>
        <v/>
      </c>
      <c r="N133" s="34" t="n"/>
      <c r="O133" s="22">
        <f>IF(OR($B133="",17&gt;$O$10),"",IF($AB133=1,"! CHECK LINK",IF($V133=1,"! CHECK DATES",IF($S133=1,IF($R133="","Completed",IF($R133&lt;$D133,"Completed - Ahead",IF($R133&lt;=$D133+1/1440,"Completed - On Time","Completed - Delayed"))),IF($Q133&lt;&gt;"",IF($Y133&lt;=0.1,"In Progress - On Track","In Progress - BEHIND"),IF($M$5&lt;$C133,"Not Started","NOT STARTED - LATE"))))))</f>
        <v/>
      </c>
      <c r="P133" s="35" t="n"/>
      <c r="Q133">
        <f>IF($I133="","",$I133+IF($J133="",0,$J133))</f>
        <v/>
      </c>
      <c r="R133">
        <f>IF($K133="","",$K133+IF($L133="",0,$L133))</f>
        <v/>
      </c>
      <c r="S133">
        <f>IF($V133=1,0,IF($R133&lt;&gt;"",1,IF($N133="",0,$N133)))</f>
        <v/>
      </c>
      <c r="T133">
        <f>IF(OR($B133="",$E133=0),0,MEDIAN(0,($M$5-$C133)/($E133/24),1))</f>
        <v/>
      </c>
      <c r="U133">
        <f>($S133-$T133)*$E133</f>
        <v/>
      </c>
      <c r="V133">
        <f>IF(OR(AND($Q133&lt;&gt;"",$Q133&lt;$C$8),AND($Q133&lt;&gt;"",$R133&lt;&gt;"",$R133&lt;$Q133),AND($R133&lt;&gt;"",$Q133="")),1,0)</f>
        <v/>
      </c>
      <c r="W133">
        <f>IF($B133="","",IF($S133=1,IF($R133&lt;&gt;"",$R133,$D133),IF($Q133&lt;&gt;"",MAX($M$5,$Q133)+$E133*(1-$S133)/24,MAX($M$5,$C133)+$E133/24)))</f>
        <v/>
      </c>
      <c r="X133">
        <f>IF($B133="","",ROUND(($W133-$D133)*24,1))</f>
        <v/>
      </c>
      <c r="Y133">
        <f>IF($B133="","",IF($Q133&lt;&gt;"",$X133,IF($X133&gt;0,MAX($X133,IF($Y132="",0,IF($Y132&gt;0,$Y132-MAX(0,($C133-$D132)*24),$Y132))),IF($Y132="",0,IF($Y132&gt;0,$Y132-MAX(0,($C133-$D132)*24),$Y132)))))</f>
        <v/>
      </c>
      <c r="AB133">
        <f>IF(AND($B133&lt;&gt;"",$F133&gt;=17),1,0)</f>
        <v/>
      </c>
    </row>
    <row r="134" ht="19.5" customHeight="1">
      <c r="A134" s="24">
        <f>IF(OR($B134="",18&gt;$O$10),"",18)</f>
        <v/>
      </c>
      <c r="B134" s="25" t="inlineStr">
        <is>
          <t>OTMP moves from line 1 to line 3 (passing by Station 33)</t>
        </is>
      </c>
      <c r="C134" s="106">
        <f>IF(OR($B134="",18&gt;$O$10),"",IF($F134=0,$C$8,IF($G134="SS",OFFSET($C$116,$F134,0)+$H134/24,IF($G134="FF",OFFSET($D$116,$F134,0)+$H134/24-$E134/24,IF($G134="SF",OFFSET($C$116,$F134,0)+$H134/24-$E134/24,OFFSET($D$116,$F134,0)+$H134/24)))))</f>
        <v/>
      </c>
      <c r="D134" s="106">
        <f>IF(OR($B134="",18&gt;$O$10),"",$C134+$E134/24)</f>
        <v/>
      </c>
      <c r="E134" s="107" t="n">
        <v>2</v>
      </c>
      <c r="F134" s="28" t="n">
        <v>17</v>
      </c>
      <c r="G134" s="29" t="inlineStr">
        <is>
          <t>FS</t>
        </is>
      </c>
      <c r="H134" s="108" t="n">
        <v>0</v>
      </c>
      <c r="I134" s="109" t="n"/>
      <c r="J134" s="110" t="n"/>
      <c r="K134" s="109" t="n"/>
      <c r="L134" s="110" t="n"/>
      <c r="M134" s="111">
        <f>IF(OR($Q134="",$R134="",$V134=1),"",($R134-$Q134)*24)</f>
        <v/>
      </c>
      <c r="N134" s="34" t="n"/>
      <c r="O134" s="22">
        <f>IF(OR($B134="",18&gt;$O$10),"",IF($AB134=1,"! CHECK LINK",IF($V134=1,"! CHECK DATES",IF($S134=1,IF($R134="","Completed",IF($R134&lt;$D134,"Completed - Ahead",IF($R134&lt;=$D134+1/1440,"Completed - On Time","Completed - Delayed"))),IF($Q134&lt;&gt;"",IF($Y134&lt;=0.1,"In Progress - On Track","In Progress - BEHIND"),IF($M$5&lt;$C134,"Not Started","NOT STARTED - LATE"))))))</f>
        <v/>
      </c>
      <c r="P134" s="35" t="n"/>
      <c r="Q134">
        <f>IF($I134="","",$I134+IF($J134="",0,$J134))</f>
        <v/>
      </c>
      <c r="R134">
        <f>IF($K134="","",$K134+IF($L134="",0,$L134))</f>
        <v/>
      </c>
      <c r="S134">
        <f>IF($V134=1,0,IF($R134&lt;&gt;"",1,IF($N134="",0,$N134)))</f>
        <v/>
      </c>
      <c r="T134">
        <f>IF(OR($B134="",$E134=0),0,MEDIAN(0,($M$5-$C134)/($E134/24),1))</f>
        <v/>
      </c>
      <c r="U134">
        <f>($S134-$T134)*$E134</f>
        <v/>
      </c>
      <c r="V134">
        <f>IF(OR(AND($Q134&lt;&gt;"",$Q134&lt;$C$8),AND($Q134&lt;&gt;"",$R134&lt;&gt;"",$R134&lt;$Q134),AND($R134&lt;&gt;"",$Q134="")),1,0)</f>
        <v/>
      </c>
      <c r="W134">
        <f>IF($B134="","",IF($S134=1,IF($R134&lt;&gt;"",$R134,$D134),IF($Q134&lt;&gt;"",MAX($M$5,$Q134)+$E134*(1-$S134)/24,MAX($M$5,$C134)+$E134/24)))</f>
        <v/>
      </c>
      <c r="X134">
        <f>IF($B134="","",ROUND(($W134-$D134)*24,1))</f>
        <v/>
      </c>
      <c r="Y134">
        <f>IF($B134="","",IF($Q134&lt;&gt;"",$X134,IF($X134&gt;0,MAX($X134,IF($Y133="",0,IF($Y133&gt;0,$Y133-MAX(0,($C134-$D133)*24),$Y133))),IF($Y133="",0,IF($Y133&gt;0,$Y133-MAX(0,($C134-$D133)*24),$Y133)))))</f>
        <v/>
      </c>
      <c r="AB134">
        <f>IF(AND($B134&lt;&gt;"",$F134&gt;=18),1,0)</f>
        <v/>
      </c>
    </row>
    <row r="135" ht="19.5" customHeight="1">
      <c r="A135" s="24">
        <f>IF(OR($B135="",19&gt;$O$10),"",19)</f>
        <v/>
      </c>
      <c r="B135" s="25" t="inlineStr">
        <is>
          <t>ATW – 2U (out of destressing) (Line 1)</t>
        </is>
      </c>
      <c r="C135" s="106">
        <f>IF(OR($B135="",19&gt;$O$10),"",IF($F135=0,$C$8,IF($G135="SS",OFFSET($C$116,$F135,0)+$H135/24,IF($G135="FF",OFFSET($D$116,$F135,0)+$H135/24-$E135/24,IF($G135="SF",OFFSET($C$116,$F135,0)+$H135/24-$E135/24,OFFSET($D$116,$F135,0)+$H135/24)))))</f>
        <v/>
      </c>
      <c r="D135" s="106">
        <f>IF(OR($B135="",19&gt;$O$10),"",$C135+$E135/24)</f>
        <v/>
      </c>
      <c r="E135" s="107" t="n">
        <v>2</v>
      </c>
      <c r="F135" s="28" t="n">
        <v>18</v>
      </c>
      <c r="G135" s="29" t="inlineStr">
        <is>
          <t>FS</t>
        </is>
      </c>
      <c r="H135" s="108" t="n">
        <v>0</v>
      </c>
      <c r="I135" s="109" t="n"/>
      <c r="J135" s="110" t="n"/>
      <c r="K135" s="109" t="n"/>
      <c r="L135" s="110" t="n"/>
      <c r="M135" s="111">
        <f>IF(OR($Q135="",$R135="",$V135=1),"",($R135-$Q135)*24)</f>
        <v/>
      </c>
      <c r="N135" s="34" t="n"/>
      <c r="O135" s="22">
        <f>IF(OR($B135="",19&gt;$O$10),"",IF($AB135=1,"! CHECK LINK",IF($V135=1,"! CHECK DATES",IF($S135=1,IF($R135="","Completed",IF($R135&lt;$D135,"Completed - Ahead",IF($R135&lt;=$D135+1/1440,"Completed - On Time","Completed - Delayed"))),IF($Q135&lt;&gt;"",IF($Y135&lt;=0.1,"In Progress - On Track","In Progress - BEHIND"),IF($M$5&lt;$C135,"Not Started","NOT STARTED - LATE"))))))</f>
        <v/>
      </c>
      <c r="P135" s="35" t="n"/>
      <c r="Q135">
        <f>IF($I135="","",$I135+IF($J135="",0,$J135))</f>
        <v/>
      </c>
      <c r="R135">
        <f>IF($K135="","",$K135+IF($L135="",0,$L135))</f>
        <v/>
      </c>
      <c r="S135">
        <f>IF($V135=1,0,IF($R135&lt;&gt;"",1,IF($N135="",0,$N135)))</f>
        <v/>
      </c>
      <c r="T135">
        <f>IF(OR($B135="",$E135=0),0,MEDIAN(0,($M$5-$C135)/($E135/24),1))</f>
        <v/>
      </c>
      <c r="U135">
        <f>($S135-$T135)*$E135</f>
        <v/>
      </c>
      <c r="V135">
        <f>IF(OR(AND($Q135&lt;&gt;"",$Q135&lt;$C$8),AND($Q135&lt;&gt;"",$R135&lt;&gt;"",$R135&lt;$Q135),AND($R135&lt;&gt;"",$Q135="")),1,0)</f>
        <v/>
      </c>
      <c r="W135">
        <f>IF($B135="","",IF($S135=1,IF($R135&lt;&gt;"",$R135,$D135),IF($Q135&lt;&gt;"",MAX($M$5,$Q135)+$E135*(1-$S135)/24,MAX($M$5,$C135)+$E135/24)))</f>
        <v/>
      </c>
      <c r="X135">
        <f>IF($B135="","",ROUND(($W135-$D135)*24,1))</f>
        <v/>
      </c>
      <c r="Y135">
        <f>IF($B135="","",IF($Q135&lt;&gt;"",$X135,IF($X135&gt;0,MAX($X135,IF($Y134="",0,IF($Y134&gt;0,$Y134-MAX(0,($C135-$D134)*24),$Y134))),IF($Y134="",0,IF($Y134&gt;0,$Y134-MAX(0,($C135-$D134)*24),$Y134)))))</f>
        <v/>
      </c>
      <c r="AB135">
        <f>IF(AND($B135&lt;&gt;"",$F135&gt;=19),1,0)</f>
        <v/>
      </c>
    </row>
    <row r="136" ht="19.5" customHeight="1">
      <c r="A136" s="24">
        <f>IF(OR($B136="",20&gt;$O$10),"",20)</f>
        <v/>
      </c>
      <c r="B136" s="25" t="inlineStr">
        <is>
          <t>ATW – 2U (out of destressing) (Line 3)</t>
        </is>
      </c>
      <c r="C136" s="106">
        <f>IF(OR($B136="",20&gt;$O$10),"",IF($F136=0,$C$8,IF($G136="SS",OFFSET($C$116,$F136,0)+$H136/24,IF($G136="FF",OFFSET($D$116,$F136,0)+$H136/24-$E136/24,IF($G136="SF",OFFSET($C$116,$F136,0)+$H136/24-$E136/24,OFFSET($D$116,$F136,0)+$H136/24)))))</f>
        <v/>
      </c>
      <c r="D136" s="106">
        <f>IF(OR($B136="",20&gt;$O$10),"",$C136+$E136/24)</f>
        <v/>
      </c>
      <c r="E136" s="107" t="n">
        <v>2</v>
      </c>
      <c r="F136" s="28" t="n">
        <v>19</v>
      </c>
      <c r="G136" s="29" t="inlineStr">
        <is>
          <t>FS</t>
        </is>
      </c>
      <c r="H136" s="108" t="n">
        <v>0</v>
      </c>
      <c r="I136" s="109" t="n"/>
      <c r="J136" s="110" t="n"/>
      <c r="K136" s="109" t="n"/>
      <c r="L136" s="110" t="n"/>
      <c r="M136" s="111">
        <f>IF(OR($Q136="",$R136="",$V136=1),"",($R136-$Q136)*24)</f>
        <v/>
      </c>
      <c r="N136" s="34" t="n"/>
      <c r="O136" s="22">
        <f>IF(OR($B136="",20&gt;$O$10),"",IF($AB136=1,"! CHECK LINK",IF($V136=1,"! CHECK DATES",IF($S136=1,IF($R136="","Completed",IF($R136&lt;$D136,"Completed - Ahead",IF($R136&lt;=$D136+1/1440,"Completed - On Time","Completed - Delayed"))),IF($Q136&lt;&gt;"",IF($Y136&lt;=0.1,"In Progress - On Track","In Progress - BEHIND"),IF($M$5&lt;$C136,"Not Started","NOT STARTED - LATE"))))))</f>
        <v/>
      </c>
      <c r="P136" s="35" t="n"/>
      <c r="Q136">
        <f>IF($I136="","",$I136+IF($J136="",0,$J136))</f>
        <v/>
      </c>
      <c r="R136">
        <f>IF($K136="","",$K136+IF($L136="",0,$L136))</f>
        <v/>
      </c>
      <c r="S136">
        <f>IF($V136=1,0,IF($R136&lt;&gt;"",1,IF($N136="",0,$N136)))</f>
        <v/>
      </c>
      <c r="T136">
        <f>IF(OR($B136="",$E136=0),0,MEDIAN(0,($M$5-$C136)/($E136/24),1))</f>
        <v/>
      </c>
      <c r="U136">
        <f>($S136-$T136)*$E136</f>
        <v/>
      </c>
      <c r="V136">
        <f>IF(OR(AND($Q136&lt;&gt;"",$Q136&lt;$C$8),AND($Q136&lt;&gt;"",$R136&lt;&gt;"",$R136&lt;$Q136),AND($R136&lt;&gt;"",$Q136="")),1,0)</f>
        <v/>
      </c>
      <c r="W136">
        <f>IF($B136="","",IF($S136=1,IF($R136&lt;&gt;"",$R136,$D136),IF($Q136&lt;&gt;"",MAX($M$5,$Q136)+$E136*(1-$S136)/24,MAX($M$5,$C136)+$E136/24)))</f>
        <v/>
      </c>
      <c r="X136">
        <f>IF($B136="","",ROUND(($W136-$D136)*24,1))</f>
        <v/>
      </c>
      <c r="Y136">
        <f>IF($B136="","",IF($Q136&lt;&gt;"",$X136,IF($X136&gt;0,MAX($X136,IF($Y135="",0,IF($Y135&gt;0,$Y135-MAX(0,($C136-$D135)*24),$Y135))),IF($Y135="",0,IF($Y135&gt;0,$Y135-MAX(0,($C136-$D135)*24),$Y135)))))</f>
        <v/>
      </c>
      <c r="AB136">
        <f>IF(AND($B136&lt;&gt;"",$F136&gt;=20),1,0)</f>
        <v/>
      </c>
    </row>
    <row r="137" ht="19.5" customHeight="1">
      <c r="A137" s="24">
        <f>IF(OR($B137="",21&gt;$O$10),"",21)</f>
        <v/>
      </c>
      <c r="B137" s="25" t="inlineStr">
        <is>
          <t>1st &amp; 2nd Ballasting / Tamping (Line 3)</t>
        </is>
      </c>
      <c r="C137" s="106">
        <f>IF(OR($B137="",21&gt;$O$10),"",IF($F137=0,$C$8,IF($G137="SS",OFFSET($C$116,$F137,0)+$H137/24,IF($G137="FF",OFFSET($D$116,$F137,0)+$H137/24-$E137/24,IF($G137="SF",OFFSET($C$116,$F137,0)+$H137/24-$E137/24,OFFSET($D$116,$F137,0)+$H137/24)))))</f>
        <v/>
      </c>
      <c r="D137" s="106">
        <f>IF(OR($B137="",21&gt;$O$10),"",$C137+$E137/24)</f>
        <v/>
      </c>
      <c r="E137" s="107" t="n">
        <v>1</v>
      </c>
      <c r="F137" s="28" t="n">
        <v>20</v>
      </c>
      <c r="G137" s="29" t="inlineStr">
        <is>
          <t>FS</t>
        </is>
      </c>
      <c r="H137" s="108" t="n">
        <v>0</v>
      </c>
      <c r="I137" s="109" t="n"/>
      <c r="J137" s="110" t="n"/>
      <c r="K137" s="109" t="n"/>
      <c r="L137" s="110" t="n"/>
      <c r="M137" s="111">
        <f>IF(OR($Q137="",$R137="",$V137=1),"",($R137-$Q137)*24)</f>
        <v/>
      </c>
      <c r="N137" s="34" t="n"/>
      <c r="O137" s="22">
        <f>IF(OR($B137="",21&gt;$O$10),"",IF($AB137=1,"! CHECK LINK",IF($V137=1,"! CHECK DATES",IF($S137=1,IF($R137="","Completed",IF($R137&lt;$D137,"Completed - Ahead",IF($R137&lt;=$D137+1/1440,"Completed - On Time","Completed - Delayed"))),IF($Q137&lt;&gt;"",IF($Y137&lt;=0.1,"In Progress - On Track","In Progress - BEHIND"),IF($M$5&lt;$C137,"Not Started","NOT STARTED - LATE"))))))</f>
        <v/>
      </c>
      <c r="P137" s="35" t="n"/>
      <c r="Q137">
        <f>IF($I137="","",$I137+IF($J137="",0,$J137))</f>
        <v/>
      </c>
      <c r="R137">
        <f>IF($K137="","",$K137+IF($L137="",0,$L137))</f>
        <v/>
      </c>
      <c r="S137">
        <f>IF($V137=1,0,IF($R137&lt;&gt;"",1,IF($N137="",0,$N137)))</f>
        <v/>
      </c>
      <c r="T137">
        <f>IF(OR($B137="",$E137=0),0,MEDIAN(0,($M$5-$C137)/($E137/24),1))</f>
        <v/>
      </c>
      <c r="U137">
        <f>($S137-$T137)*$E137</f>
        <v/>
      </c>
      <c r="V137">
        <f>IF(OR(AND($Q137&lt;&gt;"",$Q137&lt;$C$8),AND($Q137&lt;&gt;"",$R137&lt;&gt;"",$R137&lt;$Q137),AND($R137&lt;&gt;"",$Q137="")),1,0)</f>
        <v/>
      </c>
      <c r="W137">
        <f>IF($B137="","",IF($S137=1,IF($R137&lt;&gt;"",$R137,$D137),IF($Q137&lt;&gt;"",MAX($M$5,$Q137)+$E137*(1-$S137)/24,MAX($M$5,$C137)+$E137/24)))</f>
        <v/>
      </c>
      <c r="X137">
        <f>IF($B137="","",ROUND(($W137-$D137)*24,1))</f>
        <v/>
      </c>
      <c r="Y137">
        <f>IF($B137="","",IF($Q137&lt;&gt;"",$X137,IF($X137&gt;0,MAX($X137,IF($Y136="",0,IF($Y136&gt;0,$Y136-MAX(0,($C137-$D136)*24),$Y136))),IF($Y136="",0,IF($Y136&gt;0,$Y136-MAX(0,($C137-$D136)*24),$Y136)))))</f>
        <v/>
      </c>
      <c r="AB137">
        <f>IF(AND($B137&lt;&gt;"",$F137&gt;=21),1,0)</f>
        <v/>
      </c>
    </row>
    <row r="138" ht="19.5" customHeight="1">
      <c r="A138" s="24">
        <f>IF(OR($B138="",22&gt;$O$10),"",22)</f>
        <v/>
      </c>
      <c r="B138" s="25" t="inlineStr">
        <is>
          <t>Final Ballasting / Tamping (Line 3)</t>
        </is>
      </c>
      <c r="C138" s="106">
        <f>IF(OR($B138="",22&gt;$O$10),"",IF($F138=0,$C$8,IF($G138="SS",OFFSET($C$116,$F138,0)+$H138/24,IF($G138="FF",OFFSET($D$116,$F138,0)+$H138/24-$E138/24,IF($G138="SF",OFFSET($C$116,$F138,0)+$H138/24-$E138/24,OFFSET($D$116,$F138,0)+$H138/24)))))</f>
        <v/>
      </c>
      <c r="D138" s="106">
        <f>IF(OR($B138="",22&gt;$O$10),"",$C138+$E138/24)</f>
        <v/>
      </c>
      <c r="E138" s="107" t="n">
        <v>1</v>
      </c>
      <c r="F138" s="28" t="n">
        <v>21</v>
      </c>
      <c r="G138" s="29" t="inlineStr">
        <is>
          <t>FS</t>
        </is>
      </c>
      <c r="H138" s="108" t="n">
        <v>0</v>
      </c>
      <c r="I138" s="109" t="n"/>
      <c r="J138" s="110" t="n"/>
      <c r="K138" s="109" t="n"/>
      <c r="L138" s="110" t="n"/>
      <c r="M138" s="111">
        <f>IF(OR($Q138="",$R138="",$V138=1),"",($R138-$Q138)*24)</f>
        <v/>
      </c>
      <c r="N138" s="34" t="n"/>
      <c r="O138" s="22">
        <f>IF(OR($B138="",22&gt;$O$10),"",IF($AB138=1,"! CHECK LINK",IF($V138=1,"! CHECK DATES",IF($S138=1,IF($R138="","Completed",IF($R138&lt;$D138,"Completed - Ahead",IF($R138&lt;=$D138+1/1440,"Completed - On Time","Completed - Delayed"))),IF($Q138&lt;&gt;"",IF($Y138&lt;=0.1,"In Progress - On Track","In Progress - BEHIND"),IF($M$5&lt;$C138,"Not Started","NOT STARTED - LATE"))))))</f>
        <v/>
      </c>
      <c r="P138" s="35" t="n"/>
      <c r="Q138">
        <f>IF($I138="","",$I138+IF($J138="",0,$J138))</f>
        <v/>
      </c>
      <c r="R138">
        <f>IF($K138="","",$K138+IF($L138="",0,$L138))</f>
        <v/>
      </c>
      <c r="S138">
        <f>IF($V138=1,0,IF($R138&lt;&gt;"",1,IF($N138="",0,$N138)))</f>
        <v/>
      </c>
      <c r="T138">
        <f>IF(OR($B138="",$E138=0),0,MEDIAN(0,($M$5-$C138)/($E138/24),1))</f>
        <v/>
      </c>
      <c r="U138">
        <f>($S138-$T138)*$E138</f>
        <v/>
      </c>
      <c r="V138">
        <f>IF(OR(AND($Q138&lt;&gt;"",$Q138&lt;$C$8),AND($Q138&lt;&gt;"",$R138&lt;&gt;"",$R138&lt;$Q138),AND($R138&lt;&gt;"",$Q138="")),1,0)</f>
        <v/>
      </c>
      <c r="W138">
        <f>IF($B138="","",IF($S138=1,IF($R138&lt;&gt;"",$R138,$D138),IF($Q138&lt;&gt;"",MAX($M$5,$Q138)+$E138*(1-$S138)/24,MAX($M$5,$C138)+$E138/24)))</f>
        <v/>
      </c>
      <c r="X138">
        <f>IF($B138="","",ROUND(($W138-$D138)*24,1))</f>
        <v/>
      </c>
      <c r="Y138">
        <f>IF($B138="","",IF($Q138&lt;&gt;"",$X138,IF($X138&gt;0,MAX($X138,IF($Y137="",0,IF($Y137&gt;0,$Y137-MAX(0,($C138-$D137)*24),$Y137))),IF($Y137="",0,IF($Y137&gt;0,$Y137-MAX(0,($C138-$D137)*24),$Y137)))))</f>
        <v/>
      </c>
      <c r="AB138">
        <f>IF(AND($B138&lt;&gt;"",$F138&gt;=22),1,0)</f>
        <v/>
      </c>
    </row>
    <row r="139" ht="19.5" customHeight="1">
      <c r="A139" s="24">
        <f>IF(OR($B139="",23&gt;$O$10),"",23)</f>
        <v/>
      </c>
      <c r="B139" s="25" t="inlineStr">
        <is>
          <t>OTMP Back towards station 35</t>
        </is>
      </c>
      <c r="C139" s="106">
        <f>IF(OR($B139="",23&gt;$O$10),"",IF($F139=0,$C$8,IF($G139="SS",OFFSET($C$116,$F139,0)+$H139/24,IF($G139="FF",OFFSET($D$116,$F139,0)+$H139/24-$E139/24,IF($G139="SF",OFFSET($C$116,$F139,0)+$H139/24-$E139/24,OFFSET($D$116,$F139,0)+$H139/24)))))</f>
        <v/>
      </c>
      <c r="D139" s="106">
        <f>IF(OR($B139="",23&gt;$O$10),"",$C139+$E139/24)</f>
        <v/>
      </c>
      <c r="E139" s="107" t="n">
        <v>2</v>
      </c>
      <c r="F139" s="28" t="n">
        <v>22</v>
      </c>
      <c r="G139" s="29" t="inlineStr">
        <is>
          <t>FS</t>
        </is>
      </c>
      <c r="H139" s="108" t="n">
        <v>0</v>
      </c>
      <c r="I139" s="109" t="n"/>
      <c r="J139" s="110" t="n"/>
      <c r="K139" s="109" t="n"/>
      <c r="L139" s="110" t="n"/>
      <c r="M139" s="111">
        <f>IF(OR($Q139="",$R139="",$V139=1),"",($R139-$Q139)*24)</f>
        <v/>
      </c>
      <c r="N139" s="34" t="n"/>
      <c r="O139" s="22">
        <f>IF(OR($B139="",23&gt;$O$10),"",IF($AB139=1,"! CHECK LINK",IF($V139=1,"! CHECK DATES",IF($S139=1,IF($R139="","Completed",IF($R139&lt;$D139,"Completed - Ahead",IF($R139&lt;=$D139+1/1440,"Completed - On Time","Completed - Delayed"))),IF($Q139&lt;&gt;"",IF($Y139&lt;=0.1,"In Progress - On Track","In Progress - BEHIND"),IF($M$5&lt;$C139,"Not Started","NOT STARTED - LATE"))))))</f>
        <v/>
      </c>
      <c r="P139" s="35" t="n"/>
      <c r="Q139">
        <f>IF($I139="","",$I139+IF($J139="",0,$J139))</f>
        <v/>
      </c>
      <c r="R139">
        <f>IF($K139="","",$K139+IF($L139="",0,$L139))</f>
        <v/>
      </c>
      <c r="S139">
        <f>IF($V139=1,0,IF($R139&lt;&gt;"",1,IF($N139="",0,$N139)))</f>
        <v/>
      </c>
      <c r="T139">
        <f>IF(OR($B139="",$E139=0),0,MEDIAN(0,($M$5-$C139)/($E139/24),1))</f>
        <v/>
      </c>
      <c r="U139">
        <f>($S139-$T139)*$E139</f>
        <v/>
      </c>
      <c r="V139">
        <f>IF(OR(AND($Q139&lt;&gt;"",$Q139&lt;$C$8),AND($Q139&lt;&gt;"",$R139&lt;&gt;"",$R139&lt;$Q139),AND($R139&lt;&gt;"",$Q139="")),1,0)</f>
        <v/>
      </c>
      <c r="W139">
        <f>IF($B139="","",IF($S139=1,IF($R139&lt;&gt;"",$R139,$D139),IF($Q139&lt;&gt;"",MAX($M$5,$Q139)+$E139*(1-$S139)/24,MAX($M$5,$C139)+$E139/24)))</f>
        <v/>
      </c>
      <c r="X139">
        <f>IF($B139="","",ROUND(($W139-$D139)*24,1))</f>
        <v/>
      </c>
      <c r="Y139">
        <f>IF($B139="","",IF($Q139&lt;&gt;"",$X139,IF($X139&gt;0,MAX($X139,IF($Y138="",0,IF($Y138&gt;0,$Y138-MAX(0,($C139-$D138)*24),$Y138))),IF($Y138="",0,IF($Y138&gt;0,$Y138-MAX(0,($C139-$D138)*24),$Y138)))))</f>
        <v/>
      </c>
      <c r="AB139">
        <f>IF(AND($B139&lt;&gt;"",$F139&gt;=23),1,0)</f>
        <v/>
      </c>
    </row>
    <row r="140" ht="19.5" customHeight="1">
      <c r="A140" s="24">
        <f>IF(OR($B140="",24&gt;$O$10),"",24)</f>
        <v/>
      </c>
      <c r="B140" s="25" t="inlineStr">
        <is>
          <t>Destressing (incl. 2 ATW) (Line 1)</t>
        </is>
      </c>
      <c r="C140" s="106">
        <f>IF(OR($B140="",24&gt;$O$10),"",IF($F140=0,$C$8,IF($G140="SS",OFFSET($C$116,$F140,0)+$H140/24,IF($G140="FF",OFFSET($D$116,$F140,0)+$H140/24-$E140/24,IF($G140="SF",OFFSET($C$116,$F140,0)+$H140/24-$E140/24,OFFSET($D$116,$F140,0)+$H140/24)))))</f>
        <v/>
      </c>
      <c r="D140" s="106">
        <f>IF(OR($B140="",24&gt;$O$10),"",$C140+$E140/24)</f>
        <v/>
      </c>
      <c r="E140" s="107" t="n">
        <v>4</v>
      </c>
      <c r="F140" s="28" t="n">
        <v>23</v>
      </c>
      <c r="G140" s="29" t="inlineStr">
        <is>
          <t>FS</t>
        </is>
      </c>
      <c r="H140" s="108" t="n">
        <v>0</v>
      </c>
      <c r="I140" s="109" t="n"/>
      <c r="J140" s="110" t="n"/>
      <c r="K140" s="109" t="n"/>
      <c r="L140" s="110" t="n"/>
      <c r="M140" s="111">
        <f>IF(OR($Q140="",$R140="",$V140=1),"",($R140-$Q140)*24)</f>
        <v/>
      </c>
      <c r="N140" s="34" t="n"/>
      <c r="O140" s="22">
        <f>IF(OR($B140="",24&gt;$O$10),"",IF($AB140=1,"! CHECK LINK",IF($V140=1,"! CHECK DATES",IF($S140=1,IF($R140="","Completed",IF($R140&lt;$D140,"Completed - Ahead",IF($R140&lt;=$D140+1/1440,"Completed - On Time","Completed - Delayed"))),IF($Q140&lt;&gt;"",IF($Y140&lt;=0.1,"In Progress - On Track","In Progress - BEHIND"),IF($M$5&lt;$C140,"Not Started","NOT STARTED - LATE"))))))</f>
        <v/>
      </c>
      <c r="P140" s="35" t="n"/>
      <c r="Q140">
        <f>IF($I140="","",$I140+IF($J140="",0,$J140))</f>
        <v/>
      </c>
      <c r="R140">
        <f>IF($K140="","",$K140+IF($L140="",0,$L140))</f>
        <v/>
      </c>
      <c r="S140">
        <f>IF($V140=1,0,IF($R140&lt;&gt;"",1,IF($N140="",0,$N140)))</f>
        <v/>
      </c>
      <c r="T140">
        <f>IF(OR($B140="",$E140=0),0,MEDIAN(0,($M$5-$C140)/($E140/24),1))</f>
        <v/>
      </c>
      <c r="U140">
        <f>($S140-$T140)*$E140</f>
        <v/>
      </c>
      <c r="V140">
        <f>IF(OR(AND($Q140&lt;&gt;"",$Q140&lt;$C$8),AND($Q140&lt;&gt;"",$R140&lt;&gt;"",$R140&lt;$Q140),AND($R140&lt;&gt;"",$Q140="")),1,0)</f>
        <v/>
      </c>
      <c r="W140">
        <f>IF($B140="","",IF($S140=1,IF($R140&lt;&gt;"",$R140,$D140),IF($Q140&lt;&gt;"",MAX($M$5,$Q140)+$E140*(1-$S140)/24,MAX($M$5,$C140)+$E140/24)))</f>
        <v/>
      </c>
      <c r="X140">
        <f>IF($B140="","",ROUND(($W140-$D140)*24,1))</f>
        <v/>
      </c>
      <c r="Y140">
        <f>IF($B140="","",IF($Q140&lt;&gt;"",$X140,IF($X140&gt;0,MAX($X140,IF($Y139="",0,IF($Y139&gt;0,$Y139-MAX(0,($C140-$D139)*24),$Y139))),IF($Y139="",0,IF($Y139&gt;0,$Y139-MAX(0,($C140-$D139)*24),$Y139)))))</f>
        <v/>
      </c>
      <c r="AB140">
        <f>IF(AND($B140&lt;&gt;"",$F140&gt;=24),1,0)</f>
        <v/>
      </c>
    </row>
    <row r="141" ht="19.5" customHeight="1">
      <c r="A141" s="24">
        <f>IF(OR($B141="",25&gt;$O$10),"",25)</f>
        <v/>
      </c>
      <c r="B141" s="25" t="inlineStr">
        <is>
          <t>Destressing (incl. 2 ATW) (Line 3)</t>
        </is>
      </c>
      <c r="C141" s="106">
        <f>IF(OR($B141="",25&gt;$O$10),"",IF($F141=0,$C$8,IF($G141="SS",OFFSET($C$116,$F141,0)+$H141/24,IF($G141="FF",OFFSET($D$116,$F141,0)+$H141/24-$E141/24,IF($G141="SF",OFFSET($C$116,$F141,0)+$H141/24-$E141/24,OFFSET($D$116,$F141,0)+$H141/24)))))</f>
        <v/>
      </c>
      <c r="D141" s="106">
        <f>IF(OR($B141="",25&gt;$O$10),"",$C141+$E141/24)</f>
        <v/>
      </c>
      <c r="E141" s="107" t="n">
        <v>4</v>
      </c>
      <c r="F141" s="28" t="n">
        <v>24</v>
      </c>
      <c r="G141" s="29" t="inlineStr">
        <is>
          <t>FS</t>
        </is>
      </c>
      <c r="H141" s="108" t="n">
        <v>0</v>
      </c>
      <c r="I141" s="109" t="n"/>
      <c r="J141" s="110" t="n"/>
      <c r="K141" s="109" t="n"/>
      <c r="L141" s="110" t="n"/>
      <c r="M141" s="111">
        <f>IF(OR($Q141="",$R141="",$V141=1),"",($R141-$Q141)*24)</f>
        <v/>
      </c>
      <c r="N141" s="34" t="n"/>
      <c r="O141" s="22">
        <f>IF(OR($B141="",25&gt;$O$10),"",IF($AB141=1,"! CHECK LINK",IF($V141=1,"! CHECK DATES",IF($S141=1,IF($R141="","Completed",IF($R141&lt;$D141,"Completed - Ahead",IF($R141&lt;=$D141+1/1440,"Completed - On Time","Completed - Delayed"))),IF($Q141&lt;&gt;"",IF($Y141&lt;=0.1,"In Progress - On Track","In Progress - BEHIND"),IF($M$5&lt;$C141,"Not Started","NOT STARTED - LATE"))))))</f>
        <v/>
      </c>
      <c r="P141" s="35" t="n"/>
      <c r="Q141">
        <f>IF($I141="","",$I141+IF($J141="",0,$J141))</f>
        <v/>
      </c>
      <c r="R141">
        <f>IF($K141="","",$K141+IF($L141="",0,$L141))</f>
        <v/>
      </c>
      <c r="S141">
        <f>IF($V141=1,0,IF($R141&lt;&gt;"",1,IF($N141="",0,$N141)))</f>
        <v/>
      </c>
      <c r="T141">
        <f>IF(OR($B141="",$E141=0),0,MEDIAN(0,($M$5-$C141)/($E141/24),1))</f>
        <v/>
      </c>
      <c r="U141">
        <f>($S141-$T141)*$E141</f>
        <v/>
      </c>
      <c r="V141">
        <f>IF(OR(AND($Q141&lt;&gt;"",$Q141&lt;$C$8),AND($Q141&lt;&gt;"",$R141&lt;&gt;"",$R141&lt;$Q141),AND($R141&lt;&gt;"",$Q141="")),1,0)</f>
        <v/>
      </c>
      <c r="W141">
        <f>IF($B141="","",IF($S141=1,IF($R141&lt;&gt;"",$R141,$D141),IF($Q141&lt;&gt;"",MAX($M$5,$Q141)+$E141*(1-$S141)/24,MAX($M$5,$C141)+$E141/24)))</f>
        <v/>
      </c>
      <c r="X141">
        <f>IF($B141="","",ROUND(($W141-$D141)*24,1))</f>
        <v/>
      </c>
      <c r="Y141">
        <f>IF($B141="","",IF($Q141&lt;&gt;"",$X141,IF($X141&gt;0,MAX($X141,IF($Y140="",0,IF($Y140&gt;0,$Y140-MAX(0,($C141-$D140)*24),$Y140))),IF($Y140="",0,IF($Y140&gt;0,$Y140-MAX(0,($C141-$D140)*24),$Y140)))))</f>
        <v/>
      </c>
      <c r="AB141">
        <f>IF(AND($B141&lt;&gt;"",$F141&gt;=25),1,0)</f>
        <v/>
      </c>
    </row>
    <row r="142" ht="19.5" customHeight="1">
      <c r="A142" s="24">
        <f>IF(OR($B142="",26&gt;$O$10),"",26)</f>
        <v/>
      </c>
      <c r="B142" s="25" t="inlineStr">
        <is>
          <t>Finishing (grinding, stamp, UT, inspection)</t>
        </is>
      </c>
      <c r="C142" s="106">
        <f>IF(OR($B142="",26&gt;$O$10),"",IF($F142=0,$C$8,IF($G142="SS",OFFSET($C$116,$F142,0)+$H142/24,IF($G142="FF",OFFSET($D$116,$F142,0)+$H142/24-$E142/24,IF($G142="SF",OFFSET($C$116,$F142,0)+$H142/24-$E142/24,OFFSET($D$116,$F142,0)+$H142/24)))))</f>
        <v/>
      </c>
      <c r="D142" s="106">
        <f>IF(OR($B142="",26&gt;$O$10),"",$C142+$E142/24)</f>
        <v/>
      </c>
      <c r="E142" s="107" t="n">
        <v>4</v>
      </c>
      <c r="F142" s="28" t="n">
        <v>25</v>
      </c>
      <c r="G142" s="29" t="inlineStr">
        <is>
          <t>FS</t>
        </is>
      </c>
      <c r="H142" s="108" t="n">
        <v>0</v>
      </c>
      <c r="I142" s="109" t="n"/>
      <c r="J142" s="110" t="n"/>
      <c r="K142" s="109" t="n"/>
      <c r="L142" s="110" t="n"/>
      <c r="M142" s="111">
        <f>IF(OR($Q142="",$R142="",$V142=1),"",($R142-$Q142)*24)</f>
        <v/>
      </c>
      <c r="N142" s="34" t="n"/>
      <c r="O142" s="22">
        <f>IF(OR($B142="",26&gt;$O$10),"",IF($AB142=1,"! CHECK LINK",IF($V142=1,"! CHECK DATES",IF($S142=1,IF($R142="","Completed",IF($R142&lt;$D142,"Completed - Ahead",IF($R142&lt;=$D142+1/1440,"Completed - On Time","Completed - Delayed"))),IF($Q142&lt;&gt;"",IF($Y142&lt;=0.1,"In Progress - On Track","In Progress - BEHIND"),IF($M$5&lt;$C142,"Not Started","NOT STARTED - LATE"))))))</f>
        <v/>
      </c>
      <c r="P142" s="35" t="n"/>
      <c r="Q142">
        <f>IF($I142="","",$I142+IF($J142="",0,$J142))</f>
        <v/>
      </c>
      <c r="R142">
        <f>IF($K142="","",$K142+IF($L142="",0,$L142))</f>
        <v/>
      </c>
      <c r="S142">
        <f>IF($V142=1,0,IF($R142&lt;&gt;"",1,IF($N142="",0,$N142)))</f>
        <v/>
      </c>
      <c r="T142">
        <f>IF(OR($B142="",$E142=0),0,MEDIAN(0,($M$5-$C142)/($E142/24),1))</f>
        <v/>
      </c>
      <c r="U142">
        <f>($S142-$T142)*$E142</f>
        <v/>
      </c>
      <c r="V142">
        <f>IF(OR(AND($Q142&lt;&gt;"",$Q142&lt;$C$8),AND($Q142&lt;&gt;"",$R142&lt;&gt;"",$R142&lt;$Q142),AND($R142&lt;&gt;"",$Q142="")),1,0)</f>
        <v/>
      </c>
      <c r="W142">
        <f>IF($B142="","",IF($S142=1,IF($R142&lt;&gt;"",$R142,$D142),IF($Q142&lt;&gt;"",MAX($M$5,$Q142)+$E142*(1-$S142)/24,MAX($M$5,$C142)+$E142/24)))</f>
        <v/>
      </c>
      <c r="X142">
        <f>IF($B142="","",ROUND(($W142-$D142)*24,1))</f>
        <v/>
      </c>
      <c r="Y142">
        <f>IF($B142="","",IF($Q142&lt;&gt;"",$X142,IF($X142&gt;0,MAX($X142,IF($Y141="",0,IF($Y141&gt;0,$Y141-MAX(0,($C142-$D141)*24),$Y141))),IF($Y141="",0,IF($Y141&gt;0,$Y141-MAX(0,($C142-$D141)*24),$Y141)))))</f>
        <v/>
      </c>
      <c r="AB142">
        <f>IF(AND($B142&lt;&gt;"",$F142&gt;=26),1,0)</f>
        <v/>
      </c>
    </row>
    <row r="143" ht="19.5" customHeight="1">
      <c r="A143" s="36" t="inlineStr">
        <is>
          <t>TOT</t>
        </is>
      </c>
      <c r="B143" s="37">
        <f>IF($B$18="","",$B$18&amp;"   -   sum of activity hours")</f>
        <v/>
      </c>
      <c r="C143" s="38" t="n"/>
      <c r="D143" s="112">
        <f>IF(COUNT($D117:$D142)=0,"",MAX($D117:$D142))</f>
        <v/>
      </c>
      <c r="E143" s="113">
        <f>SUM($E117:$E142)</f>
        <v/>
      </c>
      <c r="F143" s="38" t="n"/>
      <c r="G143" s="38" t="n"/>
      <c r="H143" s="38" t="n"/>
      <c r="I143" s="38" t="n"/>
      <c r="J143" s="38" t="n"/>
      <c r="K143" s="38" t="n"/>
      <c r="L143" s="38" t="n"/>
      <c r="M143" s="113">
        <f>SUM($M117:$M142)</f>
        <v/>
      </c>
      <c r="N143" s="41">
        <f>$S143</f>
        <v/>
      </c>
      <c r="O143" s="36">
        <f>IF($B$18="","",IF($X143&lt;=0,"ON TRACK","BEHIND"))</f>
        <v/>
      </c>
      <c r="P143" s="38" t="n"/>
      <c r="S143">
        <f>IF($E143=0,0,SUMPRODUCT($E117:$E142,$S117:$S142)/$E143)</f>
        <v/>
      </c>
      <c r="T143">
        <f>IF($E143=0,0,SUMPRODUCT($E117:$E142,$T117:$T142)/$E143)</f>
        <v/>
      </c>
      <c r="U143">
        <f>$S143-$T143</f>
        <v/>
      </c>
      <c r="W143">
        <f>IF($D143="","",$D143+$X143/24)</f>
        <v/>
      </c>
      <c r="X143">
        <f>IF(COUNT($Y117:$Y142)=0,0,LOOKUP(9.9E+307,$Y117:$Y142))</f>
        <v/>
      </c>
    </row>
    <row r="145" ht="24" customHeight="1">
      <c r="A145" s="21">
        <f>IF($B$19="","LOCATION 5  -  not used","   LOCATION 5  -  "&amp;$B$19)</f>
        <v/>
      </c>
    </row>
    <row r="146" ht="30" customHeight="1">
      <c r="A146" s="22" t="inlineStr">
        <is>
          <t>No</t>
        </is>
      </c>
      <c r="B146" s="22" t="inlineStr">
        <is>
          <t>ACTIVITY  (leave blank to switch the row off)</t>
        </is>
      </c>
      <c r="C146" s="22" t="inlineStr">
        <is>
          <t>Planned
Start</t>
        </is>
      </c>
      <c r="D146" s="22" t="inlineStr">
        <is>
          <t>Planned
Finish</t>
        </is>
      </c>
      <c r="E146" s="22" t="inlineStr">
        <is>
          <t>DUR
(h)</t>
        </is>
      </c>
      <c r="F146" s="22" t="inlineStr">
        <is>
          <t>PRED
No</t>
        </is>
      </c>
      <c r="G146" s="22" t="inlineStr">
        <is>
          <t>REL</t>
        </is>
      </c>
      <c r="H146" s="22" t="inlineStr">
        <is>
          <t>LAG
(h)</t>
        </is>
      </c>
      <c r="I146" s="23" t="inlineStr">
        <is>
          <t>ACT START
Date</t>
        </is>
      </c>
      <c r="J146" s="23" t="inlineStr">
        <is>
          <t>ACT START
Time</t>
        </is>
      </c>
      <c r="K146" s="23" t="inlineStr">
        <is>
          <t>ACT FINISH
Date</t>
        </is>
      </c>
      <c r="L146" s="23" t="inlineStr">
        <is>
          <t>ACT FINISH
Time</t>
        </is>
      </c>
      <c r="M146" s="22" t="inlineStr">
        <is>
          <t>ACT
Dur</t>
        </is>
      </c>
      <c r="N146" s="23" t="inlineStr">
        <is>
          <t>% COMP</t>
        </is>
      </c>
      <c r="O146" s="22" t="inlineStr">
        <is>
          <t>STATUS  (auto)</t>
        </is>
      </c>
      <c r="P146" s="23" t="inlineStr">
        <is>
          <t>REMARKS</t>
        </is>
      </c>
    </row>
    <row r="147" ht="19.5" customHeight="1">
      <c r="A147" s="24">
        <f>IF(OR($B147="",1&gt;$O$10),"",1)</f>
        <v/>
      </c>
      <c r="B147" s="25" t="inlineStr">
        <is>
          <t>OTMP moves from station 35 to main Line 1</t>
        </is>
      </c>
      <c r="C147" s="106">
        <f>IF(OR($B147="",1&gt;$O$10),"",IF($F147=0,$C$8,IF($G147="SS",OFFSET($C$146,$F147,0)+$H147/24,IF($G147="FF",OFFSET($D$146,$F147,0)+$H147/24-$E147/24,IF($G147="SF",OFFSET($C$146,$F147,0)+$H147/24-$E147/24,OFFSET($D$146,$F147,0)+$H147/24)))))</f>
        <v/>
      </c>
      <c r="D147" s="106">
        <f>IF(OR($B147="",1&gt;$O$10),"",$C147+$E147/24)</f>
        <v/>
      </c>
      <c r="E147" s="107" t="n">
        <v>1</v>
      </c>
      <c r="F147" s="28" t="n">
        <v>0</v>
      </c>
      <c r="G147" s="29" t="inlineStr">
        <is>
          <t>FS</t>
        </is>
      </c>
      <c r="H147" s="108" t="n">
        <v>0</v>
      </c>
      <c r="I147" s="109" t="n"/>
      <c r="J147" s="110" t="n"/>
      <c r="K147" s="109" t="n"/>
      <c r="L147" s="110" t="n"/>
      <c r="M147" s="111">
        <f>IF(OR($Q147="",$R147="",$V147=1),"",($R147-$Q147)*24)</f>
        <v/>
      </c>
      <c r="N147" s="34" t="n"/>
      <c r="O147" s="22">
        <f>IF(OR($B147="",1&gt;$O$10),"",IF($AB147=1,"! CHECK LINK",IF($V147=1,"! CHECK DATES",IF($S147=1,IF($R147="","Completed",IF($R147&lt;$D147,"Completed - Ahead",IF($R147&lt;=$D147+1/1440,"Completed - On Time","Completed - Delayed"))),IF($Q147&lt;&gt;"",IF($Y147&lt;=0.1,"In Progress - On Track","In Progress - BEHIND"),IF($M$5&lt;$C147,"Not Started","NOT STARTED - LATE"))))))</f>
        <v/>
      </c>
      <c r="P147" s="35" t="n"/>
      <c r="Q147">
        <f>IF($I147="","",$I147+IF($J147="",0,$J147))</f>
        <v/>
      </c>
      <c r="R147">
        <f>IF($K147="","",$K147+IF($L147="",0,$L147))</f>
        <v/>
      </c>
      <c r="S147">
        <f>IF($V147=1,0,IF($R147&lt;&gt;"",1,IF($N147="",0,$N147)))</f>
        <v/>
      </c>
      <c r="T147">
        <f>IF(OR($B147="",$E147=0),0,MEDIAN(0,($M$5-$C147)/($E147/24),1))</f>
        <v/>
      </c>
      <c r="U147">
        <f>($S147-$T147)*$E147</f>
        <v/>
      </c>
      <c r="V147">
        <f>IF(OR(AND($Q147&lt;&gt;"",$Q147&lt;$C$8),AND($Q147&lt;&gt;"",$R147&lt;&gt;"",$R147&lt;$Q147),AND($R147&lt;&gt;"",$Q147="")),1,0)</f>
        <v/>
      </c>
      <c r="W147">
        <f>IF($B147="","",IF($S147=1,IF($R147&lt;&gt;"",$R147,$D147),IF($Q147&lt;&gt;"",MAX($M$5,$Q147)+$E147*(1-$S147)/24,MAX($M$5,$C147)+$E147/24)))</f>
        <v/>
      </c>
      <c r="X147">
        <f>IF($B147="","",ROUND(($W147-$D147)*24,1))</f>
        <v/>
      </c>
      <c r="Y147">
        <f>IF($B147="","",$X147)</f>
        <v/>
      </c>
      <c r="AB147">
        <f>IF(AND($B147&lt;&gt;"",$F147&gt;=1),1,0)</f>
        <v/>
      </c>
    </row>
    <row r="148" ht="19.5" customHeight="1">
      <c r="A148" s="24">
        <f>IF(OR($B148="",2&gt;$O$10),"",2)</f>
        <v/>
      </c>
      <c r="B148" s="25" t="inlineStr">
        <is>
          <t>Track removal &amp; panel evacuation (Line 1)</t>
        </is>
      </c>
      <c r="C148" s="106">
        <f>IF(OR($B148="",2&gt;$O$10),"",IF($F148=0,$C$8,IF($G148="SS",OFFSET($C$146,$F148,0)+$H148/24,IF($G148="FF",OFFSET($D$146,$F148,0)+$H148/24-$E148/24,IF($G148="SF",OFFSET($C$146,$F148,0)+$H148/24-$E148/24,OFFSET($D$146,$F148,0)+$H148/24)))))</f>
        <v/>
      </c>
      <c r="D148" s="106">
        <f>IF(OR($B148="",2&gt;$O$10),"",$C148+$E148/24)</f>
        <v/>
      </c>
      <c r="E148" s="107" t="n">
        <v>1</v>
      </c>
      <c r="F148" s="28" t="n">
        <v>1</v>
      </c>
      <c r="G148" s="29" t="inlineStr">
        <is>
          <t>FS</t>
        </is>
      </c>
      <c r="H148" s="108" t="n">
        <v>0</v>
      </c>
      <c r="I148" s="109" t="n"/>
      <c r="J148" s="110" t="n"/>
      <c r="K148" s="109" t="n"/>
      <c r="L148" s="110" t="n"/>
      <c r="M148" s="111">
        <f>IF(OR($Q148="",$R148="",$V148=1),"",($R148-$Q148)*24)</f>
        <v/>
      </c>
      <c r="N148" s="34" t="n"/>
      <c r="O148" s="22">
        <f>IF(OR($B148="",2&gt;$O$10),"",IF($AB148=1,"! CHECK LINK",IF($V148=1,"! CHECK DATES",IF($S148=1,IF($R148="","Completed",IF($R148&lt;$D148,"Completed - Ahead",IF($R148&lt;=$D148+1/1440,"Completed - On Time","Completed - Delayed"))),IF($Q148&lt;&gt;"",IF($Y148&lt;=0.1,"In Progress - On Track","In Progress - BEHIND"),IF($M$5&lt;$C148,"Not Started","NOT STARTED - LATE"))))))</f>
        <v/>
      </c>
      <c r="P148" s="35" t="n"/>
      <c r="Q148">
        <f>IF($I148="","",$I148+IF($J148="",0,$J148))</f>
        <v/>
      </c>
      <c r="R148">
        <f>IF($K148="","",$K148+IF($L148="",0,$L148))</f>
        <v/>
      </c>
      <c r="S148">
        <f>IF($V148=1,0,IF($R148&lt;&gt;"",1,IF($N148="",0,$N148)))</f>
        <v/>
      </c>
      <c r="T148">
        <f>IF(OR($B148="",$E148=0),0,MEDIAN(0,($M$5-$C148)/($E148/24),1))</f>
        <v/>
      </c>
      <c r="U148">
        <f>($S148-$T148)*$E148</f>
        <v/>
      </c>
      <c r="V148">
        <f>IF(OR(AND($Q148&lt;&gt;"",$Q148&lt;$C$8),AND($Q148&lt;&gt;"",$R148&lt;&gt;"",$R148&lt;$Q148),AND($R148&lt;&gt;"",$Q148="")),1,0)</f>
        <v/>
      </c>
      <c r="W148">
        <f>IF($B148="","",IF($S148=1,IF($R148&lt;&gt;"",$R148,$D148),IF($Q148&lt;&gt;"",MAX($M$5,$Q148)+$E148*(1-$S148)/24,MAX($M$5,$C148)+$E148/24)))</f>
        <v/>
      </c>
      <c r="X148">
        <f>IF($B148="","",ROUND(($W148-$D148)*24,1))</f>
        <v/>
      </c>
      <c r="Y148">
        <f>IF($B148="","",IF($Q148&lt;&gt;"",$X148,IF($X148&gt;0,MAX($X148,IF($Y147="",0,IF($Y147&gt;0,$Y147-MAX(0,($C148-$D147)*24),$Y147))),IF($Y147="",0,IF($Y147&gt;0,$Y147-MAX(0,($C148-$D147)*24),$Y147)))))</f>
        <v/>
      </c>
      <c r="AB148">
        <f>IF(AND($B148&lt;&gt;"",$F148&gt;=2),1,0)</f>
        <v/>
      </c>
    </row>
    <row r="149" ht="19.5" customHeight="1">
      <c r="A149" s="24">
        <f>IF(OR($B149="",3&gt;$O$10),"",3)</f>
        <v/>
      </c>
      <c r="B149" s="25" t="inlineStr">
        <is>
          <t>Track removal &amp; panel evacuation (Line 3)</t>
        </is>
      </c>
      <c r="C149" s="106">
        <f>IF(OR($B149="",3&gt;$O$10),"",IF($F149=0,$C$8,IF($G149="SS",OFFSET($C$146,$F149,0)+$H149/24,IF($G149="FF",OFFSET($D$146,$F149,0)+$H149/24-$E149/24,IF($G149="SF",OFFSET($C$146,$F149,0)+$H149/24-$E149/24,OFFSET($D$146,$F149,0)+$H149/24)))))</f>
        <v/>
      </c>
      <c r="D149" s="106">
        <f>IF(OR($B149="",3&gt;$O$10),"",$C149+$E149/24)</f>
        <v/>
      </c>
      <c r="E149" s="107" t="n">
        <v>1</v>
      </c>
      <c r="F149" s="28" t="n">
        <v>1</v>
      </c>
      <c r="G149" s="29" t="inlineStr">
        <is>
          <t>SS</t>
        </is>
      </c>
      <c r="H149" s="108" t="n">
        <v>0</v>
      </c>
      <c r="I149" s="109" t="n"/>
      <c r="J149" s="110" t="n"/>
      <c r="K149" s="109" t="n"/>
      <c r="L149" s="110" t="n"/>
      <c r="M149" s="111">
        <f>IF(OR($Q149="",$R149="",$V149=1),"",($R149-$Q149)*24)</f>
        <v/>
      </c>
      <c r="N149" s="34" t="n"/>
      <c r="O149" s="22">
        <f>IF(OR($B149="",3&gt;$O$10),"",IF($AB149=1,"! CHECK LINK",IF($V149=1,"! CHECK DATES",IF($S149=1,IF($R149="","Completed",IF($R149&lt;$D149,"Completed - Ahead",IF($R149&lt;=$D149+1/1440,"Completed - On Time","Completed - Delayed"))),IF($Q149&lt;&gt;"",IF($Y149&lt;=0.1,"In Progress - On Track","In Progress - BEHIND"),IF($M$5&lt;$C149,"Not Started","NOT STARTED - LATE"))))))</f>
        <v/>
      </c>
      <c r="P149" s="35" t="n"/>
      <c r="Q149">
        <f>IF($I149="","",$I149+IF($J149="",0,$J149))</f>
        <v/>
      </c>
      <c r="R149">
        <f>IF($K149="","",$K149+IF($L149="",0,$L149))</f>
        <v/>
      </c>
      <c r="S149">
        <f>IF($V149=1,0,IF($R149&lt;&gt;"",1,IF($N149="",0,$N149)))</f>
        <v/>
      </c>
      <c r="T149">
        <f>IF(OR($B149="",$E149=0),0,MEDIAN(0,($M$5-$C149)/($E149/24),1))</f>
        <v/>
      </c>
      <c r="U149">
        <f>($S149-$T149)*$E149</f>
        <v/>
      </c>
      <c r="V149">
        <f>IF(OR(AND($Q149&lt;&gt;"",$Q149&lt;$C$8),AND($Q149&lt;&gt;"",$R149&lt;&gt;"",$R149&lt;$Q149),AND($R149&lt;&gt;"",$Q149="")),1,0)</f>
        <v/>
      </c>
      <c r="W149">
        <f>IF($B149="","",IF($S149=1,IF($R149&lt;&gt;"",$R149,$D149),IF($Q149&lt;&gt;"",MAX($M$5,$Q149)+$E149*(1-$S149)/24,MAX($M$5,$C149)+$E149/24)))</f>
        <v/>
      </c>
      <c r="X149">
        <f>IF($B149="","",ROUND(($W149-$D149)*24,1))</f>
        <v/>
      </c>
      <c r="Y149">
        <f>IF($B149="","",IF($Q149&lt;&gt;"",$X149,IF($X149&gt;0,MAX($X149,IF($Y148="",0,IF($Y148&gt;0,$Y148-MAX(0,($C149-$D148)*24),$Y148))),IF($Y148="",0,IF($Y148&gt;0,$Y148-MAX(0,($C149-$D148)*24),$Y148)))))</f>
        <v/>
      </c>
      <c r="AB149">
        <f>IF(AND($B149&lt;&gt;"",$F149&gt;=3),1,0)</f>
        <v/>
      </c>
    </row>
    <row r="150" ht="19.5" customHeight="1">
      <c r="A150" s="24">
        <f>IF(OR($B150="",4&gt;$O$10),"",4)</f>
        <v/>
      </c>
      <c r="B150" s="25" t="inlineStr">
        <is>
          <t>Ballast removal</t>
        </is>
      </c>
      <c r="C150" s="106">
        <f>IF(OR($B150="",4&gt;$O$10),"",IF($F150=0,$C$8,IF($G150="SS",OFFSET($C$146,$F150,0)+$H150/24,IF($G150="FF",OFFSET($D$146,$F150,0)+$H150/24-$E150/24,IF($G150="SF",OFFSET($C$146,$F150,0)+$H150/24-$E150/24,OFFSET($D$146,$F150,0)+$H150/24)))))</f>
        <v/>
      </c>
      <c r="D150" s="106">
        <f>IF(OR($B150="",4&gt;$O$10),"",$C150+$E150/24)</f>
        <v/>
      </c>
      <c r="E150" s="107" t="n">
        <v>1</v>
      </c>
      <c r="F150" s="28" t="n">
        <v>3</v>
      </c>
      <c r="G150" s="29" t="inlineStr">
        <is>
          <t>FS</t>
        </is>
      </c>
      <c r="H150" s="108" t="n">
        <v>0</v>
      </c>
      <c r="I150" s="109" t="n"/>
      <c r="J150" s="110" t="n"/>
      <c r="K150" s="109" t="n"/>
      <c r="L150" s="110" t="n"/>
      <c r="M150" s="111">
        <f>IF(OR($Q150="",$R150="",$V150=1),"",($R150-$Q150)*24)</f>
        <v/>
      </c>
      <c r="N150" s="34" t="n"/>
      <c r="O150" s="22">
        <f>IF(OR($B150="",4&gt;$O$10),"",IF($AB150=1,"! CHECK LINK",IF($V150=1,"! CHECK DATES",IF($S150=1,IF($R150="","Completed",IF($R150&lt;$D150,"Completed - Ahead",IF($R150&lt;=$D150+1/1440,"Completed - On Time","Completed - Delayed"))),IF($Q150&lt;&gt;"",IF($Y150&lt;=0.1,"In Progress - On Track","In Progress - BEHIND"),IF($M$5&lt;$C150,"Not Started","NOT STARTED - LATE"))))))</f>
        <v/>
      </c>
      <c r="P150" s="35" t="n"/>
      <c r="Q150">
        <f>IF($I150="","",$I150+IF($J150="",0,$J150))</f>
        <v/>
      </c>
      <c r="R150">
        <f>IF($K150="","",$K150+IF($L150="",0,$L150))</f>
        <v/>
      </c>
      <c r="S150">
        <f>IF($V150=1,0,IF($R150&lt;&gt;"",1,IF($N150="",0,$N150)))</f>
        <v/>
      </c>
      <c r="T150">
        <f>IF(OR($B150="",$E150=0),0,MEDIAN(0,($M$5-$C150)/($E150/24),1))</f>
        <v/>
      </c>
      <c r="U150">
        <f>($S150-$T150)*$E150</f>
        <v/>
      </c>
      <c r="V150">
        <f>IF(OR(AND($Q150&lt;&gt;"",$Q150&lt;$C$8),AND($Q150&lt;&gt;"",$R150&lt;&gt;"",$R150&lt;$Q150),AND($R150&lt;&gt;"",$Q150="")),1,0)</f>
        <v/>
      </c>
      <c r="W150">
        <f>IF($B150="","",IF($S150=1,IF($R150&lt;&gt;"",$R150,$D150),IF($Q150&lt;&gt;"",MAX($M$5,$Q150)+$E150*(1-$S150)/24,MAX($M$5,$C150)+$E150/24)))</f>
        <v/>
      </c>
      <c r="X150">
        <f>IF($B150="","",ROUND(($W150-$D150)*24,1))</f>
        <v/>
      </c>
      <c r="Y150">
        <f>IF($B150="","",IF($Q150&lt;&gt;"",$X150,IF($X150&gt;0,MAX($X150,IF($Y149="",0,IF($Y149&gt;0,$Y149-MAX(0,($C150-$D149)*24),$Y149))),IF($Y149="",0,IF($Y149&gt;0,$Y149-MAX(0,($C150-$D149)*24),$Y149)))))</f>
        <v/>
      </c>
      <c r="AB150">
        <f>IF(AND($B150&lt;&gt;"",$F150&gt;=4),1,0)</f>
        <v/>
      </c>
    </row>
    <row r="151" ht="19.5" customHeight="1">
      <c r="A151" s="24">
        <f>IF(OR($B151="",5&gt;$O$10),"",5)</f>
        <v/>
      </c>
      <c r="B151" s="25" t="inlineStr">
        <is>
          <t>Cutting &amp; removal around existing culvert</t>
        </is>
      </c>
      <c r="C151" s="106">
        <f>IF(OR($B151="",5&gt;$O$10),"",IF($F151=0,$C$8,IF($G151="SS",OFFSET($C$146,$F151,0)+$H151/24,IF($G151="FF",OFFSET($D$146,$F151,0)+$H151/24-$E151/24,IF($G151="SF",OFFSET($C$146,$F151,0)+$H151/24-$E151/24,OFFSET($D$146,$F151,0)+$H151/24)))))</f>
        <v/>
      </c>
      <c r="D151" s="106">
        <f>IF(OR($B151="",5&gt;$O$10),"",$C151+$E151/24)</f>
        <v/>
      </c>
      <c r="E151" s="107" t="n">
        <v>2</v>
      </c>
      <c r="F151" s="28" t="n">
        <v>4</v>
      </c>
      <c r="G151" s="29" t="inlineStr">
        <is>
          <t>FS</t>
        </is>
      </c>
      <c r="H151" s="108" t="n">
        <v>0</v>
      </c>
      <c r="I151" s="109" t="n"/>
      <c r="J151" s="110" t="n"/>
      <c r="K151" s="109" t="n"/>
      <c r="L151" s="110" t="n"/>
      <c r="M151" s="111">
        <f>IF(OR($Q151="",$R151="",$V151=1),"",($R151-$Q151)*24)</f>
        <v/>
      </c>
      <c r="N151" s="34" t="n"/>
      <c r="O151" s="22">
        <f>IF(OR($B151="",5&gt;$O$10),"",IF($AB151=1,"! CHECK LINK",IF($V151=1,"! CHECK DATES",IF($S151=1,IF($R151="","Completed",IF($R151&lt;$D151,"Completed - Ahead",IF($R151&lt;=$D151+1/1440,"Completed - On Time","Completed - Delayed"))),IF($Q151&lt;&gt;"",IF($Y151&lt;=0.1,"In Progress - On Track","In Progress - BEHIND"),IF($M$5&lt;$C151,"Not Started","NOT STARTED - LATE"))))))</f>
        <v/>
      </c>
      <c r="P151" s="35" t="n"/>
      <c r="Q151">
        <f>IF($I151="","",$I151+IF($J151="",0,$J151))</f>
        <v/>
      </c>
      <c r="R151">
        <f>IF($K151="","",$K151+IF($L151="",0,$L151))</f>
        <v/>
      </c>
      <c r="S151">
        <f>IF($V151=1,0,IF($R151&lt;&gt;"",1,IF($N151="",0,$N151)))</f>
        <v/>
      </c>
      <c r="T151">
        <f>IF(OR($B151="",$E151=0),0,MEDIAN(0,($M$5-$C151)/($E151/24),1))</f>
        <v/>
      </c>
      <c r="U151">
        <f>($S151-$T151)*$E151</f>
        <v/>
      </c>
      <c r="V151">
        <f>IF(OR(AND($Q151&lt;&gt;"",$Q151&lt;$C$8),AND($Q151&lt;&gt;"",$R151&lt;&gt;"",$R151&lt;$Q151),AND($R151&lt;&gt;"",$Q151="")),1,0)</f>
        <v/>
      </c>
      <c r="W151">
        <f>IF($B151="","",IF($S151=1,IF($R151&lt;&gt;"",$R151,$D151),IF($Q151&lt;&gt;"",MAX($M$5,$Q151)+$E151*(1-$S151)/24,MAX($M$5,$C151)+$E151/24)))</f>
        <v/>
      </c>
      <c r="X151">
        <f>IF($B151="","",ROUND(($W151-$D151)*24,1))</f>
        <v/>
      </c>
      <c r="Y151">
        <f>IF($B151="","",IF($Q151&lt;&gt;"",$X151,IF($X151&gt;0,MAX($X151,IF($Y150="",0,IF($Y150&gt;0,$Y150-MAX(0,($C151-$D150)*24),$Y150))),IF($Y150="",0,IF($Y150&gt;0,$Y150-MAX(0,($C151-$D150)*24),$Y150)))))</f>
        <v/>
      </c>
      <c r="AB151">
        <f>IF(AND($B151&lt;&gt;"",$F151&gt;=5),1,0)</f>
        <v/>
      </c>
    </row>
    <row r="152" ht="19.5" customHeight="1">
      <c r="A152" s="24">
        <f>IF(OR($B152="",6&gt;$O$10),"",6)</f>
        <v/>
      </c>
      <c r="B152" s="25" t="inlineStr">
        <is>
          <t>Demolition of existing culvert</t>
        </is>
      </c>
      <c r="C152" s="106">
        <f>IF(OR($B152="",6&gt;$O$10),"",IF($F152=0,$C$8,IF($G152="SS",OFFSET($C$146,$F152,0)+$H152/24,IF($G152="FF",OFFSET($D$146,$F152,0)+$H152/24-$E152/24,IF($G152="SF",OFFSET($C$146,$F152,0)+$H152/24-$E152/24,OFFSET($D$146,$F152,0)+$H152/24)))))</f>
        <v/>
      </c>
      <c r="D152" s="106">
        <f>IF(OR($B152="",6&gt;$O$10),"",$C152+$E152/24)</f>
        <v/>
      </c>
      <c r="E152" s="107" t="n">
        <v>4</v>
      </c>
      <c r="F152" s="28" t="n">
        <v>5</v>
      </c>
      <c r="G152" s="29" t="inlineStr">
        <is>
          <t>FS</t>
        </is>
      </c>
      <c r="H152" s="108" t="n">
        <v>0</v>
      </c>
      <c r="I152" s="109" t="n"/>
      <c r="J152" s="110" t="n"/>
      <c r="K152" s="109" t="n"/>
      <c r="L152" s="110" t="n"/>
      <c r="M152" s="111">
        <f>IF(OR($Q152="",$R152="",$V152=1),"",($R152-$Q152)*24)</f>
        <v/>
      </c>
      <c r="N152" s="34" t="n"/>
      <c r="O152" s="22">
        <f>IF(OR($B152="",6&gt;$O$10),"",IF($AB152=1,"! CHECK LINK",IF($V152=1,"! CHECK DATES",IF($S152=1,IF($R152="","Completed",IF($R152&lt;$D152,"Completed - Ahead",IF($R152&lt;=$D152+1/1440,"Completed - On Time","Completed - Delayed"))),IF($Q152&lt;&gt;"",IF($Y152&lt;=0.1,"In Progress - On Track","In Progress - BEHIND"),IF($M$5&lt;$C152,"Not Started","NOT STARTED - LATE"))))))</f>
        <v/>
      </c>
      <c r="P152" s="35" t="n"/>
      <c r="Q152">
        <f>IF($I152="","",$I152+IF($J152="",0,$J152))</f>
        <v/>
      </c>
      <c r="R152">
        <f>IF($K152="","",$K152+IF($L152="",0,$L152))</f>
        <v/>
      </c>
      <c r="S152">
        <f>IF($V152=1,0,IF($R152&lt;&gt;"",1,IF($N152="",0,$N152)))</f>
        <v/>
      </c>
      <c r="T152">
        <f>IF(OR($B152="",$E152=0),0,MEDIAN(0,($M$5-$C152)/($E152/24),1))</f>
        <v/>
      </c>
      <c r="U152">
        <f>($S152-$T152)*$E152</f>
        <v/>
      </c>
      <c r="V152">
        <f>IF(OR(AND($Q152&lt;&gt;"",$Q152&lt;$C$8),AND($Q152&lt;&gt;"",$R152&lt;&gt;"",$R152&lt;$Q152),AND($R152&lt;&gt;"",$Q152="")),1,0)</f>
        <v/>
      </c>
      <c r="W152">
        <f>IF($B152="","",IF($S152=1,IF($R152&lt;&gt;"",$R152,$D152),IF($Q152&lt;&gt;"",MAX($M$5,$Q152)+$E152*(1-$S152)/24,MAX($M$5,$C152)+$E152/24)))</f>
        <v/>
      </c>
      <c r="X152">
        <f>IF($B152="","",ROUND(($W152-$D152)*24,1))</f>
        <v/>
      </c>
      <c r="Y152">
        <f>IF($B152="","",IF($Q152&lt;&gt;"",$X152,IF($X152&gt;0,MAX($X152,IF($Y151="",0,IF($Y151&gt;0,$Y151-MAX(0,($C152-$D151)*24),$Y151))),IF($Y151="",0,IF($Y151&gt;0,$Y151-MAX(0,($C152-$D151)*24),$Y151)))))</f>
        <v/>
      </c>
      <c r="AB152">
        <f>IF(AND($B152&lt;&gt;"",$F152&gt;=6),1,0)</f>
        <v/>
      </c>
    </row>
    <row r="153" ht="19.5" customHeight="1">
      <c r="A153" s="24">
        <f>IF(OR($B153="",7&gt;$O$10),"",7)</f>
        <v/>
      </c>
      <c r="B153" s="25" t="inlineStr">
        <is>
          <t>Surface preparation for precast installation</t>
        </is>
      </c>
      <c r="C153" s="106">
        <f>IF(OR($B153="",7&gt;$O$10),"",IF($F153=0,$C$8,IF($G153="SS",OFFSET($C$146,$F153,0)+$H153/24,IF($G153="FF",OFFSET($D$146,$F153,0)+$H153/24-$E153/24,IF($G153="SF",OFFSET($C$146,$F153,0)+$H153/24-$E153/24,OFFSET($D$146,$F153,0)+$H153/24)))))</f>
        <v/>
      </c>
      <c r="D153" s="106">
        <f>IF(OR($B153="",7&gt;$O$10),"",$C153+$E153/24)</f>
        <v/>
      </c>
      <c r="E153" s="107" t="n">
        <v>2</v>
      </c>
      <c r="F153" s="28" t="n">
        <v>6</v>
      </c>
      <c r="G153" s="29" t="inlineStr">
        <is>
          <t>FS</t>
        </is>
      </c>
      <c r="H153" s="108" t="n">
        <v>0</v>
      </c>
      <c r="I153" s="109" t="n"/>
      <c r="J153" s="110" t="n"/>
      <c r="K153" s="109" t="n"/>
      <c r="L153" s="110" t="n"/>
      <c r="M153" s="111">
        <f>IF(OR($Q153="",$R153="",$V153=1),"",($R153-$Q153)*24)</f>
        <v/>
      </c>
      <c r="N153" s="34" t="n"/>
      <c r="O153" s="22">
        <f>IF(OR($B153="",7&gt;$O$10),"",IF($AB153=1,"! CHECK LINK",IF($V153=1,"! CHECK DATES",IF($S153=1,IF($R153="","Completed",IF($R153&lt;$D153,"Completed - Ahead",IF($R153&lt;=$D153+1/1440,"Completed - On Time","Completed - Delayed"))),IF($Q153&lt;&gt;"",IF($Y153&lt;=0.1,"In Progress - On Track","In Progress - BEHIND"),IF($M$5&lt;$C153,"Not Started","NOT STARTED - LATE"))))))</f>
        <v/>
      </c>
      <c r="P153" s="35" t="n"/>
      <c r="Q153">
        <f>IF($I153="","",$I153+IF($J153="",0,$J153))</f>
        <v/>
      </c>
      <c r="R153">
        <f>IF($K153="","",$K153+IF($L153="",0,$L153))</f>
        <v/>
      </c>
      <c r="S153">
        <f>IF($V153=1,0,IF($R153&lt;&gt;"",1,IF($N153="",0,$N153)))</f>
        <v/>
      </c>
      <c r="T153">
        <f>IF(OR($B153="",$E153=0),0,MEDIAN(0,($M$5-$C153)/($E153/24),1))</f>
        <v/>
      </c>
      <c r="U153">
        <f>($S153-$T153)*$E153</f>
        <v/>
      </c>
      <c r="V153">
        <f>IF(OR(AND($Q153&lt;&gt;"",$Q153&lt;$C$8),AND($Q153&lt;&gt;"",$R153&lt;&gt;"",$R153&lt;$Q153),AND($R153&lt;&gt;"",$Q153="")),1,0)</f>
        <v/>
      </c>
      <c r="W153">
        <f>IF($B153="","",IF($S153=1,IF($R153&lt;&gt;"",$R153,$D153),IF($Q153&lt;&gt;"",MAX($M$5,$Q153)+$E153*(1-$S153)/24,MAX($M$5,$C153)+$E153/24)))</f>
        <v/>
      </c>
      <c r="X153">
        <f>IF($B153="","",ROUND(($W153-$D153)*24,1))</f>
        <v/>
      </c>
      <c r="Y153">
        <f>IF($B153="","",IF($Q153&lt;&gt;"",$X153,IF($X153&gt;0,MAX($X153,IF($Y152="",0,IF($Y152&gt;0,$Y152-MAX(0,($C153-$D152)*24),$Y152))),IF($Y152="",0,IF($Y152&gt;0,$Y152-MAX(0,($C153-$D152)*24),$Y152)))))</f>
        <v/>
      </c>
      <c r="AB153">
        <f>IF(AND($B153&lt;&gt;"",$F153&gt;=7),1,0)</f>
        <v/>
      </c>
    </row>
    <row r="154" ht="19.5" customHeight="1">
      <c r="A154" s="24">
        <f>IF(OR($B154="",8&gt;$O$10),"",8)</f>
        <v/>
      </c>
      <c r="B154" s="25" t="inlineStr">
        <is>
          <t>Installation of new precast culvert</t>
        </is>
      </c>
      <c r="C154" s="106">
        <f>IF(OR($B154="",8&gt;$O$10),"",IF($F154=0,$C$8,IF($G154="SS",OFFSET($C$146,$F154,0)+$H154/24,IF($G154="FF",OFFSET($D$146,$F154,0)+$H154/24-$E154/24,IF($G154="SF",OFFSET($C$146,$F154,0)+$H154/24-$E154/24,OFFSET($D$146,$F154,0)+$H154/24)))))</f>
        <v/>
      </c>
      <c r="D154" s="106">
        <f>IF(OR($B154="",8&gt;$O$10),"",$C154+$E154/24)</f>
        <v/>
      </c>
      <c r="E154" s="107" t="n">
        <v>2</v>
      </c>
      <c r="F154" s="28" t="n">
        <v>7</v>
      </c>
      <c r="G154" s="29" t="inlineStr">
        <is>
          <t>FS</t>
        </is>
      </c>
      <c r="H154" s="108" t="n">
        <v>0</v>
      </c>
      <c r="I154" s="109" t="n"/>
      <c r="J154" s="110" t="n"/>
      <c r="K154" s="109" t="n"/>
      <c r="L154" s="110" t="n"/>
      <c r="M154" s="111">
        <f>IF(OR($Q154="",$R154="",$V154=1),"",($R154-$Q154)*24)</f>
        <v/>
      </c>
      <c r="N154" s="34" t="n"/>
      <c r="O154" s="22">
        <f>IF(OR($B154="",8&gt;$O$10),"",IF($AB154=1,"! CHECK LINK",IF($V154=1,"! CHECK DATES",IF($S154=1,IF($R154="","Completed",IF($R154&lt;$D154,"Completed - Ahead",IF($R154&lt;=$D154+1/1440,"Completed - On Time","Completed - Delayed"))),IF($Q154&lt;&gt;"",IF($Y154&lt;=0.1,"In Progress - On Track","In Progress - BEHIND"),IF($M$5&lt;$C154,"Not Started","NOT STARTED - LATE"))))))</f>
        <v/>
      </c>
      <c r="P154" s="35" t="n"/>
      <c r="Q154">
        <f>IF($I154="","",$I154+IF($J154="",0,$J154))</f>
        <v/>
      </c>
      <c r="R154">
        <f>IF($K154="","",$K154+IF($L154="",0,$L154))</f>
        <v/>
      </c>
      <c r="S154">
        <f>IF($V154=1,0,IF($R154&lt;&gt;"",1,IF($N154="",0,$N154)))</f>
        <v/>
      </c>
      <c r="T154">
        <f>IF(OR($B154="",$E154=0),0,MEDIAN(0,($M$5-$C154)/($E154/24),1))</f>
        <v/>
      </c>
      <c r="U154">
        <f>($S154-$T154)*$E154</f>
        <v/>
      </c>
      <c r="V154">
        <f>IF(OR(AND($Q154&lt;&gt;"",$Q154&lt;$C$8),AND($Q154&lt;&gt;"",$R154&lt;&gt;"",$R154&lt;$Q154),AND($R154&lt;&gt;"",$Q154="")),1,0)</f>
        <v/>
      </c>
      <c r="W154">
        <f>IF($B154="","",IF($S154=1,IF($R154&lt;&gt;"",$R154,$D154),IF($Q154&lt;&gt;"",MAX($M$5,$Q154)+$E154*(1-$S154)/24,MAX($M$5,$C154)+$E154/24)))</f>
        <v/>
      </c>
      <c r="X154">
        <f>IF($B154="","",ROUND(($W154-$D154)*24,1))</f>
        <v/>
      </c>
      <c r="Y154">
        <f>IF($B154="","",IF($Q154&lt;&gt;"",$X154,IF($X154&gt;0,MAX($X154,IF($Y153="",0,IF($Y153&gt;0,$Y153-MAX(0,($C154-$D153)*24),$Y153))),IF($Y153="",0,IF($Y153&gt;0,$Y153-MAX(0,($C154-$D153)*24),$Y153)))))</f>
        <v/>
      </c>
      <c r="AB154">
        <f>IF(AND($B154&lt;&gt;"",$F154&gt;=8),1,0)</f>
        <v/>
      </c>
    </row>
    <row r="155" ht="19.5" customHeight="1">
      <c r="A155" s="24">
        <f>IF(OR($B155="",9&gt;$O$10),"",9)</f>
        <v/>
      </c>
      <c r="B155" s="25" t="inlineStr">
        <is>
          <t>Apply sealant to the culvert</t>
        </is>
      </c>
      <c r="C155" s="106">
        <f>IF(OR($B155="",9&gt;$O$10),"",IF($F155=0,$C$8,IF($G155="SS",OFFSET($C$146,$F155,0)+$H155/24,IF($G155="FF",OFFSET($D$146,$F155,0)+$H155/24-$E155/24,IF($G155="SF",OFFSET($C$146,$F155,0)+$H155/24-$E155/24,OFFSET($D$146,$F155,0)+$H155/24)))))</f>
        <v/>
      </c>
      <c r="D155" s="106">
        <f>IF(OR($B155="",9&gt;$O$10),"",$C155+$E155/24)</f>
        <v/>
      </c>
      <c r="E155" s="107" t="n">
        <v>2</v>
      </c>
      <c r="F155" s="28" t="n">
        <v>8</v>
      </c>
      <c r="G155" s="29" t="inlineStr">
        <is>
          <t>FS</t>
        </is>
      </c>
      <c r="H155" s="108" t="n">
        <v>0</v>
      </c>
      <c r="I155" s="109" t="n"/>
      <c r="J155" s="110" t="n"/>
      <c r="K155" s="109" t="n"/>
      <c r="L155" s="110" t="n"/>
      <c r="M155" s="111">
        <f>IF(OR($Q155="",$R155="",$V155=1),"",($R155-$Q155)*24)</f>
        <v/>
      </c>
      <c r="N155" s="34" t="n"/>
      <c r="O155" s="22">
        <f>IF(OR($B155="",9&gt;$O$10),"",IF($AB155=1,"! CHECK LINK",IF($V155=1,"! CHECK DATES",IF($S155=1,IF($R155="","Completed",IF($R155&lt;$D155,"Completed - Ahead",IF($R155&lt;=$D155+1/1440,"Completed - On Time","Completed - Delayed"))),IF($Q155&lt;&gt;"",IF($Y155&lt;=0.1,"In Progress - On Track","In Progress - BEHIND"),IF($M$5&lt;$C155,"Not Started","NOT STARTED - LATE"))))))</f>
        <v/>
      </c>
      <c r="P155" s="35" t="n"/>
      <c r="Q155">
        <f>IF($I155="","",$I155+IF($J155="",0,$J155))</f>
        <v/>
      </c>
      <c r="R155">
        <f>IF($K155="","",$K155+IF($L155="",0,$L155))</f>
        <v/>
      </c>
      <c r="S155">
        <f>IF($V155=1,0,IF($R155&lt;&gt;"",1,IF($N155="",0,$N155)))</f>
        <v/>
      </c>
      <c r="T155">
        <f>IF(OR($B155="",$E155=0),0,MEDIAN(0,($M$5-$C155)/($E155/24),1))</f>
        <v/>
      </c>
      <c r="U155">
        <f>($S155-$T155)*$E155</f>
        <v/>
      </c>
      <c r="V155">
        <f>IF(OR(AND($Q155&lt;&gt;"",$Q155&lt;$C$8),AND($Q155&lt;&gt;"",$R155&lt;&gt;"",$R155&lt;$Q155),AND($R155&lt;&gt;"",$Q155="")),1,0)</f>
        <v/>
      </c>
      <c r="W155">
        <f>IF($B155="","",IF($S155=1,IF($R155&lt;&gt;"",$R155,$D155),IF($Q155&lt;&gt;"",MAX($M$5,$Q155)+$E155*(1-$S155)/24,MAX($M$5,$C155)+$E155/24)))</f>
        <v/>
      </c>
      <c r="X155">
        <f>IF($B155="","",ROUND(($W155-$D155)*24,1))</f>
        <v/>
      </c>
      <c r="Y155">
        <f>IF($B155="","",IF($Q155&lt;&gt;"",$X155,IF($X155&gt;0,MAX($X155,IF($Y154="",0,IF($Y154&gt;0,$Y154-MAX(0,($C155-$D154)*24),$Y154))),IF($Y154="",0,IF($Y154&gt;0,$Y154-MAX(0,($C155-$D154)*24),$Y154)))))</f>
        <v/>
      </c>
      <c r="AB155">
        <f>IF(AND($B155&lt;&gt;"",$F155&gt;=9),1,0)</f>
        <v/>
      </c>
    </row>
    <row r="156" ht="19.5" customHeight="1">
      <c r="A156" s="24">
        <f>IF(OR($B156="",10&gt;$O$10),"",10)</f>
        <v/>
      </c>
      <c r="B156" s="25" t="inlineStr">
        <is>
          <t>Backfill around culvert to subgrade level</t>
        </is>
      </c>
      <c r="C156" s="106">
        <f>IF(OR($B156="",10&gt;$O$10),"",IF($F156=0,$C$8,IF($G156="SS",OFFSET($C$146,$F156,0)+$H156/24,IF($G156="FF",OFFSET($D$146,$F156,0)+$H156/24-$E156/24,IF($G156="SF",OFFSET($C$146,$F156,0)+$H156/24-$E156/24,OFFSET($D$146,$F156,0)+$H156/24)))))</f>
        <v/>
      </c>
      <c r="D156" s="106">
        <f>IF(OR($B156="",10&gt;$O$10),"",$C156+$E156/24)</f>
        <v/>
      </c>
      <c r="E156" s="107" t="n">
        <v>5</v>
      </c>
      <c r="F156" s="28" t="n">
        <v>9</v>
      </c>
      <c r="G156" s="29" t="inlineStr">
        <is>
          <t>FS</t>
        </is>
      </c>
      <c r="H156" s="108" t="n">
        <v>0</v>
      </c>
      <c r="I156" s="109" t="n"/>
      <c r="J156" s="110" t="n"/>
      <c r="K156" s="109" t="n"/>
      <c r="L156" s="110" t="n"/>
      <c r="M156" s="111">
        <f>IF(OR($Q156="",$R156="",$V156=1),"",($R156-$Q156)*24)</f>
        <v/>
      </c>
      <c r="N156" s="34" t="n"/>
      <c r="O156" s="22">
        <f>IF(OR($B156="",10&gt;$O$10),"",IF($AB156=1,"! CHECK LINK",IF($V156=1,"! CHECK DATES",IF($S156=1,IF($R156="","Completed",IF($R156&lt;$D156,"Completed - Ahead",IF($R156&lt;=$D156+1/1440,"Completed - On Time","Completed - Delayed"))),IF($Q156&lt;&gt;"",IF($Y156&lt;=0.1,"In Progress - On Track","In Progress - BEHIND"),IF($M$5&lt;$C156,"Not Started","NOT STARTED - LATE"))))))</f>
        <v/>
      </c>
      <c r="P156" s="35" t="n"/>
      <c r="Q156">
        <f>IF($I156="","",$I156+IF($J156="",0,$J156))</f>
        <v/>
      </c>
      <c r="R156">
        <f>IF($K156="","",$K156+IF($L156="",0,$L156))</f>
        <v/>
      </c>
      <c r="S156">
        <f>IF($V156=1,0,IF($R156&lt;&gt;"",1,IF($N156="",0,$N156)))</f>
        <v/>
      </c>
      <c r="T156">
        <f>IF(OR($B156="",$E156=0),0,MEDIAN(0,($M$5-$C156)/($E156/24),1))</f>
        <v/>
      </c>
      <c r="U156">
        <f>($S156-$T156)*$E156</f>
        <v/>
      </c>
      <c r="V156">
        <f>IF(OR(AND($Q156&lt;&gt;"",$Q156&lt;$C$8),AND($Q156&lt;&gt;"",$R156&lt;&gt;"",$R156&lt;$Q156),AND($R156&lt;&gt;"",$Q156="")),1,0)</f>
        <v/>
      </c>
      <c r="W156">
        <f>IF($B156="","",IF($S156=1,IF($R156&lt;&gt;"",$R156,$D156),IF($Q156&lt;&gt;"",MAX($M$5,$Q156)+$E156*(1-$S156)/24,MAX($M$5,$C156)+$E156/24)))</f>
        <v/>
      </c>
      <c r="X156">
        <f>IF($B156="","",ROUND(($W156-$D156)*24,1))</f>
        <v/>
      </c>
      <c r="Y156">
        <f>IF($B156="","",IF($Q156&lt;&gt;"",$X156,IF($X156&gt;0,MAX($X156,IF($Y155="",0,IF($Y155&gt;0,$Y155-MAX(0,($C156-$D155)*24),$Y155))),IF($Y155="",0,IF($Y155&gt;0,$Y155-MAX(0,($C156-$D155)*24),$Y155)))))</f>
        <v/>
      </c>
      <c r="AB156">
        <f>IF(AND($B156&lt;&gt;"",$F156&gt;=10),1,0)</f>
        <v/>
      </c>
    </row>
    <row r="157" ht="19.5" customHeight="1">
      <c r="A157" s="24">
        <f>IF(OR($B157="",11&gt;$O$10),"",11)</f>
        <v/>
      </c>
      <c r="B157" s="25" t="inlineStr">
        <is>
          <t>Backfill Subgrade</t>
        </is>
      </c>
      <c r="C157" s="106">
        <f>IF(OR($B157="",11&gt;$O$10),"",IF($F157=0,$C$8,IF($G157="SS",OFFSET($C$146,$F157,0)+$H157/24,IF($G157="FF",OFFSET($D$146,$F157,0)+$H157/24-$E157/24,IF($G157="SF",OFFSET($C$146,$F157,0)+$H157/24-$E157/24,OFFSET($D$146,$F157,0)+$H157/24)))))</f>
        <v/>
      </c>
      <c r="D157" s="106">
        <f>IF(OR($B157="",11&gt;$O$10),"",$C157+$E157/24)</f>
        <v/>
      </c>
      <c r="E157" s="107" t="n">
        <v>2</v>
      </c>
      <c r="F157" s="28" t="n">
        <v>10</v>
      </c>
      <c r="G157" s="29" t="inlineStr">
        <is>
          <t>FS</t>
        </is>
      </c>
      <c r="H157" s="108" t="n">
        <v>0</v>
      </c>
      <c r="I157" s="109" t="n"/>
      <c r="J157" s="110" t="n"/>
      <c r="K157" s="109" t="n"/>
      <c r="L157" s="110" t="n"/>
      <c r="M157" s="111">
        <f>IF(OR($Q157="",$R157="",$V157=1),"",($R157-$Q157)*24)</f>
        <v/>
      </c>
      <c r="N157" s="34" t="n"/>
      <c r="O157" s="22">
        <f>IF(OR($B157="",11&gt;$O$10),"",IF($AB157=1,"! CHECK LINK",IF($V157=1,"! CHECK DATES",IF($S157=1,IF($R157="","Completed",IF($R157&lt;$D157,"Completed - Ahead",IF($R157&lt;=$D157+1/1440,"Completed - On Time","Completed - Delayed"))),IF($Q157&lt;&gt;"",IF($Y157&lt;=0.1,"In Progress - On Track","In Progress - BEHIND"),IF($M$5&lt;$C157,"Not Started","NOT STARTED - LATE"))))))</f>
        <v/>
      </c>
      <c r="P157" s="35" t="n"/>
      <c r="Q157">
        <f>IF($I157="","",$I157+IF($J157="",0,$J157))</f>
        <v/>
      </c>
      <c r="R157">
        <f>IF($K157="","",$K157+IF($L157="",0,$L157))</f>
        <v/>
      </c>
      <c r="S157">
        <f>IF($V157=1,0,IF($R157&lt;&gt;"",1,IF($N157="",0,$N157)))</f>
        <v/>
      </c>
      <c r="T157">
        <f>IF(OR($B157="",$E157=0),0,MEDIAN(0,($M$5-$C157)/($E157/24),1))</f>
        <v/>
      </c>
      <c r="U157">
        <f>($S157-$T157)*$E157</f>
        <v/>
      </c>
      <c r="V157">
        <f>IF(OR(AND($Q157&lt;&gt;"",$Q157&lt;$C$8),AND($Q157&lt;&gt;"",$R157&lt;&gt;"",$R157&lt;$Q157),AND($R157&lt;&gt;"",$Q157="")),1,0)</f>
        <v/>
      </c>
      <c r="W157">
        <f>IF($B157="","",IF($S157=1,IF($R157&lt;&gt;"",$R157,$D157),IF($Q157&lt;&gt;"",MAX($M$5,$Q157)+$E157*(1-$S157)/24,MAX($M$5,$C157)+$E157/24)))</f>
        <v/>
      </c>
      <c r="X157">
        <f>IF($B157="","",ROUND(($W157-$D157)*24,1))</f>
        <v/>
      </c>
      <c r="Y157">
        <f>IF($B157="","",IF($Q157&lt;&gt;"",$X157,IF($X157&gt;0,MAX($X157,IF($Y156="",0,IF($Y156&gt;0,$Y156-MAX(0,($C157-$D156)*24),$Y156))),IF($Y156="",0,IF($Y156&gt;0,$Y156-MAX(0,($C157-$D156)*24),$Y156)))))</f>
        <v/>
      </c>
      <c r="AB157">
        <f>IF(AND($B157&lt;&gt;"",$F157&gt;=11),1,0)</f>
        <v/>
      </c>
    </row>
    <row r="158" ht="19.5" customHeight="1">
      <c r="A158" s="24">
        <f>IF(OR($B158="",12&gt;$O$10),"",12)</f>
        <v/>
      </c>
      <c r="B158" s="25" t="inlineStr">
        <is>
          <t>First layer of ballast (Line 1)</t>
        </is>
      </c>
      <c r="C158" s="106">
        <f>IF(OR($B158="",12&gt;$O$10),"",IF($F158=0,$C$8,IF($G158="SS",OFFSET($C$146,$F158,0)+$H158/24,IF($G158="FF",OFFSET($D$146,$F158,0)+$H158/24-$E158/24,IF($G158="SF",OFFSET($C$146,$F158,0)+$H158/24-$E158/24,OFFSET($D$146,$F158,0)+$H158/24)))))</f>
        <v/>
      </c>
      <c r="D158" s="106">
        <f>IF(OR($B158="",12&gt;$O$10),"",$C158+$E158/24)</f>
        <v/>
      </c>
      <c r="E158" s="107" t="n">
        <v>1</v>
      </c>
      <c r="F158" s="28" t="n">
        <v>11</v>
      </c>
      <c r="G158" s="29" t="inlineStr">
        <is>
          <t>FS</t>
        </is>
      </c>
      <c r="H158" s="108" t="n">
        <v>0</v>
      </c>
      <c r="I158" s="109" t="n"/>
      <c r="J158" s="110" t="n"/>
      <c r="K158" s="109" t="n"/>
      <c r="L158" s="110" t="n"/>
      <c r="M158" s="111">
        <f>IF(OR($Q158="",$R158="",$V158=1),"",($R158-$Q158)*24)</f>
        <v/>
      </c>
      <c r="N158" s="34" t="n"/>
      <c r="O158" s="22">
        <f>IF(OR($B158="",12&gt;$O$10),"",IF($AB158=1,"! CHECK LINK",IF($V158=1,"! CHECK DATES",IF($S158=1,IF($R158="","Completed",IF($R158&lt;$D158,"Completed - Ahead",IF($R158&lt;=$D158+1/1440,"Completed - On Time","Completed - Delayed"))),IF($Q158&lt;&gt;"",IF($Y158&lt;=0.1,"In Progress - On Track","In Progress - BEHIND"),IF($M$5&lt;$C158,"Not Started","NOT STARTED - LATE"))))))</f>
        <v/>
      </c>
      <c r="P158" s="35" t="n"/>
      <c r="Q158">
        <f>IF($I158="","",$I158+IF($J158="",0,$J158))</f>
        <v/>
      </c>
      <c r="R158">
        <f>IF($K158="","",$K158+IF($L158="",0,$L158))</f>
        <v/>
      </c>
      <c r="S158">
        <f>IF($V158=1,0,IF($R158&lt;&gt;"",1,IF($N158="",0,$N158)))</f>
        <v/>
      </c>
      <c r="T158">
        <f>IF(OR($B158="",$E158=0),0,MEDIAN(0,($M$5-$C158)/($E158/24),1))</f>
        <v/>
      </c>
      <c r="U158">
        <f>($S158-$T158)*$E158</f>
        <v/>
      </c>
      <c r="V158">
        <f>IF(OR(AND($Q158&lt;&gt;"",$Q158&lt;$C$8),AND($Q158&lt;&gt;"",$R158&lt;&gt;"",$R158&lt;$Q158),AND($R158&lt;&gt;"",$Q158="")),1,0)</f>
        <v/>
      </c>
      <c r="W158">
        <f>IF($B158="","",IF($S158=1,IF($R158&lt;&gt;"",$R158,$D158),IF($Q158&lt;&gt;"",MAX($M$5,$Q158)+$E158*(1-$S158)/24,MAX($M$5,$C158)+$E158/24)))</f>
        <v/>
      </c>
      <c r="X158">
        <f>IF($B158="","",ROUND(($W158-$D158)*24,1))</f>
        <v/>
      </c>
      <c r="Y158">
        <f>IF($B158="","",IF($Q158&lt;&gt;"",$X158,IF($X158&gt;0,MAX($X158,IF($Y157="",0,IF($Y157&gt;0,$Y157-MAX(0,($C158-$D157)*24),$Y157))),IF($Y157="",0,IF($Y157&gt;0,$Y157-MAX(0,($C158-$D157)*24),$Y157)))))</f>
        <v/>
      </c>
      <c r="AB158">
        <f>IF(AND($B158&lt;&gt;"",$F158&gt;=12),1,0)</f>
        <v/>
      </c>
    </row>
    <row r="159" ht="19.5" customHeight="1">
      <c r="A159" s="24">
        <f>IF(OR($B159="",13&gt;$O$10),"",13)</f>
        <v/>
      </c>
      <c r="B159" s="25" t="inlineStr">
        <is>
          <t>First layer of ballast (Line 3)</t>
        </is>
      </c>
      <c r="C159" s="106">
        <f>IF(OR($B159="",13&gt;$O$10),"",IF($F159=0,$C$8,IF($G159="SS",OFFSET($C$146,$F159,0)+$H159/24,IF($G159="FF",OFFSET($D$146,$F159,0)+$H159/24-$E159/24,IF($G159="SF",OFFSET($C$146,$F159,0)+$H159/24-$E159/24,OFFSET($D$146,$F159,0)+$H159/24)))))</f>
        <v/>
      </c>
      <c r="D159" s="106">
        <f>IF(OR($B159="",13&gt;$O$10),"",$C159+$E159/24)</f>
        <v/>
      </c>
      <c r="E159" s="107" t="n">
        <v>1</v>
      </c>
      <c r="F159" s="28" t="n">
        <v>12</v>
      </c>
      <c r="G159" s="29" t="inlineStr">
        <is>
          <t>FS</t>
        </is>
      </c>
      <c r="H159" s="108" t="n">
        <v>0</v>
      </c>
      <c r="I159" s="109" t="n"/>
      <c r="J159" s="110" t="n"/>
      <c r="K159" s="109" t="n"/>
      <c r="L159" s="110" t="n"/>
      <c r="M159" s="111">
        <f>IF(OR($Q159="",$R159="",$V159=1),"",($R159-$Q159)*24)</f>
        <v/>
      </c>
      <c r="N159" s="34" t="n"/>
      <c r="O159" s="22">
        <f>IF(OR($B159="",13&gt;$O$10),"",IF($AB159=1,"! CHECK LINK",IF($V159=1,"! CHECK DATES",IF($S159=1,IF($R159="","Completed",IF($R159&lt;$D159,"Completed - Ahead",IF($R159&lt;=$D159+1/1440,"Completed - On Time","Completed - Delayed"))),IF($Q159&lt;&gt;"",IF($Y159&lt;=0.1,"In Progress - On Track","In Progress - BEHIND"),IF($M$5&lt;$C159,"Not Started","NOT STARTED - LATE"))))))</f>
        <v/>
      </c>
      <c r="P159" s="35" t="n"/>
      <c r="Q159">
        <f>IF($I159="","",$I159+IF($J159="",0,$J159))</f>
        <v/>
      </c>
      <c r="R159">
        <f>IF($K159="","",$K159+IF($L159="",0,$L159))</f>
        <v/>
      </c>
      <c r="S159">
        <f>IF($V159=1,0,IF($R159&lt;&gt;"",1,IF($N159="",0,$N159)))</f>
        <v/>
      </c>
      <c r="T159">
        <f>IF(OR($B159="",$E159=0),0,MEDIAN(0,($M$5-$C159)/($E159/24),1))</f>
        <v/>
      </c>
      <c r="U159">
        <f>($S159-$T159)*$E159</f>
        <v/>
      </c>
      <c r="V159">
        <f>IF(OR(AND($Q159&lt;&gt;"",$Q159&lt;$C$8),AND($Q159&lt;&gt;"",$R159&lt;&gt;"",$R159&lt;$Q159),AND($R159&lt;&gt;"",$Q159="")),1,0)</f>
        <v/>
      </c>
      <c r="W159">
        <f>IF($B159="","",IF($S159=1,IF($R159&lt;&gt;"",$R159,$D159),IF($Q159&lt;&gt;"",MAX($M$5,$Q159)+$E159*(1-$S159)/24,MAX($M$5,$C159)+$E159/24)))</f>
        <v/>
      </c>
      <c r="X159">
        <f>IF($B159="","",ROUND(($W159-$D159)*24,1))</f>
        <v/>
      </c>
      <c r="Y159">
        <f>IF($B159="","",IF($Q159&lt;&gt;"",$X159,IF($X159&gt;0,MAX($X159,IF($Y158="",0,IF($Y158&gt;0,$Y158-MAX(0,($C159-$D158)*24),$Y158))),IF($Y158="",0,IF($Y158&gt;0,$Y158-MAX(0,($C159-$D158)*24),$Y158)))))</f>
        <v/>
      </c>
      <c r="AB159">
        <f>IF(AND($B159&lt;&gt;"",$F159&gt;=13),1,0)</f>
        <v/>
      </c>
    </row>
    <row r="160" ht="19.5" customHeight="1">
      <c r="A160" s="24">
        <f>IF(OR($B160="",14&gt;$O$10),"",14)</f>
        <v/>
      </c>
      <c r="B160" s="25" t="inlineStr">
        <is>
          <t>Track installation (Line 1)</t>
        </is>
      </c>
      <c r="C160" s="106">
        <f>IF(OR($B160="",14&gt;$O$10),"",IF($F160=0,$C$8,IF($G160="SS",OFFSET($C$146,$F160,0)+$H160/24,IF($G160="FF",OFFSET($D$146,$F160,0)+$H160/24-$E160/24,IF($G160="SF",OFFSET($C$146,$F160,0)+$H160/24-$E160/24,OFFSET($D$146,$F160,0)+$H160/24)))))</f>
        <v/>
      </c>
      <c r="D160" s="106">
        <f>IF(OR($B160="",14&gt;$O$10),"",$C160+$E160/24)</f>
        <v/>
      </c>
      <c r="E160" s="107" t="n">
        <v>1</v>
      </c>
      <c r="F160" s="28" t="n">
        <v>13</v>
      </c>
      <c r="G160" s="29" t="inlineStr">
        <is>
          <t>FS</t>
        </is>
      </c>
      <c r="H160" s="108" t="n">
        <v>0</v>
      </c>
      <c r="I160" s="109" t="n"/>
      <c r="J160" s="110" t="n"/>
      <c r="K160" s="109" t="n"/>
      <c r="L160" s="110" t="n"/>
      <c r="M160" s="111">
        <f>IF(OR($Q160="",$R160="",$V160=1),"",($R160-$Q160)*24)</f>
        <v/>
      </c>
      <c r="N160" s="34" t="n"/>
      <c r="O160" s="22">
        <f>IF(OR($B160="",14&gt;$O$10),"",IF($AB160=1,"! CHECK LINK",IF($V160=1,"! CHECK DATES",IF($S160=1,IF($R160="","Completed",IF($R160&lt;$D160,"Completed - Ahead",IF($R160&lt;=$D160+1/1440,"Completed - On Time","Completed - Delayed"))),IF($Q160&lt;&gt;"",IF($Y160&lt;=0.1,"In Progress - On Track","In Progress - BEHIND"),IF($M$5&lt;$C160,"Not Started","NOT STARTED - LATE"))))))</f>
        <v/>
      </c>
      <c r="P160" s="35" t="n"/>
      <c r="Q160">
        <f>IF($I160="","",$I160+IF($J160="",0,$J160))</f>
        <v/>
      </c>
      <c r="R160">
        <f>IF($K160="","",$K160+IF($L160="",0,$L160))</f>
        <v/>
      </c>
      <c r="S160">
        <f>IF($V160=1,0,IF($R160&lt;&gt;"",1,IF($N160="",0,$N160)))</f>
        <v/>
      </c>
      <c r="T160">
        <f>IF(OR($B160="",$E160=0),0,MEDIAN(0,($M$5-$C160)/($E160/24),1))</f>
        <v/>
      </c>
      <c r="U160">
        <f>($S160-$T160)*$E160</f>
        <v/>
      </c>
      <c r="V160">
        <f>IF(OR(AND($Q160&lt;&gt;"",$Q160&lt;$C$8),AND($Q160&lt;&gt;"",$R160&lt;&gt;"",$R160&lt;$Q160),AND($R160&lt;&gt;"",$Q160="")),1,0)</f>
        <v/>
      </c>
      <c r="W160">
        <f>IF($B160="","",IF($S160=1,IF($R160&lt;&gt;"",$R160,$D160),IF($Q160&lt;&gt;"",MAX($M$5,$Q160)+$E160*(1-$S160)/24,MAX($M$5,$C160)+$E160/24)))</f>
        <v/>
      </c>
      <c r="X160">
        <f>IF($B160="","",ROUND(($W160-$D160)*24,1))</f>
        <v/>
      </c>
      <c r="Y160">
        <f>IF($B160="","",IF($Q160&lt;&gt;"",$X160,IF($X160&gt;0,MAX($X160,IF($Y159="",0,IF($Y159&gt;0,$Y159-MAX(0,($C160-$D159)*24),$Y159))),IF($Y159="",0,IF($Y159&gt;0,$Y159-MAX(0,($C160-$D159)*24),$Y159)))))</f>
        <v/>
      </c>
      <c r="AB160">
        <f>IF(AND($B160&lt;&gt;"",$F160&gt;=14),1,0)</f>
        <v/>
      </c>
    </row>
    <row r="161" ht="19.5" customHeight="1">
      <c r="A161" s="24">
        <f>IF(OR($B161="",15&gt;$O$10),"",15)</f>
        <v/>
      </c>
      <c r="B161" s="25" t="inlineStr">
        <is>
          <t>Track installation (Line 3)</t>
        </is>
      </c>
      <c r="C161" s="106">
        <f>IF(OR($B161="",15&gt;$O$10),"",IF($F161=0,$C$8,IF($G161="SS",OFFSET($C$146,$F161,0)+$H161/24,IF($G161="FF",OFFSET($D$146,$F161,0)+$H161/24-$E161/24,IF($G161="SF",OFFSET($C$146,$F161,0)+$H161/24-$E161/24,OFFSET($D$146,$F161,0)+$H161/24)))))</f>
        <v/>
      </c>
      <c r="D161" s="106">
        <f>IF(OR($B161="",15&gt;$O$10),"",$C161+$E161/24)</f>
        <v/>
      </c>
      <c r="E161" s="107" t="n">
        <v>1</v>
      </c>
      <c r="F161" s="28" t="n">
        <v>14</v>
      </c>
      <c r="G161" s="29" t="inlineStr">
        <is>
          <t>FS</t>
        </is>
      </c>
      <c r="H161" s="108" t="n">
        <v>0</v>
      </c>
      <c r="I161" s="109" t="n"/>
      <c r="J161" s="110" t="n"/>
      <c r="K161" s="109" t="n"/>
      <c r="L161" s="110" t="n"/>
      <c r="M161" s="111">
        <f>IF(OR($Q161="",$R161="",$V161=1),"",($R161-$Q161)*24)</f>
        <v/>
      </c>
      <c r="N161" s="34" t="n"/>
      <c r="O161" s="22">
        <f>IF(OR($B161="",15&gt;$O$10),"",IF($AB161=1,"! CHECK LINK",IF($V161=1,"! CHECK DATES",IF($S161=1,IF($R161="","Completed",IF($R161&lt;$D161,"Completed - Ahead",IF($R161&lt;=$D161+1/1440,"Completed - On Time","Completed - Delayed"))),IF($Q161&lt;&gt;"",IF($Y161&lt;=0.1,"In Progress - On Track","In Progress - BEHIND"),IF($M$5&lt;$C161,"Not Started","NOT STARTED - LATE"))))))</f>
        <v/>
      </c>
      <c r="P161" s="35" t="n"/>
      <c r="Q161">
        <f>IF($I161="","",$I161+IF($J161="",0,$J161))</f>
        <v/>
      </c>
      <c r="R161">
        <f>IF($K161="","",$K161+IF($L161="",0,$L161))</f>
        <v/>
      </c>
      <c r="S161">
        <f>IF($V161=1,0,IF($R161&lt;&gt;"",1,IF($N161="",0,$N161)))</f>
        <v/>
      </c>
      <c r="T161">
        <f>IF(OR($B161="",$E161=0),0,MEDIAN(0,($M$5-$C161)/($E161/24),1))</f>
        <v/>
      </c>
      <c r="U161">
        <f>($S161-$T161)*$E161</f>
        <v/>
      </c>
      <c r="V161">
        <f>IF(OR(AND($Q161&lt;&gt;"",$Q161&lt;$C$8),AND($Q161&lt;&gt;"",$R161&lt;&gt;"",$R161&lt;$Q161),AND($R161&lt;&gt;"",$Q161="")),1,0)</f>
        <v/>
      </c>
      <c r="W161">
        <f>IF($B161="","",IF($S161=1,IF($R161&lt;&gt;"",$R161,$D161),IF($Q161&lt;&gt;"",MAX($M$5,$Q161)+$E161*(1-$S161)/24,MAX($M$5,$C161)+$E161/24)))</f>
        <v/>
      </c>
      <c r="X161">
        <f>IF($B161="","",ROUND(($W161-$D161)*24,1))</f>
        <v/>
      </c>
      <c r="Y161">
        <f>IF($B161="","",IF($Q161&lt;&gt;"",$X161,IF($X161&gt;0,MAX($X161,IF($Y160="",0,IF($Y160&gt;0,$Y160-MAX(0,($C161-$D160)*24),$Y160))),IF($Y160="",0,IF($Y160&gt;0,$Y160-MAX(0,($C161-$D160)*24),$Y160)))))</f>
        <v/>
      </c>
      <c r="AB161">
        <f>IF(AND($B161&lt;&gt;"",$F161&gt;=15),1,0)</f>
        <v/>
      </c>
    </row>
    <row r="162" ht="19.5" customHeight="1">
      <c r="A162" s="24">
        <f>IF(OR($B162="",16&gt;$O$10),"",16)</f>
        <v/>
      </c>
      <c r="B162" s="25" t="inlineStr">
        <is>
          <t>1st &amp; 2nd Ballasting / Tamping (Line 1)</t>
        </is>
      </c>
      <c r="C162" s="106">
        <f>IF(OR($B162="",16&gt;$O$10),"",IF($F162=0,$C$8,IF($G162="SS",OFFSET($C$146,$F162,0)+$H162/24,IF($G162="FF",OFFSET($D$146,$F162,0)+$H162/24-$E162/24,IF($G162="SF",OFFSET($C$146,$F162,0)+$H162/24-$E162/24,OFFSET($D$146,$F162,0)+$H162/24)))))</f>
        <v/>
      </c>
      <c r="D162" s="106">
        <f>IF(OR($B162="",16&gt;$O$10),"",$C162+$E162/24)</f>
        <v/>
      </c>
      <c r="E162" s="107" t="n">
        <v>1</v>
      </c>
      <c r="F162" s="28" t="n">
        <v>15</v>
      </c>
      <c r="G162" s="29" t="inlineStr">
        <is>
          <t>FS</t>
        </is>
      </c>
      <c r="H162" s="108" t="n">
        <v>0</v>
      </c>
      <c r="I162" s="109" t="n"/>
      <c r="J162" s="110" t="n"/>
      <c r="K162" s="109" t="n"/>
      <c r="L162" s="110" t="n"/>
      <c r="M162" s="111">
        <f>IF(OR($Q162="",$R162="",$V162=1),"",($R162-$Q162)*24)</f>
        <v/>
      </c>
      <c r="N162" s="34" t="n"/>
      <c r="O162" s="22">
        <f>IF(OR($B162="",16&gt;$O$10),"",IF($AB162=1,"! CHECK LINK",IF($V162=1,"! CHECK DATES",IF($S162=1,IF($R162="","Completed",IF($R162&lt;$D162,"Completed - Ahead",IF($R162&lt;=$D162+1/1440,"Completed - On Time","Completed - Delayed"))),IF($Q162&lt;&gt;"",IF($Y162&lt;=0.1,"In Progress - On Track","In Progress - BEHIND"),IF($M$5&lt;$C162,"Not Started","NOT STARTED - LATE"))))))</f>
        <v/>
      </c>
      <c r="P162" s="35" t="n"/>
      <c r="Q162">
        <f>IF($I162="","",$I162+IF($J162="",0,$J162))</f>
        <v/>
      </c>
      <c r="R162">
        <f>IF($K162="","",$K162+IF($L162="",0,$L162))</f>
        <v/>
      </c>
      <c r="S162">
        <f>IF($V162=1,0,IF($R162&lt;&gt;"",1,IF($N162="",0,$N162)))</f>
        <v/>
      </c>
      <c r="T162">
        <f>IF(OR($B162="",$E162=0),0,MEDIAN(0,($M$5-$C162)/($E162/24),1))</f>
        <v/>
      </c>
      <c r="U162">
        <f>($S162-$T162)*$E162</f>
        <v/>
      </c>
      <c r="V162">
        <f>IF(OR(AND($Q162&lt;&gt;"",$Q162&lt;$C$8),AND($Q162&lt;&gt;"",$R162&lt;&gt;"",$R162&lt;$Q162),AND($R162&lt;&gt;"",$Q162="")),1,0)</f>
        <v/>
      </c>
      <c r="W162">
        <f>IF($B162="","",IF($S162=1,IF($R162&lt;&gt;"",$R162,$D162),IF($Q162&lt;&gt;"",MAX($M$5,$Q162)+$E162*(1-$S162)/24,MAX($M$5,$C162)+$E162/24)))</f>
        <v/>
      </c>
      <c r="X162">
        <f>IF($B162="","",ROUND(($W162-$D162)*24,1))</f>
        <v/>
      </c>
      <c r="Y162">
        <f>IF($B162="","",IF($Q162&lt;&gt;"",$X162,IF($X162&gt;0,MAX($X162,IF($Y161="",0,IF($Y161&gt;0,$Y161-MAX(0,($C162-$D161)*24),$Y161))),IF($Y161="",0,IF($Y161&gt;0,$Y161-MAX(0,($C162-$D161)*24),$Y161)))))</f>
        <v/>
      </c>
      <c r="AB162">
        <f>IF(AND($B162&lt;&gt;"",$F162&gt;=16),1,0)</f>
        <v/>
      </c>
    </row>
    <row r="163" ht="19.5" customHeight="1">
      <c r="A163" s="24">
        <f>IF(OR($B163="",17&gt;$O$10),"",17)</f>
        <v/>
      </c>
      <c r="B163" s="25" t="inlineStr">
        <is>
          <t>Final Ballasting / Tamping (Line 1)</t>
        </is>
      </c>
      <c r="C163" s="106">
        <f>IF(OR($B163="",17&gt;$O$10),"",IF($F163=0,$C$8,IF($G163="SS",OFFSET($C$146,$F163,0)+$H163/24,IF($G163="FF",OFFSET($D$146,$F163,0)+$H163/24-$E163/24,IF($G163="SF",OFFSET($C$146,$F163,0)+$H163/24-$E163/24,OFFSET($D$146,$F163,0)+$H163/24)))))</f>
        <v/>
      </c>
      <c r="D163" s="106">
        <f>IF(OR($B163="",17&gt;$O$10),"",$C163+$E163/24)</f>
        <v/>
      </c>
      <c r="E163" s="107" t="n">
        <v>1</v>
      </c>
      <c r="F163" s="28" t="n">
        <v>16</v>
      </c>
      <c r="G163" s="29" t="inlineStr">
        <is>
          <t>FS</t>
        </is>
      </c>
      <c r="H163" s="108" t="n">
        <v>0</v>
      </c>
      <c r="I163" s="109" t="n"/>
      <c r="J163" s="110" t="n"/>
      <c r="K163" s="109" t="n"/>
      <c r="L163" s="110" t="n"/>
      <c r="M163" s="111">
        <f>IF(OR($Q163="",$R163="",$V163=1),"",($R163-$Q163)*24)</f>
        <v/>
      </c>
      <c r="N163" s="34" t="n"/>
      <c r="O163" s="22">
        <f>IF(OR($B163="",17&gt;$O$10),"",IF($AB163=1,"! CHECK LINK",IF($V163=1,"! CHECK DATES",IF($S163=1,IF($R163="","Completed",IF($R163&lt;$D163,"Completed - Ahead",IF($R163&lt;=$D163+1/1440,"Completed - On Time","Completed - Delayed"))),IF($Q163&lt;&gt;"",IF($Y163&lt;=0.1,"In Progress - On Track","In Progress - BEHIND"),IF($M$5&lt;$C163,"Not Started","NOT STARTED - LATE"))))))</f>
        <v/>
      </c>
      <c r="P163" s="35" t="n"/>
      <c r="Q163">
        <f>IF($I163="","",$I163+IF($J163="",0,$J163))</f>
        <v/>
      </c>
      <c r="R163">
        <f>IF($K163="","",$K163+IF($L163="",0,$L163))</f>
        <v/>
      </c>
      <c r="S163">
        <f>IF($V163=1,0,IF($R163&lt;&gt;"",1,IF($N163="",0,$N163)))</f>
        <v/>
      </c>
      <c r="T163">
        <f>IF(OR($B163="",$E163=0),0,MEDIAN(0,($M$5-$C163)/($E163/24),1))</f>
        <v/>
      </c>
      <c r="U163">
        <f>($S163-$T163)*$E163</f>
        <v/>
      </c>
      <c r="V163">
        <f>IF(OR(AND($Q163&lt;&gt;"",$Q163&lt;$C$8),AND($Q163&lt;&gt;"",$R163&lt;&gt;"",$R163&lt;$Q163),AND($R163&lt;&gt;"",$Q163="")),1,0)</f>
        <v/>
      </c>
      <c r="W163">
        <f>IF($B163="","",IF($S163=1,IF($R163&lt;&gt;"",$R163,$D163),IF($Q163&lt;&gt;"",MAX($M$5,$Q163)+$E163*(1-$S163)/24,MAX($M$5,$C163)+$E163/24)))</f>
        <v/>
      </c>
      <c r="X163">
        <f>IF($B163="","",ROUND(($W163-$D163)*24,1))</f>
        <v/>
      </c>
      <c r="Y163">
        <f>IF($B163="","",IF($Q163&lt;&gt;"",$X163,IF($X163&gt;0,MAX($X163,IF($Y162="",0,IF($Y162&gt;0,$Y162-MAX(0,($C163-$D162)*24),$Y162))),IF($Y162="",0,IF($Y162&gt;0,$Y162-MAX(0,($C163-$D162)*24),$Y162)))))</f>
        <v/>
      </c>
      <c r="AB163">
        <f>IF(AND($B163&lt;&gt;"",$F163&gt;=17),1,0)</f>
        <v/>
      </c>
    </row>
    <row r="164" ht="19.5" customHeight="1">
      <c r="A164" s="24">
        <f>IF(OR($B164="",18&gt;$O$10),"",18)</f>
        <v/>
      </c>
      <c r="B164" s="25" t="inlineStr">
        <is>
          <t>OTMP moves from line 1 to line 3 (passing by Station 33)</t>
        </is>
      </c>
      <c r="C164" s="106">
        <f>IF(OR($B164="",18&gt;$O$10),"",IF($F164=0,$C$8,IF($G164="SS",OFFSET($C$146,$F164,0)+$H164/24,IF($G164="FF",OFFSET($D$146,$F164,0)+$H164/24-$E164/24,IF($G164="SF",OFFSET($C$146,$F164,0)+$H164/24-$E164/24,OFFSET($D$146,$F164,0)+$H164/24)))))</f>
        <v/>
      </c>
      <c r="D164" s="106">
        <f>IF(OR($B164="",18&gt;$O$10),"",$C164+$E164/24)</f>
        <v/>
      </c>
      <c r="E164" s="107" t="n">
        <v>2</v>
      </c>
      <c r="F164" s="28" t="n">
        <v>17</v>
      </c>
      <c r="G164" s="29" t="inlineStr">
        <is>
          <t>FS</t>
        </is>
      </c>
      <c r="H164" s="108" t="n">
        <v>0</v>
      </c>
      <c r="I164" s="109" t="n"/>
      <c r="J164" s="110" t="n"/>
      <c r="K164" s="109" t="n"/>
      <c r="L164" s="110" t="n"/>
      <c r="M164" s="111">
        <f>IF(OR($Q164="",$R164="",$V164=1),"",($R164-$Q164)*24)</f>
        <v/>
      </c>
      <c r="N164" s="34" t="n"/>
      <c r="O164" s="22">
        <f>IF(OR($B164="",18&gt;$O$10),"",IF($AB164=1,"! CHECK LINK",IF($V164=1,"! CHECK DATES",IF($S164=1,IF($R164="","Completed",IF($R164&lt;$D164,"Completed - Ahead",IF($R164&lt;=$D164+1/1440,"Completed - On Time","Completed - Delayed"))),IF($Q164&lt;&gt;"",IF($Y164&lt;=0.1,"In Progress - On Track","In Progress - BEHIND"),IF($M$5&lt;$C164,"Not Started","NOT STARTED - LATE"))))))</f>
        <v/>
      </c>
      <c r="P164" s="35" t="n"/>
      <c r="Q164">
        <f>IF($I164="","",$I164+IF($J164="",0,$J164))</f>
        <v/>
      </c>
      <c r="R164">
        <f>IF($K164="","",$K164+IF($L164="",0,$L164))</f>
        <v/>
      </c>
      <c r="S164">
        <f>IF($V164=1,0,IF($R164&lt;&gt;"",1,IF($N164="",0,$N164)))</f>
        <v/>
      </c>
      <c r="T164">
        <f>IF(OR($B164="",$E164=0),0,MEDIAN(0,($M$5-$C164)/($E164/24),1))</f>
        <v/>
      </c>
      <c r="U164">
        <f>($S164-$T164)*$E164</f>
        <v/>
      </c>
      <c r="V164">
        <f>IF(OR(AND($Q164&lt;&gt;"",$Q164&lt;$C$8),AND($Q164&lt;&gt;"",$R164&lt;&gt;"",$R164&lt;$Q164),AND($R164&lt;&gt;"",$Q164="")),1,0)</f>
        <v/>
      </c>
      <c r="W164">
        <f>IF($B164="","",IF($S164=1,IF($R164&lt;&gt;"",$R164,$D164),IF($Q164&lt;&gt;"",MAX($M$5,$Q164)+$E164*(1-$S164)/24,MAX($M$5,$C164)+$E164/24)))</f>
        <v/>
      </c>
      <c r="X164">
        <f>IF($B164="","",ROUND(($W164-$D164)*24,1))</f>
        <v/>
      </c>
      <c r="Y164">
        <f>IF($B164="","",IF($Q164&lt;&gt;"",$X164,IF($X164&gt;0,MAX($X164,IF($Y163="",0,IF($Y163&gt;0,$Y163-MAX(0,($C164-$D163)*24),$Y163))),IF($Y163="",0,IF($Y163&gt;0,$Y163-MAX(0,($C164-$D163)*24),$Y163)))))</f>
        <v/>
      </c>
      <c r="AB164">
        <f>IF(AND($B164&lt;&gt;"",$F164&gt;=18),1,0)</f>
        <v/>
      </c>
    </row>
    <row r="165" ht="19.5" customHeight="1">
      <c r="A165" s="24">
        <f>IF(OR($B165="",19&gt;$O$10),"",19)</f>
        <v/>
      </c>
      <c r="B165" s="25" t="inlineStr">
        <is>
          <t>ATW – 2U (out of destressing) (Line 1)</t>
        </is>
      </c>
      <c r="C165" s="106">
        <f>IF(OR($B165="",19&gt;$O$10),"",IF($F165=0,$C$8,IF($G165="SS",OFFSET($C$146,$F165,0)+$H165/24,IF($G165="FF",OFFSET($D$146,$F165,0)+$H165/24-$E165/24,IF($G165="SF",OFFSET($C$146,$F165,0)+$H165/24-$E165/24,OFFSET($D$146,$F165,0)+$H165/24)))))</f>
        <v/>
      </c>
      <c r="D165" s="106">
        <f>IF(OR($B165="",19&gt;$O$10),"",$C165+$E165/24)</f>
        <v/>
      </c>
      <c r="E165" s="107" t="n">
        <v>2</v>
      </c>
      <c r="F165" s="28" t="n">
        <v>18</v>
      </c>
      <c r="G165" s="29" t="inlineStr">
        <is>
          <t>FS</t>
        </is>
      </c>
      <c r="H165" s="108" t="n">
        <v>0</v>
      </c>
      <c r="I165" s="109" t="n"/>
      <c r="J165" s="110" t="n"/>
      <c r="K165" s="109" t="n"/>
      <c r="L165" s="110" t="n"/>
      <c r="M165" s="111">
        <f>IF(OR($Q165="",$R165="",$V165=1),"",($R165-$Q165)*24)</f>
        <v/>
      </c>
      <c r="N165" s="34" t="n"/>
      <c r="O165" s="22">
        <f>IF(OR($B165="",19&gt;$O$10),"",IF($AB165=1,"! CHECK LINK",IF($V165=1,"! CHECK DATES",IF($S165=1,IF($R165="","Completed",IF($R165&lt;$D165,"Completed - Ahead",IF($R165&lt;=$D165+1/1440,"Completed - On Time","Completed - Delayed"))),IF($Q165&lt;&gt;"",IF($Y165&lt;=0.1,"In Progress - On Track","In Progress - BEHIND"),IF($M$5&lt;$C165,"Not Started","NOT STARTED - LATE"))))))</f>
        <v/>
      </c>
      <c r="P165" s="35" t="n"/>
      <c r="Q165">
        <f>IF($I165="","",$I165+IF($J165="",0,$J165))</f>
        <v/>
      </c>
      <c r="R165">
        <f>IF($K165="","",$K165+IF($L165="",0,$L165))</f>
        <v/>
      </c>
      <c r="S165">
        <f>IF($V165=1,0,IF($R165&lt;&gt;"",1,IF($N165="",0,$N165)))</f>
        <v/>
      </c>
      <c r="T165">
        <f>IF(OR($B165="",$E165=0),0,MEDIAN(0,($M$5-$C165)/($E165/24),1))</f>
        <v/>
      </c>
      <c r="U165">
        <f>($S165-$T165)*$E165</f>
        <v/>
      </c>
      <c r="V165">
        <f>IF(OR(AND($Q165&lt;&gt;"",$Q165&lt;$C$8),AND($Q165&lt;&gt;"",$R165&lt;&gt;"",$R165&lt;$Q165),AND($R165&lt;&gt;"",$Q165="")),1,0)</f>
        <v/>
      </c>
      <c r="W165">
        <f>IF($B165="","",IF($S165=1,IF($R165&lt;&gt;"",$R165,$D165),IF($Q165&lt;&gt;"",MAX($M$5,$Q165)+$E165*(1-$S165)/24,MAX($M$5,$C165)+$E165/24)))</f>
        <v/>
      </c>
      <c r="X165">
        <f>IF($B165="","",ROUND(($W165-$D165)*24,1))</f>
        <v/>
      </c>
      <c r="Y165">
        <f>IF($B165="","",IF($Q165&lt;&gt;"",$X165,IF($X165&gt;0,MAX($X165,IF($Y164="",0,IF($Y164&gt;0,$Y164-MAX(0,($C165-$D164)*24),$Y164))),IF($Y164="",0,IF($Y164&gt;0,$Y164-MAX(0,($C165-$D164)*24),$Y164)))))</f>
        <v/>
      </c>
      <c r="AB165">
        <f>IF(AND($B165&lt;&gt;"",$F165&gt;=19),1,0)</f>
        <v/>
      </c>
    </row>
    <row r="166" ht="19.5" customHeight="1">
      <c r="A166" s="24">
        <f>IF(OR($B166="",20&gt;$O$10),"",20)</f>
        <v/>
      </c>
      <c r="B166" s="25" t="inlineStr">
        <is>
          <t>ATW – 2U (out of destressing) (Line 3)</t>
        </is>
      </c>
      <c r="C166" s="106">
        <f>IF(OR($B166="",20&gt;$O$10),"",IF($F166=0,$C$8,IF($G166="SS",OFFSET($C$146,$F166,0)+$H166/24,IF($G166="FF",OFFSET($D$146,$F166,0)+$H166/24-$E166/24,IF($G166="SF",OFFSET($C$146,$F166,0)+$H166/24-$E166/24,OFFSET($D$146,$F166,0)+$H166/24)))))</f>
        <v/>
      </c>
      <c r="D166" s="106">
        <f>IF(OR($B166="",20&gt;$O$10),"",$C166+$E166/24)</f>
        <v/>
      </c>
      <c r="E166" s="107" t="n">
        <v>2</v>
      </c>
      <c r="F166" s="28" t="n">
        <v>19</v>
      </c>
      <c r="G166" s="29" t="inlineStr">
        <is>
          <t>FS</t>
        </is>
      </c>
      <c r="H166" s="108" t="n">
        <v>0</v>
      </c>
      <c r="I166" s="109" t="n"/>
      <c r="J166" s="110" t="n"/>
      <c r="K166" s="109" t="n"/>
      <c r="L166" s="110" t="n"/>
      <c r="M166" s="111">
        <f>IF(OR($Q166="",$R166="",$V166=1),"",($R166-$Q166)*24)</f>
        <v/>
      </c>
      <c r="N166" s="34" t="n"/>
      <c r="O166" s="22">
        <f>IF(OR($B166="",20&gt;$O$10),"",IF($AB166=1,"! CHECK LINK",IF($V166=1,"! CHECK DATES",IF($S166=1,IF($R166="","Completed",IF($R166&lt;$D166,"Completed - Ahead",IF($R166&lt;=$D166+1/1440,"Completed - On Time","Completed - Delayed"))),IF($Q166&lt;&gt;"",IF($Y166&lt;=0.1,"In Progress - On Track","In Progress - BEHIND"),IF($M$5&lt;$C166,"Not Started","NOT STARTED - LATE"))))))</f>
        <v/>
      </c>
      <c r="P166" s="35" t="n"/>
      <c r="Q166">
        <f>IF($I166="","",$I166+IF($J166="",0,$J166))</f>
        <v/>
      </c>
      <c r="R166">
        <f>IF($K166="","",$K166+IF($L166="",0,$L166))</f>
        <v/>
      </c>
      <c r="S166">
        <f>IF($V166=1,0,IF($R166&lt;&gt;"",1,IF($N166="",0,$N166)))</f>
        <v/>
      </c>
      <c r="T166">
        <f>IF(OR($B166="",$E166=0),0,MEDIAN(0,($M$5-$C166)/($E166/24),1))</f>
        <v/>
      </c>
      <c r="U166">
        <f>($S166-$T166)*$E166</f>
        <v/>
      </c>
      <c r="V166">
        <f>IF(OR(AND($Q166&lt;&gt;"",$Q166&lt;$C$8),AND($Q166&lt;&gt;"",$R166&lt;&gt;"",$R166&lt;$Q166),AND($R166&lt;&gt;"",$Q166="")),1,0)</f>
        <v/>
      </c>
      <c r="W166">
        <f>IF($B166="","",IF($S166=1,IF($R166&lt;&gt;"",$R166,$D166),IF($Q166&lt;&gt;"",MAX($M$5,$Q166)+$E166*(1-$S166)/24,MAX($M$5,$C166)+$E166/24)))</f>
        <v/>
      </c>
      <c r="X166">
        <f>IF($B166="","",ROUND(($W166-$D166)*24,1))</f>
        <v/>
      </c>
      <c r="Y166">
        <f>IF($B166="","",IF($Q166&lt;&gt;"",$X166,IF($X166&gt;0,MAX($X166,IF($Y165="",0,IF($Y165&gt;0,$Y165-MAX(0,($C166-$D165)*24),$Y165))),IF($Y165="",0,IF($Y165&gt;0,$Y165-MAX(0,($C166-$D165)*24),$Y165)))))</f>
        <v/>
      </c>
      <c r="AB166">
        <f>IF(AND($B166&lt;&gt;"",$F166&gt;=20),1,0)</f>
        <v/>
      </c>
    </row>
    <row r="167" ht="19.5" customHeight="1">
      <c r="A167" s="24">
        <f>IF(OR($B167="",21&gt;$O$10),"",21)</f>
        <v/>
      </c>
      <c r="B167" s="25" t="inlineStr">
        <is>
          <t>1st &amp; 2nd Ballasting / Tamping (Line 3)</t>
        </is>
      </c>
      <c r="C167" s="106">
        <f>IF(OR($B167="",21&gt;$O$10),"",IF($F167=0,$C$8,IF($G167="SS",OFFSET($C$146,$F167,0)+$H167/24,IF($G167="FF",OFFSET($D$146,$F167,0)+$H167/24-$E167/24,IF($G167="SF",OFFSET($C$146,$F167,0)+$H167/24-$E167/24,OFFSET($D$146,$F167,0)+$H167/24)))))</f>
        <v/>
      </c>
      <c r="D167" s="106">
        <f>IF(OR($B167="",21&gt;$O$10),"",$C167+$E167/24)</f>
        <v/>
      </c>
      <c r="E167" s="107" t="n">
        <v>1</v>
      </c>
      <c r="F167" s="28" t="n">
        <v>20</v>
      </c>
      <c r="G167" s="29" t="inlineStr">
        <is>
          <t>FS</t>
        </is>
      </c>
      <c r="H167" s="108" t="n">
        <v>0</v>
      </c>
      <c r="I167" s="109" t="n"/>
      <c r="J167" s="110" t="n"/>
      <c r="K167" s="109" t="n"/>
      <c r="L167" s="110" t="n"/>
      <c r="M167" s="111">
        <f>IF(OR($Q167="",$R167="",$V167=1),"",($R167-$Q167)*24)</f>
        <v/>
      </c>
      <c r="N167" s="34" t="n"/>
      <c r="O167" s="22">
        <f>IF(OR($B167="",21&gt;$O$10),"",IF($AB167=1,"! CHECK LINK",IF($V167=1,"! CHECK DATES",IF($S167=1,IF($R167="","Completed",IF($R167&lt;$D167,"Completed - Ahead",IF($R167&lt;=$D167+1/1440,"Completed - On Time","Completed - Delayed"))),IF($Q167&lt;&gt;"",IF($Y167&lt;=0.1,"In Progress - On Track","In Progress - BEHIND"),IF($M$5&lt;$C167,"Not Started","NOT STARTED - LATE"))))))</f>
        <v/>
      </c>
      <c r="P167" s="35" t="n"/>
      <c r="Q167">
        <f>IF($I167="","",$I167+IF($J167="",0,$J167))</f>
        <v/>
      </c>
      <c r="R167">
        <f>IF($K167="","",$K167+IF($L167="",0,$L167))</f>
        <v/>
      </c>
      <c r="S167">
        <f>IF($V167=1,0,IF($R167&lt;&gt;"",1,IF($N167="",0,$N167)))</f>
        <v/>
      </c>
      <c r="T167">
        <f>IF(OR($B167="",$E167=0),0,MEDIAN(0,($M$5-$C167)/($E167/24),1))</f>
        <v/>
      </c>
      <c r="U167">
        <f>($S167-$T167)*$E167</f>
        <v/>
      </c>
      <c r="V167">
        <f>IF(OR(AND($Q167&lt;&gt;"",$Q167&lt;$C$8),AND($Q167&lt;&gt;"",$R167&lt;&gt;"",$R167&lt;$Q167),AND($R167&lt;&gt;"",$Q167="")),1,0)</f>
        <v/>
      </c>
      <c r="W167">
        <f>IF($B167="","",IF($S167=1,IF($R167&lt;&gt;"",$R167,$D167),IF($Q167&lt;&gt;"",MAX($M$5,$Q167)+$E167*(1-$S167)/24,MAX($M$5,$C167)+$E167/24)))</f>
        <v/>
      </c>
      <c r="X167">
        <f>IF($B167="","",ROUND(($W167-$D167)*24,1))</f>
        <v/>
      </c>
      <c r="Y167">
        <f>IF($B167="","",IF($Q167&lt;&gt;"",$X167,IF($X167&gt;0,MAX($X167,IF($Y166="",0,IF($Y166&gt;0,$Y166-MAX(0,($C167-$D166)*24),$Y166))),IF($Y166="",0,IF($Y166&gt;0,$Y166-MAX(0,($C167-$D166)*24),$Y166)))))</f>
        <v/>
      </c>
      <c r="AB167">
        <f>IF(AND($B167&lt;&gt;"",$F167&gt;=21),1,0)</f>
        <v/>
      </c>
    </row>
    <row r="168" ht="19.5" customHeight="1">
      <c r="A168" s="24">
        <f>IF(OR($B168="",22&gt;$O$10),"",22)</f>
        <v/>
      </c>
      <c r="B168" s="25" t="inlineStr">
        <is>
          <t>Final Ballasting / Tamping (Line 3)</t>
        </is>
      </c>
      <c r="C168" s="106">
        <f>IF(OR($B168="",22&gt;$O$10),"",IF($F168=0,$C$8,IF($G168="SS",OFFSET($C$146,$F168,0)+$H168/24,IF($G168="FF",OFFSET($D$146,$F168,0)+$H168/24-$E168/24,IF($G168="SF",OFFSET($C$146,$F168,0)+$H168/24-$E168/24,OFFSET($D$146,$F168,0)+$H168/24)))))</f>
        <v/>
      </c>
      <c r="D168" s="106">
        <f>IF(OR($B168="",22&gt;$O$10),"",$C168+$E168/24)</f>
        <v/>
      </c>
      <c r="E168" s="107" t="n">
        <v>1</v>
      </c>
      <c r="F168" s="28" t="n">
        <v>21</v>
      </c>
      <c r="G168" s="29" t="inlineStr">
        <is>
          <t>FS</t>
        </is>
      </c>
      <c r="H168" s="108" t="n">
        <v>0</v>
      </c>
      <c r="I168" s="109" t="n"/>
      <c r="J168" s="110" t="n"/>
      <c r="K168" s="109" t="n"/>
      <c r="L168" s="110" t="n"/>
      <c r="M168" s="111">
        <f>IF(OR($Q168="",$R168="",$V168=1),"",($R168-$Q168)*24)</f>
        <v/>
      </c>
      <c r="N168" s="34" t="n"/>
      <c r="O168" s="22">
        <f>IF(OR($B168="",22&gt;$O$10),"",IF($AB168=1,"! CHECK LINK",IF($V168=1,"! CHECK DATES",IF($S168=1,IF($R168="","Completed",IF($R168&lt;$D168,"Completed - Ahead",IF($R168&lt;=$D168+1/1440,"Completed - On Time","Completed - Delayed"))),IF($Q168&lt;&gt;"",IF($Y168&lt;=0.1,"In Progress - On Track","In Progress - BEHIND"),IF($M$5&lt;$C168,"Not Started","NOT STARTED - LATE"))))))</f>
        <v/>
      </c>
      <c r="P168" s="35" t="n"/>
      <c r="Q168">
        <f>IF($I168="","",$I168+IF($J168="",0,$J168))</f>
        <v/>
      </c>
      <c r="R168">
        <f>IF($K168="","",$K168+IF($L168="",0,$L168))</f>
        <v/>
      </c>
      <c r="S168">
        <f>IF($V168=1,0,IF($R168&lt;&gt;"",1,IF($N168="",0,$N168)))</f>
        <v/>
      </c>
      <c r="T168">
        <f>IF(OR($B168="",$E168=0),0,MEDIAN(0,($M$5-$C168)/($E168/24),1))</f>
        <v/>
      </c>
      <c r="U168">
        <f>($S168-$T168)*$E168</f>
        <v/>
      </c>
      <c r="V168">
        <f>IF(OR(AND($Q168&lt;&gt;"",$Q168&lt;$C$8),AND($Q168&lt;&gt;"",$R168&lt;&gt;"",$R168&lt;$Q168),AND($R168&lt;&gt;"",$Q168="")),1,0)</f>
        <v/>
      </c>
      <c r="W168">
        <f>IF($B168="","",IF($S168=1,IF($R168&lt;&gt;"",$R168,$D168),IF($Q168&lt;&gt;"",MAX($M$5,$Q168)+$E168*(1-$S168)/24,MAX($M$5,$C168)+$E168/24)))</f>
        <v/>
      </c>
      <c r="X168">
        <f>IF($B168="","",ROUND(($W168-$D168)*24,1))</f>
        <v/>
      </c>
      <c r="Y168">
        <f>IF($B168="","",IF($Q168&lt;&gt;"",$X168,IF($X168&gt;0,MAX($X168,IF($Y167="",0,IF($Y167&gt;0,$Y167-MAX(0,($C168-$D167)*24),$Y167))),IF($Y167="",0,IF($Y167&gt;0,$Y167-MAX(0,($C168-$D167)*24),$Y167)))))</f>
        <v/>
      </c>
      <c r="AB168">
        <f>IF(AND($B168&lt;&gt;"",$F168&gt;=22),1,0)</f>
        <v/>
      </c>
    </row>
    <row r="169" ht="19.5" customHeight="1">
      <c r="A169" s="24">
        <f>IF(OR($B169="",23&gt;$O$10),"",23)</f>
        <v/>
      </c>
      <c r="B169" s="25" t="inlineStr">
        <is>
          <t>OTMP Back towards station 35</t>
        </is>
      </c>
      <c r="C169" s="106">
        <f>IF(OR($B169="",23&gt;$O$10),"",IF($F169=0,$C$8,IF($G169="SS",OFFSET($C$146,$F169,0)+$H169/24,IF($G169="FF",OFFSET($D$146,$F169,0)+$H169/24-$E169/24,IF($G169="SF",OFFSET($C$146,$F169,0)+$H169/24-$E169/24,OFFSET($D$146,$F169,0)+$H169/24)))))</f>
        <v/>
      </c>
      <c r="D169" s="106">
        <f>IF(OR($B169="",23&gt;$O$10),"",$C169+$E169/24)</f>
        <v/>
      </c>
      <c r="E169" s="107" t="n">
        <v>2</v>
      </c>
      <c r="F169" s="28" t="n">
        <v>22</v>
      </c>
      <c r="G169" s="29" t="inlineStr">
        <is>
          <t>FS</t>
        </is>
      </c>
      <c r="H169" s="108" t="n">
        <v>0</v>
      </c>
      <c r="I169" s="109" t="n"/>
      <c r="J169" s="110" t="n"/>
      <c r="K169" s="109" t="n"/>
      <c r="L169" s="110" t="n"/>
      <c r="M169" s="111">
        <f>IF(OR($Q169="",$R169="",$V169=1),"",($R169-$Q169)*24)</f>
        <v/>
      </c>
      <c r="N169" s="34" t="n"/>
      <c r="O169" s="22">
        <f>IF(OR($B169="",23&gt;$O$10),"",IF($AB169=1,"! CHECK LINK",IF($V169=1,"! CHECK DATES",IF($S169=1,IF($R169="","Completed",IF($R169&lt;$D169,"Completed - Ahead",IF($R169&lt;=$D169+1/1440,"Completed - On Time","Completed - Delayed"))),IF($Q169&lt;&gt;"",IF($Y169&lt;=0.1,"In Progress - On Track","In Progress - BEHIND"),IF($M$5&lt;$C169,"Not Started","NOT STARTED - LATE"))))))</f>
        <v/>
      </c>
      <c r="P169" s="35" t="n"/>
      <c r="Q169">
        <f>IF($I169="","",$I169+IF($J169="",0,$J169))</f>
        <v/>
      </c>
      <c r="R169">
        <f>IF($K169="","",$K169+IF($L169="",0,$L169))</f>
        <v/>
      </c>
      <c r="S169">
        <f>IF($V169=1,0,IF($R169&lt;&gt;"",1,IF($N169="",0,$N169)))</f>
        <v/>
      </c>
      <c r="T169">
        <f>IF(OR($B169="",$E169=0),0,MEDIAN(0,($M$5-$C169)/($E169/24),1))</f>
        <v/>
      </c>
      <c r="U169">
        <f>($S169-$T169)*$E169</f>
        <v/>
      </c>
      <c r="V169">
        <f>IF(OR(AND($Q169&lt;&gt;"",$Q169&lt;$C$8),AND($Q169&lt;&gt;"",$R169&lt;&gt;"",$R169&lt;$Q169),AND($R169&lt;&gt;"",$Q169="")),1,0)</f>
        <v/>
      </c>
      <c r="W169">
        <f>IF($B169="","",IF($S169=1,IF($R169&lt;&gt;"",$R169,$D169),IF($Q169&lt;&gt;"",MAX($M$5,$Q169)+$E169*(1-$S169)/24,MAX($M$5,$C169)+$E169/24)))</f>
        <v/>
      </c>
      <c r="X169">
        <f>IF($B169="","",ROUND(($W169-$D169)*24,1))</f>
        <v/>
      </c>
      <c r="Y169">
        <f>IF($B169="","",IF($Q169&lt;&gt;"",$X169,IF($X169&gt;0,MAX($X169,IF($Y168="",0,IF($Y168&gt;0,$Y168-MAX(0,($C169-$D168)*24),$Y168))),IF($Y168="",0,IF($Y168&gt;0,$Y168-MAX(0,($C169-$D168)*24),$Y168)))))</f>
        <v/>
      </c>
      <c r="AB169">
        <f>IF(AND($B169&lt;&gt;"",$F169&gt;=23),1,0)</f>
        <v/>
      </c>
    </row>
    <row r="170" ht="19.5" customHeight="1">
      <c r="A170" s="24">
        <f>IF(OR($B170="",24&gt;$O$10),"",24)</f>
        <v/>
      </c>
      <c r="B170" s="25" t="inlineStr">
        <is>
          <t>Destressing (incl. 2 ATW) (Line 1)</t>
        </is>
      </c>
      <c r="C170" s="106">
        <f>IF(OR($B170="",24&gt;$O$10),"",IF($F170=0,$C$8,IF($G170="SS",OFFSET($C$146,$F170,0)+$H170/24,IF($G170="FF",OFFSET($D$146,$F170,0)+$H170/24-$E170/24,IF($G170="SF",OFFSET($C$146,$F170,0)+$H170/24-$E170/24,OFFSET($D$146,$F170,0)+$H170/24)))))</f>
        <v/>
      </c>
      <c r="D170" s="106">
        <f>IF(OR($B170="",24&gt;$O$10),"",$C170+$E170/24)</f>
        <v/>
      </c>
      <c r="E170" s="107" t="n">
        <v>4</v>
      </c>
      <c r="F170" s="28" t="n">
        <v>23</v>
      </c>
      <c r="G170" s="29" t="inlineStr">
        <is>
          <t>FS</t>
        </is>
      </c>
      <c r="H170" s="108" t="n">
        <v>0</v>
      </c>
      <c r="I170" s="109" t="n"/>
      <c r="J170" s="110" t="n"/>
      <c r="K170" s="109" t="n"/>
      <c r="L170" s="110" t="n"/>
      <c r="M170" s="111">
        <f>IF(OR($Q170="",$R170="",$V170=1),"",($R170-$Q170)*24)</f>
        <v/>
      </c>
      <c r="N170" s="34" t="n"/>
      <c r="O170" s="22">
        <f>IF(OR($B170="",24&gt;$O$10),"",IF($AB170=1,"! CHECK LINK",IF($V170=1,"! CHECK DATES",IF($S170=1,IF($R170="","Completed",IF($R170&lt;$D170,"Completed - Ahead",IF($R170&lt;=$D170+1/1440,"Completed - On Time","Completed - Delayed"))),IF($Q170&lt;&gt;"",IF($Y170&lt;=0.1,"In Progress - On Track","In Progress - BEHIND"),IF($M$5&lt;$C170,"Not Started","NOT STARTED - LATE"))))))</f>
        <v/>
      </c>
      <c r="P170" s="35" t="n"/>
      <c r="Q170">
        <f>IF($I170="","",$I170+IF($J170="",0,$J170))</f>
        <v/>
      </c>
      <c r="R170">
        <f>IF($K170="","",$K170+IF($L170="",0,$L170))</f>
        <v/>
      </c>
      <c r="S170">
        <f>IF($V170=1,0,IF($R170&lt;&gt;"",1,IF($N170="",0,$N170)))</f>
        <v/>
      </c>
      <c r="T170">
        <f>IF(OR($B170="",$E170=0),0,MEDIAN(0,($M$5-$C170)/($E170/24),1))</f>
        <v/>
      </c>
      <c r="U170">
        <f>($S170-$T170)*$E170</f>
        <v/>
      </c>
      <c r="V170">
        <f>IF(OR(AND($Q170&lt;&gt;"",$Q170&lt;$C$8),AND($Q170&lt;&gt;"",$R170&lt;&gt;"",$R170&lt;$Q170),AND($R170&lt;&gt;"",$Q170="")),1,0)</f>
        <v/>
      </c>
      <c r="W170">
        <f>IF($B170="","",IF($S170=1,IF($R170&lt;&gt;"",$R170,$D170),IF($Q170&lt;&gt;"",MAX($M$5,$Q170)+$E170*(1-$S170)/24,MAX($M$5,$C170)+$E170/24)))</f>
        <v/>
      </c>
      <c r="X170">
        <f>IF($B170="","",ROUND(($W170-$D170)*24,1))</f>
        <v/>
      </c>
      <c r="Y170">
        <f>IF($B170="","",IF($Q170&lt;&gt;"",$X170,IF($X170&gt;0,MAX($X170,IF($Y169="",0,IF($Y169&gt;0,$Y169-MAX(0,($C170-$D169)*24),$Y169))),IF($Y169="",0,IF($Y169&gt;0,$Y169-MAX(0,($C170-$D169)*24),$Y169)))))</f>
        <v/>
      </c>
      <c r="AB170">
        <f>IF(AND($B170&lt;&gt;"",$F170&gt;=24),1,0)</f>
        <v/>
      </c>
    </row>
    <row r="171" ht="19.5" customHeight="1">
      <c r="A171" s="24">
        <f>IF(OR($B171="",25&gt;$O$10),"",25)</f>
        <v/>
      </c>
      <c r="B171" s="25" t="inlineStr">
        <is>
          <t>Destressing (incl. 2 ATW) (Line 3)</t>
        </is>
      </c>
      <c r="C171" s="106">
        <f>IF(OR($B171="",25&gt;$O$10),"",IF($F171=0,$C$8,IF($G171="SS",OFFSET($C$146,$F171,0)+$H171/24,IF($G171="FF",OFFSET($D$146,$F171,0)+$H171/24-$E171/24,IF($G171="SF",OFFSET($C$146,$F171,0)+$H171/24-$E171/24,OFFSET($D$146,$F171,0)+$H171/24)))))</f>
        <v/>
      </c>
      <c r="D171" s="106">
        <f>IF(OR($B171="",25&gt;$O$10),"",$C171+$E171/24)</f>
        <v/>
      </c>
      <c r="E171" s="107" t="n">
        <v>4</v>
      </c>
      <c r="F171" s="28" t="n">
        <v>24</v>
      </c>
      <c r="G171" s="29" t="inlineStr">
        <is>
          <t>FS</t>
        </is>
      </c>
      <c r="H171" s="108" t="n">
        <v>0</v>
      </c>
      <c r="I171" s="109" t="n"/>
      <c r="J171" s="110" t="n"/>
      <c r="K171" s="109" t="n"/>
      <c r="L171" s="110" t="n"/>
      <c r="M171" s="111">
        <f>IF(OR($Q171="",$R171="",$V171=1),"",($R171-$Q171)*24)</f>
        <v/>
      </c>
      <c r="N171" s="34" t="n"/>
      <c r="O171" s="22">
        <f>IF(OR($B171="",25&gt;$O$10),"",IF($AB171=1,"! CHECK LINK",IF($V171=1,"! CHECK DATES",IF($S171=1,IF($R171="","Completed",IF($R171&lt;$D171,"Completed - Ahead",IF($R171&lt;=$D171+1/1440,"Completed - On Time","Completed - Delayed"))),IF($Q171&lt;&gt;"",IF($Y171&lt;=0.1,"In Progress - On Track","In Progress - BEHIND"),IF($M$5&lt;$C171,"Not Started","NOT STARTED - LATE"))))))</f>
        <v/>
      </c>
      <c r="P171" s="35" t="n"/>
      <c r="Q171">
        <f>IF($I171="","",$I171+IF($J171="",0,$J171))</f>
        <v/>
      </c>
      <c r="R171">
        <f>IF($K171="","",$K171+IF($L171="",0,$L171))</f>
        <v/>
      </c>
      <c r="S171">
        <f>IF($V171=1,0,IF($R171&lt;&gt;"",1,IF($N171="",0,$N171)))</f>
        <v/>
      </c>
      <c r="T171">
        <f>IF(OR($B171="",$E171=0),0,MEDIAN(0,($M$5-$C171)/($E171/24),1))</f>
        <v/>
      </c>
      <c r="U171">
        <f>($S171-$T171)*$E171</f>
        <v/>
      </c>
      <c r="V171">
        <f>IF(OR(AND($Q171&lt;&gt;"",$Q171&lt;$C$8),AND($Q171&lt;&gt;"",$R171&lt;&gt;"",$R171&lt;$Q171),AND($R171&lt;&gt;"",$Q171="")),1,0)</f>
        <v/>
      </c>
      <c r="W171">
        <f>IF($B171="","",IF($S171=1,IF($R171&lt;&gt;"",$R171,$D171),IF($Q171&lt;&gt;"",MAX($M$5,$Q171)+$E171*(1-$S171)/24,MAX($M$5,$C171)+$E171/24)))</f>
        <v/>
      </c>
      <c r="X171">
        <f>IF($B171="","",ROUND(($W171-$D171)*24,1))</f>
        <v/>
      </c>
      <c r="Y171">
        <f>IF($B171="","",IF($Q171&lt;&gt;"",$X171,IF($X171&gt;0,MAX($X171,IF($Y170="",0,IF($Y170&gt;0,$Y170-MAX(0,($C171-$D170)*24),$Y170))),IF($Y170="",0,IF($Y170&gt;0,$Y170-MAX(0,($C171-$D170)*24),$Y170)))))</f>
        <v/>
      </c>
      <c r="AB171">
        <f>IF(AND($B171&lt;&gt;"",$F171&gt;=25),1,0)</f>
        <v/>
      </c>
    </row>
    <row r="172" ht="19.5" customHeight="1">
      <c r="A172" s="24">
        <f>IF(OR($B172="",26&gt;$O$10),"",26)</f>
        <v/>
      </c>
      <c r="B172" s="25" t="inlineStr">
        <is>
          <t>Finishing (grinding, stamp, UT, inspection)</t>
        </is>
      </c>
      <c r="C172" s="106">
        <f>IF(OR($B172="",26&gt;$O$10),"",IF($F172=0,$C$8,IF($G172="SS",OFFSET($C$146,$F172,0)+$H172/24,IF($G172="FF",OFFSET($D$146,$F172,0)+$H172/24-$E172/24,IF($G172="SF",OFFSET($C$146,$F172,0)+$H172/24-$E172/24,OFFSET($D$146,$F172,0)+$H172/24)))))</f>
        <v/>
      </c>
      <c r="D172" s="106">
        <f>IF(OR($B172="",26&gt;$O$10),"",$C172+$E172/24)</f>
        <v/>
      </c>
      <c r="E172" s="107" t="n">
        <v>4</v>
      </c>
      <c r="F172" s="28" t="n">
        <v>25</v>
      </c>
      <c r="G172" s="29" t="inlineStr">
        <is>
          <t>FS</t>
        </is>
      </c>
      <c r="H172" s="108" t="n">
        <v>0</v>
      </c>
      <c r="I172" s="109" t="n"/>
      <c r="J172" s="110" t="n"/>
      <c r="K172" s="109" t="n"/>
      <c r="L172" s="110" t="n"/>
      <c r="M172" s="111">
        <f>IF(OR($Q172="",$R172="",$V172=1),"",($R172-$Q172)*24)</f>
        <v/>
      </c>
      <c r="N172" s="34" t="n"/>
      <c r="O172" s="22">
        <f>IF(OR($B172="",26&gt;$O$10),"",IF($AB172=1,"! CHECK LINK",IF($V172=1,"! CHECK DATES",IF($S172=1,IF($R172="","Completed",IF($R172&lt;$D172,"Completed - Ahead",IF($R172&lt;=$D172+1/1440,"Completed - On Time","Completed - Delayed"))),IF($Q172&lt;&gt;"",IF($Y172&lt;=0.1,"In Progress - On Track","In Progress - BEHIND"),IF($M$5&lt;$C172,"Not Started","NOT STARTED - LATE"))))))</f>
        <v/>
      </c>
      <c r="P172" s="35" t="n"/>
      <c r="Q172">
        <f>IF($I172="","",$I172+IF($J172="",0,$J172))</f>
        <v/>
      </c>
      <c r="R172">
        <f>IF($K172="","",$K172+IF($L172="",0,$L172))</f>
        <v/>
      </c>
      <c r="S172">
        <f>IF($V172=1,0,IF($R172&lt;&gt;"",1,IF($N172="",0,$N172)))</f>
        <v/>
      </c>
      <c r="T172">
        <f>IF(OR($B172="",$E172=0),0,MEDIAN(0,($M$5-$C172)/($E172/24),1))</f>
        <v/>
      </c>
      <c r="U172">
        <f>($S172-$T172)*$E172</f>
        <v/>
      </c>
      <c r="V172">
        <f>IF(OR(AND($Q172&lt;&gt;"",$Q172&lt;$C$8),AND($Q172&lt;&gt;"",$R172&lt;&gt;"",$R172&lt;$Q172),AND($R172&lt;&gt;"",$Q172="")),1,0)</f>
        <v/>
      </c>
      <c r="W172">
        <f>IF($B172="","",IF($S172=1,IF($R172&lt;&gt;"",$R172,$D172),IF($Q172&lt;&gt;"",MAX($M$5,$Q172)+$E172*(1-$S172)/24,MAX($M$5,$C172)+$E172/24)))</f>
        <v/>
      </c>
      <c r="X172">
        <f>IF($B172="","",ROUND(($W172-$D172)*24,1))</f>
        <v/>
      </c>
      <c r="Y172">
        <f>IF($B172="","",IF($Q172&lt;&gt;"",$X172,IF($X172&gt;0,MAX($X172,IF($Y171="",0,IF($Y171&gt;0,$Y171-MAX(0,($C172-$D171)*24),$Y171))),IF($Y171="",0,IF($Y171&gt;0,$Y171-MAX(0,($C172-$D171)*24),$Y171)))))</f>
        <v/>
      </c>
      <c r="AB172">
        <f>IF(AND($B172&lt;&gt;"",$F172&gt;=26),1,0)</f>
        <v/>
      </c>
    </row>
    <row r="173" ht="19.5" customHeight="1">
      <c r="A173" s="36" t="inlineStr">
        <is>
          <t>TOT</t>
        </is>
      </c>
      <c r="B173" s="37">
        <f>IF($B$19="","",$B$19&amp;"   -   sum of activity hours")</f>
        <v/>
      </c>
      <c r="C173" s="38" t="n"/>
      <c r="D173" s="112">
        <f>IF(COUNT($D147:$D172)=0,"",MAX($D147:$D172))</f>
        <v/>
      </c>
      <c r="E173" s="113">
        <f>SUM($E147:$E172)</f>
        <v/>
      </c>
      <c r="F173" s="38" t="n"/>
      <c r="G173" s="38" t="n"/>
      <c r="H173" s="38" t="n"/>
      <c r="I173" s="38" t="n"/>
      <c r="J173" s="38" t="n"/>
      <c r="K173" s="38" t="n"/>
      <c r="L173" s="38" t="n"/>
      <c r="M173" s="113">
        <f>SUM($M147:$M172)</f>
        <v/>
      </c>
      <c r="N173" s="41">
        <f>$S173</f>
        <v/>
      </c>
      <c r="O173" s="36">
        <f>IF($B$19="","",IF($X173&lt;=0,"ON TRACK","BEHIND"))</f>
        <v/>
      </c>
      <c r="P173" s="38" t="n"/>
      <c r="S173">
        <f>IF($E173=0,0,SUMPRODUCT($E147:$E172,$S147:$S172)/$E173)</f>
        <v/>
      </c>
      <c r="T173">
        <f>IF($E173=0,0,SUMPRODUCT($E147:$E172,$T147:$T172)/$E173)</f>
        <v/>
      </c>
      <c r="U173">
        <f>$S173-$T173</f>
        <v/>
      </c>
      <c r="W173">
        <f>IF($D173="","",$D173+$X173/24)</f>
        <v/>
      </c>
      <c r="X173">
        <f>IF(COUNT($Y147:$Y172)=0,0,LOOKUP(9.9E+307,$Y147:$Y172))</f>
        <v/>
      </c>
    </row>
  </sheetData>
  <sheetProtection selectLockedCells="0" selectUnlockedCells="0" sheet="1" objects="0" insertRows="1" insertHyperlinks="1" autoFilter="1" scenarios="0" formatColumns="1" deleteColumns="1" insertColumns="1" pivotTables="1" deleteRows="1" formatCells="0" formatRows="1" sort="1" password="CD7A"/>
  <mergeCells count="56">
    <mergeCell ref="A85:P85"/>
    <mergeCell ref="I15:P15"/>
    <mergeCell ref="O10:P10"/>
    <mergeCell ref="K5:L5"/>
    <mergeCell ref="N8:P8"/>
    <mergeCell ref="B15:H15"/>
    <mergeCell ref="G8:H8"/>
    <mergeCell ref="E8:F8"/>
    <mergeCell ref="A115:P115"/>
    <mergeCell ref="C10:D10"/>
    <mergeCell ref="A13:P13"/>
    <mergeCell ref="E10:F10"/>
    <mergeCell ref="I16:P16"/>
    <mergeCell ref="N9:P9"/>
    <mergeCell ref="B16:H16"/>
    <mergeCell ref="C9:D9"/>
    <mergeCell ref="C5:F5"/>
    <mergeCell ref="L8:M8"/>
    <mergeCell ref="E9:F9"/>
    <mergeCell ref="K9"/>
    <mergeCell ref="M5:P5"/>
    <mergeCell ref="A11:P11"/>
    <mergeCell ref="I18:P18"/>
    <mergeCell ref="B18:H18"/>
    <mergeCell ref="A1:P1"/>
    <mergeCell ref="K4:P4"/>
    <mergeCell ref="A5:B5"/>
    <mergeCell ref="G5:H5"/>
    <mergeCell ref="I5:J5"/>
    <mergeCell ref="I8:J8"/>
    <mergeCell ref="I14:P14"/>
    <mergeCell ref="A8:B8"/>
    <mergeCell ref="A7:P7"/>
    <mergeCell ref="M10"/>
    <mergeCell ref="C8:D8"/>
    <mergeCell ref="L9:M9"/>
    <mergeCell ref="G10:J10"/>
    <mergeCell ref="A4:B4"/>
    <mergeCell ref="I17:P17"/>
    <mergeCell ref="B14:H14"/>
    <mergeCell ref="A25:P25"/>
    <mergeCell ref="I4:J4"/>
    <mergeCell ref="B17:H17"/>
    <mergeCell ref="A10:B10"/>
    <mergeCell ref="K10:L10"/>
    <mergeCell ref="I19:P19"/>
    <mergeCell ref="A55:P55"/>
    <mergeCell ref="A145:P145"/>
    <mergeCell ref="C4:H4"/>
    <mergeCell ref="K8"/>
    <mergeCell ref="A9:B9"/>
    <mergeCell ref="G9:H9"/>
    <mergeCell ref="B19:H19"/>
    <mergeCell ref="I9:J9"/>
    <mergeCell ref="N10"/>
    <mergeCell ref="A2:P2"/>
  </mergeCells>
  <conditionalFormatting sqref="O27:O52">
    <cfRule type="expression" priority="1" dxfId="0" stopIfTrue="1">
      <formula>COUNTIF($O27,"!*")&gt;0</formula>
    </cfRule>
    <cfRule type="expression" priority="2" dxfId="0" stopIfTrue="1">
      <formula>COUNTIF($O27,"Completed*Delayed")&gt;0</formula>
    </cfRule>
    <cfRule type="expression" priority="3" dxfId="1" stopIfTrue="1">
      <formula>COUNTIF($O27,"Completed*")&gt;0</formula>
    </cfRule>
    <cfRule type="expression" priority="4" dxfId="2" stopIfTrue="1">
      <formula>COUNTIF($O27,"*BEHIND*")&gt;0</formula>
    </cfRule>
    <cfRule type="expression" priority="5" dxfId="3" stopIfTrue="1">
      <formula>COUNTIF($O27,"In Progress*")&gt;0</formula>
    </cfRule>
    <cfRule type="expression" priority="6" dxfId="0" stopIfTrue="1">
      <formula>COUNTIF($O27,"NOT STARTED - LATE")&gt;0</formula>
    </cfRule>
  </conditionalFormatting>
  <conditionalFormatting sqref="O57:O82">
    <cfRule type="expression" priority="7" dxfId="0" stopIfTrue="1">
      <formula>COUNTIF($O57,"!*")&gt;0</formula>
    </cfRule>
    <cfRule type="expression" priority="8" dxfId="0" stopIfTrue="1">
      <formula>COUNTIF($O57,"Completed*Delayed")&gt;0</formula>
    </cfRule>
    <cfRule type="expression" priority="9" dxfId="1" stopIfTrue="1">
      <formula>COUNTIF($O57,"Completed*")&gt;0</formula>
    </cfRule>
    <cfRule type="expression" priority="10" dxfId="2" stopIfTrue="1">
      <formula>COUNTIF($O57,"*BEHIND*")&gt;0</formula>
    </cfRule>
    <cfRule type="expression" priority="11" dxfId="3" stopIfTrue="1">
      <formula>COUNTIF($O57,"In Progress*")&gt;0</formula>
    </cfRule>
    <cfRule type="expression" priority="12" dxfId="0" stopIfTrue="1">
      <formula>COUNTIF($O57,"NOT STARTED - LATE")&gt;0</formula>
    </cfRule>
  </conditionalFormatting>
  <conditionalFormatting sqref="O87:O112">
    <cfRule type="expression" priority="13" dxfId="0" stopIfTrue="1">
      <formula>COUNTIF($O87,"!*")&gt;0</formula>
    </cfRule>
    <cfRule type="expression" priority="14" dxfId="0" stopIfTrue="1">
      <formula>COUNTIF($O87,"Completed*Delayed")&gt;0</formula>
    </cfRule>
    <cfRule type="expression" priority="15" dxfId="1" stopIfTrue="1">
      <formula>COUNTIF($O87,"Completed*")&gt;0</formula>
    </cfRule>
    <cfRule type="expression" priority="16" dxfId="2" stopIfTrue="1">
      <formula>COUNTIF($O87,"*BEHIND*")&gt;0</formula>
    </cfRule>
    <cfRule type="expression" priority="17" dxfId="3" stopIfTrue="1">
      <formula>COUNTIF($O87,"In Progress*")&gt;0</formula>
    </cfRule>
    <cfRule type="expression" priority="18" dxfId="0" stopIfTrue="1">
      <formula>COUNTIF($O87,"NOT STARTED - LATE")&gt;0</formula>
    </cfRule>
  </conditionalFormatting>
  <conditionalFormatting sqref="O117:O142">
    <cfRule type="expression" priority="19" dxfId="0" stopIfTrue="1">
      <formula>COUNTIF($O117,"!*")&gt;0</formula>
    </cfRule>
    <cfRule type="expression" priority="20" dxfId="0" stopIfTrue="1">
      <formula>COUNTIF($O117,"Completed*Delayed")&gt;0</formula>
    </cfRule>
    <cfRule type="expression" priority="21" dxfId="1" stopIfTrue="1">
      <formula>COUNTIF($O117,"Completed*")&gt;0</formula>
    </cfRule>
    <cfRule type="expression" priority="22" dxfId="2" stopIfTrue="1">
      <formula>COUNTIF($O117,"*BEHIND*")&gt;0</formula>
    </cfRule>
    <cfRule type="expression" priority="23" dxfId="3" stopIfTrue="1">
      <formula>COUNTIF($O117,"In Progress*")&gt;0</formula>
    </cfRule>
    <cfRule type="expression" priority="24" dxfId="0" stopIfTrue="1">
      <formula>COUNTIF($O117,"NOT STARTED - LATE")&gt;0</formula>
    </cfRule>
  </conditionalFormatting>
  <conditionalFormatting sqref="O147:O172">
    <cfRule type="expression" priority="25" dxfId="0" stopIfTrue="1">
      <formula>COUNTIF($O147,"!*")&gt;0</formula>
    </cfRule>
    <cfRule type="expression" priority="26" dxfId="0" stopIfTrue="1">
      <formula>COUNTIF($O147,"Completed*Delayed")&gt;0</formula>
    </cfRule>
    <cfRule type="expression" priority="27" dxfId="1" stopIfTrue="1">
      <formula>COUNTIF($O147,"Completed*")&gt;0</formula>
    </cfRule>
    <cfRule type="expression" priority="28" dxfId="2" stopIfTrue="1">
      <formula>COUNTIF($O147,"*BEHIND*")&gt;0</formula>
    </cfRule>
    <cfRule type="expression" priority="29" dxfId="3" stopIfTrue="1">
      <formula>COUNTIF($O147,"In Progress*")&gt;0</formula>
    </cfRule>
    <cfRule type="expression" priority="30" dxfId="0" stopIfTrue="1">
      <formula>COUNTIF($O147,"NOT STARTED - LATE")&gt;0</formula>
    </cfRule>
  </conditionalFormatting>
  <dataValidations count="10">
    <dataValidation sqref="G27 G28 G29 G30 G31 G32 G33 G34 G35 G36 G37 G38 G39 G40 G41 G42 G43 G44 G45 G46 G47 G48 G49 G50 G51 G52 G57 G58 G59 G60 G61 G62 G63 G64 G65 G66 G67 G68 G69 G70 G71 G72 G73 G74 G75 G76 G77 G78 G79 G80 G81 G82 G87 G88 G89 G90 G91 G92 G93 G94 G95 G96 G97 G98 G99 G100 G101 G102 G103 G104 G105 G106 G107 G108 G109 G110 G111 G112 G117 G118 G119 G120 G121 G122 G123 G124 G125 G126 G127 G128 G129 G130 G131 G132 G133 G134 G135 G136 G137 G138 G139 G140 G141 G142 G147 G148 G149 G150 G151 G152 G153 G154 G155 G156 G157 G158 G159 G160 G161 G162 G163 G164 G165 G166 G167 G168 G169 G170 G171 G172" showDropDown="0" showInputMessage="0" showErrorMessage="1" allowBlank="0" errorTitle="Relationship" error="Choose FS, SS, FF or SF." promptTitle="Relationship" prompt="FS finish-to-start, SS start-to-start, FF finish-to-finish, SF start-to-finish." type="list">
      <formula1>$Z$2:$Z$5</formula1>
    </dataValidation>
    <dataValidation sqref="F8 F9" showDropDown="0" showInputMessage="0" showErrorMessage="1" allowBlank="0" promptTitle="Unit" prompt="hours or days" type="list">
      <formula1>$Z$8:$Z$9</formula1>
    </dataValidation>
    <dataValidation sqref="I27 I28 I29 I30 I31 I32 I33 I34 I35 I36 I37 I38 I39 I40 I41 I42 I43 I44 I45 I46 I47 I48 I49 I50 I51 I52 I57 I58 I59 I60 I61 I62 I63 I64 I65 I66 I67 I68 I69 I70 I71 I72 I73 I74 I75 I76 I77 I78 I79 I80 I81 I82 I87 I88 I89 I90 I91 I92 I93 I94 I95 I96 I97 I98 I99 I100 I101 I102 I103 I104 I105 I106 I107 I108 I109 I110 I111 I112 I117 I118 I119 I120 I121 I122 I123 I124 I125 I126 I127 I128 I129 I130 I131 I132 I133 I134 I135 I136 I137 I138 I139 I140 I141 I142 I147 I148 I149 I150 I151 I152 I153 I154 I155 I156 I157 I158 I159 I160 I161 I162 I163 I164 I165 I166 I167 I168 I169 I170 I171 I172 K27 K28 K29 K30 K31 K32 K33 K34 K35 K36 K37 K38 K39 K40 K41 K42 K43 K44 K45 K46 K47 K48 K49 K50 K51 K52 K57 K58 K59 K60 K61 K62 K63 K64 K65 K66 K67 K68 K69 K70 K71 K72 K73 K74 K75 K76 K77 K78 K79 K80 K81 K82 K87 K88 K89 K90 K91 K92 K93 K94 K95 K96 K97 K98 K99 K100 K101 K102 K103 K104 K105 K106 K107 K108 K109 K110 K111 K112 K117 K118 K119 K120 K121 K122 K123 K124 K125 K126 K127 K128 K129 K130 K131 K132 K133 K134 K135 K136 K137 K138 K139 K140 K141 K142 K147 K148 K149 K150 K151 K152 K153 K154 K155 K156 K157 K158 K159 K160 K161 K162 K163 K164 K165 K166 K167 K168 K169 K170 K171 K172" showDropDown="0" showInputMessage="0" showErrorMessage="1" allowBlank="1" errorTitle="Pick from the list" error="Use the drop-down arrow and pick one of the possession dates." promptTitle="Actual date" prompt="Click the arrow and pick the date from the list.&#10;Do not type it." type="list">
      <formula1>$Z$12:$Z$16</formula1>
    </dataValidation>
    <dataValidation sqref="J27 J28 J29 J30 J31 J32 J33 J34 J35 J36 J37 J38 J39 J40 J41 J42 J43 J44 J45 J46 J47 J48 J49 J50 J51 J52 J57 J58 J59 J60 J61 J62 J63 J64 J65 J66 J67 J68 J69 J70 J71 J72 J73 J74 J75 J76 J77 J78 J79 J80 J81 J82 J87 J88 J89 J90 J91 J92 J93 J94 J95 J96 J97 J98 J99 J100 J101 J102 J103 J104 J105 J106 J107 J108 J109 J110 J111 J112 J117 J118 J119 J120 J121 J122 J123 J124 J125 J126 J127 J128 J129 J130 J131 J132 J133 J134 J135 J136 J137 J138 J139 J140 J141 J142 J147 J148 J149 J150 J151 J152 J153 J154 J155 J156 J157 J158 J159 J160 J161 J162 J163 J164 J165 J166 J167 J168 J169 J170 J171 J172 L27 L28 L29 L30 L31 L32 L33 L34 L35 L36 L37 L38 L39 L40 L41 L42 L43 L44 L45 L46 L47 L48 L49 L50 L51 L52 L57 L58 L59 L60 L61 L62 L63 L64 L65 L66 L67 L68 L69 L70 L71 L72 L73 L74 L75 L76 L77 L78 L79 L80 L81 L82 L87 L88 L89 L90 L91 L92 L93 L94 L95 L96 L97 L98 L99 L100 L101 L102 L103 L104 L105 L106 L107 L108 L109 L110 L111 L112 L117 L118 L119 L120 L121 L122 L123 L124 L125 L126 L127 L128 L129 L130 L131 L132 L133 L134 L135 L136 L137 L138 L139 L140 L141 L142 L147 L148 L149 L150 L151 L152 L153 L154 L155 L156 L157 L158 L159 L160 L161 L162 L163 L164 L165 L166 L167 L168 L169 L170 L171 L172" showDropDown="0" showInputMessage="0" showErrorMessage="1" allowBlank="1" errorTitle="Time format" error="Type the time as hh:mm in 24-hour format, for example 14:30." promptTitle="Actual time  (24-hour)" prompt="Type the hour and minute with a colon:&#10;    2 PM       -&gt;  14:00&#10;    8 AM       -&gt;  08:00&#10;    midnight   -&gt;  00:00&#10;Do not type 8 or 1430." type="time" operator="between">
      <formula1>0</formula1>
      <formula2>0.99999</formula2>
    </dataValidation>
    <dataValidation sqref="N27 N28 N29 N30 N31 N32 N33 N34 N35 N36 N37 N38 N39 N40 N41 N42 N43 N44 N45 N46 N47 N48 N49 N50 N51 N52 N57 N58 N59 N60 N61 N62 N63 N64 N65 N66 N67 N68 N69 N70 N71 N72 N73 N74 N75 N76 N77 N78 N79 N80 N81 N82 N87 N88 N89 N90 N91 N92 N93 N94 N95 N96 N97 N98 N99 N100 N101 N102 N103 N104 N105 N106 N107 N108 N109 N110 N111 N112 N117 N118 N119 N120 N121 N122 N123 N124 N125 N126 N127 N128 N129 N130 N131 N132 N133 N134 N135 N136 N137 N138 N139 N140 N141 N142 N147 N148 N149 N150 N151 N152 N153 N154 N155 N156 N157 N158 N159 N160 N161 N162 N163 N164 N165 N166 N167 N168 N169 N170 N171 N172" showDropDown="0" showInputMessage="0" showErrorMessage="1" allowBlank="1" errorTitle="% Complete" error="Type a percentage between 0% and 100%." promptTitle="% Complete" prompt="Type the percentage, e.g. 60%&#10;Leave blank if the activity has not started.&#10;If you enter an Actual Finish, this becomes 100% automatically." type="decimal" operator="between">
      <formula1>0</formula1>
      <formula2>1</formula2>
    </dataValidation>
    <dataValidation sqref="E27 E28 E29 E30 E31 E32 E33 E34 E35 E36 E37 E38 E39 E40 E41 E42 E43 E44 E45 E46 E47 E48 E49 E50 E51 E52 E57 E58 E59 E60 E61 E62 E63 E64 E65 E66 E67 E68 E69 E70 E71 E72 E73 E74 E75 E76 E77 E78 E79 E80 E81 E82 E87 E88 E89 E90 E91 E92 E93 E94 E95 E96 E97 E98 E99 E100 E101 E102 E103 E104 E105 E106 E107 E108 E109 E110 E111 E112 E117 E118 E119 E120 E121 E122 E123 E124 E125 E126 E127 E128 E129 E130 E131 E132 E133 E134 E135 E136 E137 E138 E139 E140 E141 E142 E147 E148 E149 E150 E151 E152 E153 E154 E155 E156 E157 E158 E159 E160 E161 E162 E163 E164 E165 E166 E167 E168 E169 E170 E171 E172" showDropDown="0" showInputMessage="0" showErrorMessage="1" allowBlank="1" errorTitle="Duration" error="Type the planned hours, between 0 and 168." promptTitle="Planned duration  (hours)" prompt="How many hours this activity is planned to take.&#10;Decimals are fine:  1.5  means one hour thirty." type="decimal" operator="between">
      <formula1>0</formula1>
      <formula2>168</formula2>
    </dataValidation>
    <dataValidation sqref="F27 F28 F29 F30 F31 F32 F33 F34 F35 F36 F37 F38 F39 F40 F41 F42 F43 F44 F45 F46 F47 F48 F49 F50 F51 F52 F57 F58 F59 F60 F61 F62 F63 F64 F65 F66 F67 F68 F69 F70 F71 F72 F73 F74 F75 F76 F77 F78 F79 F80 F81 F82 F87 F88 F89 F90 F91 F92 F93 F94 F95 F96 F97 F98 F99 F100 F101 F102 F103 F104 F105 F106 F107 F108 F109 F110 F111 F112 F117 F118 F119 F120 F121 F122 F123 F124 F125 F126 F127 F128 F129 F130 F131 F132 F133 F134 F135 F136 F137 F138 F139 F140 F141 F142 F147 F148 F149 F150 F151 F152 F153 F154 F155 F156 F157 F158 F159 F160 F161 F162 F163 F164 F165 F166 F167 F168 F169 F170 F171 F172" showDropDown="0" showInputMessage="0" showErrorMessage="1" allowBlank="1" errorTitle="Predecessor" error="Type the number of an activity ABOVE this one, or 0." promptTitle="Predecessor activity" prompt="The activity number this one follows, in this location.&#10;    0   starts at the possession start&#10;    3   driven by activity 3 above&#10;It must point upwards, or the status reads ! CHECK LINK." type="whole" operator="between">
      <formula1>0</formula1>
      <formula2>99</formula2>
    </dataValidation>
    <dataValidation sqref="H27 H28 H29 H30 H31 H32 H33 H34 H35 H36 H37 H38 H39 H40 H41 H42 H43 H44 H45 H46 H47 H48 H49 H50 H51 H52 H57 H58 H59 H60 H61 H62 H63 H64 H65 H66 H67 H68 H69 H70 H71 H72 H73 H74 H75 H76 H77 H78 H79 H80 H81 H82 H87 H88 H89 H90 H91 H92 H93 H94 H95 H96 H97 H98 H99 H100 H101 H102 H103 H104 H105 H106 H107 H108 H109 H110 H111 H112 H117 H118 H119 H120 H121 H122 H123 H124 H125 H126 H127 H128 H129 H130 H131 H132 H133 H134 H135 H136 H137 H138 H139 H140 H141 H142 H147 H148 H149 H150 H151 H152 H153 H154 H155 H156 H157 H158 H159 H160 H161 H162 H163 H164 H165 H166 H167 H168 H169 H170 H171 H172" showDropDown="0" showInputMessage="0" showErrorMessage="1" allowBlank="1" errorTitle="Lag" error="Type the lag in hours, e.g. 2 or -1." promptTitle="Lag  (hours)" prompt="Waiting time on the link, in hours.&#10;     0   no wait&#10;     2   start two hours after&#10;    -1   start one hour early (overlap)" type="decimal" operator="between">
      <formula1>-168</formula1>
      <formula2>168</formula2>
    </dataValidation>
    <dataValidation sqref="B27 B28 B29 B30 B31 B32 B33 B34 B35 B36 B37 B38 B39 B40 B41 B42 B43 B44 B45 B46 B47 B48 B49 B50 B51 B52 B57 B58 B59 B60 B61 B62 B63 B64 B65 B66 B67 B68 B69 B70 B71 B72 B73 B74 B75 B76 B77 B78 B79 B80 B81 B82 B87 B88 B89 B90 B91 B92 B93 B94 B95 B96 B97 B98 B99 B100 B101 B102 B103 B104 B105 B106 B107 B108 B109 B110 B111 B112 B117 B118 B119 B120 B121 B122 B123 B124 B125 B126 B127 B128 B129 B130 B131 B132 B133 B134 B135 B136 B137 B138 B139 B140 B141 B142 B147 B148 B149 B150 B151 B152 B153 B154 B155 B156 B157 B158 B159 B160 B161 B162 B163 B164 B165 B166 B167 B168 B169 B170 B171 B172" showDropDown="0" showInputMessage="0" showErrorMessage="0" allowBlank="1" promptTitle="Activity name" prompt="The work description shown on the report.&#10;Leave it BLANK to switch this row off - it then disappears from the tracker, the Gantt and the totals." type="textLength" operator="between">
      <formula1>0</formula1>
      <formula2>200</formula2>
    </dataValidation>
    <dataValidation sqref="P27 P28 P29 P30 P31 P32 P33 P34 P35 P36 P37 P38 P39 P40 P41 P42 P43 P44 P45 P46 P47 P48 P49 P50 P51 P52 P57 P58 P59 P60 P61 P62 P63 P64 P65 P66 P67 P68 P69 P70 P71 P72 P73 P74 P75 P76 P77 P78 P79 P80 P81 P82 P87 P88 P89 P90 P91 P92 P93 P94 P95 P96 P97 P98 P99 P100 P101 P102 P103 P104 P105 P106 P107 P108 P109 P110 P111 P112 P117 P118 P119 P120 P121 P122 P123 P124 P125 P126 P127 P128 P129 P130 P131 P132 P133 P134 P135 P136 P137 P138 P139 P140 P141 P142 P147 P148 P149 P150 P151 P152 P153 P154 P155 P156 P157 P158 P159 P160 P161 P162 P163 P164 P165 P166 P167 P168 P169 P170 P171 P172" showDropDown="0" showInputMessage="0" showErrorMessage="0" allowBlank="1" promptTitle="Remarks" prompt="Free text - reason for a delay, who is on site, what is waiting.&#10;For the record only; it changes no calculation." type="textLength" operator="between">
      <formula1>0</formula1>
      <formula2>400</formula2>
    </dataValidation>
  </dataValidations>
  <pageMargins left="0.25" right="0.25" top="1" bottom="1" header="0.5" footer="0.5"/>
  <pageSetup orientation="landscape" paperSize="9" fitToHeight="0" fitToWidth="1"/>
  <rowBreaks count="5" manualBreakCount="5">
    <brk id="54" min="0" max="16383" man="1"/>
    <brk id="84" min="0" max="16383" man="1"/>
    <brk id="114" min="0" max="16383" man="1"/>
    <brk id="144" min="0" max="16383" man="1"/>
    <brk id="174"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SAR IPMC - Planning Department</dc:creator>
  <dc:title xmlns:dc="http://purl.org/dc/elements/1.1/">EWR Culverts Replacement Phase 2 - Shutdown 03 Progress Tracker</dc:title>
  <dcterms:created xmlns:dcterms="http://purl.org/dc/terms/" xmlns:xsi="http://www.w3.org/2001/XMLSchema-instance" xsi:type="dcterms:W3CDTF">2026-10-08T13:49:11Z</dcterms:created>
  <dcterms:modified xmlns:dcterms="http://purl.org/dc/terms/" xmlns:xsi="http://www.w3.org/2001/XMLSchema-instance" xsi:type="dcterms:W3CDTF">2026-10-08T13:49:32Z</dcterms:modified>
</cp:coreProperties>
</file>