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thusidlamini/Desktop/EIU/Spring 2022/MIS3505/FINALEXAM/"/>
    </mc:Choice>
  </mc:AlternateContent>
  <xr:revisionPtr revIDLastSave="0" documentId="13_ncr:1_{829E7EE1-290A-9B4D-B2F9-5B0BB36C7F08}" xr6:coauthVersionLast="47" xr6:coauthVersionMax="47" xr10:uidLastSave="{00000000-0000-0000-0000-000000000000}"/>
  <bookViews>
    <workbookView xWindow="0" yWindow="0" windowWidth="25500" windowHeight="22520" tabRatio="628" xr2:uid="{6ABB546A-3764-4825-A837-71614C54BB4A}"/>
  </bookViews>
  <sheets>
    <sheet name="Rshipments" sheetId="2" r:id="rId1"/>
    <sheet name="Analysis" sheetId="13" r:id="rId2"/>
    <sheet name="Analysis 2" sheetId="18" r:id="rId3"/>
    <sheet name="Financial" sheetId="19" r:id="rId4"/>
    <sheet name="Comparison" sheetId="14" r:id="rId5"/>
    <sheet name="Summary" sheetId="17" r:id="rId6"/>
    <sheet name="ModifyData" sheetId="16" r:id="rId7"/>
    <sheet name="WSValue" sheetId="15" r:id="rId8"/>
    <sheet name="BFShipData" sheetId="7" r:id="rId9"/>
  </sheets>
  <definedNames>
    <definedName name="Analysis">Analysis!$A$1:$X$57</definedName>
    <definedName name="Apr">Financial!$C$5</definedName>
    <definedName name="BFShipData">BFShipData!$A$2:$E$58</definedName>
    <definedName name="ExternalData_1" localSheetId="0" hidden="1">Rshipments!$A$1:$O$59</definedName>
    <definedName name="markups">ModifyData!$B$9:$E$13</definedName>
    <definedName name="period">Financial!$C$7</definedName>
    <definedName name="principal">Financial!$C$4</definedName>
    <definedName name="Shelflifestatus">Analysis!$R$2:$R$57</definedName>
    <definedName name="Shelfstatus">ModifyData!$B$3:$D$5</definedName>
    <definedName name="TOTALPMT">Financial!$C$14</definedName>
    <definedName name="years">Financial!$C$6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9" l="1"/>
  <c r="C14" i="19" l="1"/>
  <c r="D18" i="19" s="1"/>
  <c r="V2" i="13"/>
  <c r="C7" i="19"/>
  <c r="C10" i="19" s="1"/>
  <c r="C9" i="19"/>
  <c r="C18" i="19"/>
  <c r="E18" i="19" s="1"/>
  <c r="F18" i="19" l="1"/>
  <c r="G18" i="19" s="1"/>
  <c r="B19" i="19" l="1"/>
  <c r="C19" i="19" s="1"/>
  <c r="D19" i="19" s="1"/>
  <c r="E19" i="19" s="1"/>
  <c r="F19" i="19" l="1"/>
  <c r="G19" i="19" s="1"/>
  <c r="B20" i="19" s="1"/>
  <c r="C20" i="19" l="1"/>
  <c r="D20" i="19" s="1"/>
  <c r="E20" i="19" s="1"/>
  <c r="Y2" i="13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F20" i="19" l="1"/>
  <c r="G20" i="19" s="1"/>
  <c r="B21" i="19" s="1"/>
  <c r="C21" i="19" s="1"/>
  <c r="D21" i="19" s="1"/>
  <c r="E21" i="19" s="1"/>
  <c r="F21" i="19" s="1"/>
  <c r="G21" i="19" s="1"/>
  <c r="B22" i="19" s="1"/>
  <c r="C22" i="19"/>
  <c r="D22" i="19" s="1"/>
  <c r="E22" i="19" s="1"/>
  <c r="F22" i="19" s="1"/>
  <c r="G22" i="19" s="1"/>
  <c r="B23" i="19" s="1"/>
  <c r="S59" i="18"/>
  <c r="U58" i="18"/>
  <c r="S58" i="18"/>
  <c r="R58" i="18"/>
  <c r="T58" i="18" s="1"/>
  <c r="W58" i="18" s="1"/>
  <c r="Q58" i="18"/>
  <c r="U57" i="18"/>
  <c r="S57" i="18"/>
  <c r="Q57" i="18"/>
  <c r="R57" i="18" s="1"/>
  <c r="T57" i="18" s="1"/>
  <c r="W57" i="18" s="1"/>
  <c r="U56" i="18"/>
  <c r="S56" i="18"/>
  <c r="Q56" i="18"/>
  <c r="R56" i="18" s="1"/>
  <c r="T56" i="18" s="1"/>
  <c r="W56" i="18" s="1"/>
  <c r="U55" i="18"/>
  <c r="S55" i="18"/>
  <c r="Q55" i="18"/>
  <c r="R55" i="18" s="1"/>
  <c r="T55" i="18" s="1"/>
  <c r="W55" i="18" s="1"/>
  <c r="U54" i="18"/>
  <c r="S54" i="18"/>
  <c r="Q54" i="18"/>
  <c r="R54" i="18" s="1"/>
  <c r="U53" i="18"/>
  <c r="S53" i="18"/>
  <c r="Q53" i="18"/>
  <c r="R53" i="18" s="1"/>
  <c r="T53" i="18" s="1"/>
  <c r="W53" i="18" s="1"/>
  <c r="U52" i="18"/>
  <c r="S52" i="18"/>
  <c r="Q52" i="18"/>
  <c r="R52" i="18" s="1"/>
  <c r="T52" i="18" s="1"/>
  <c r="W52" i="18" s="1"/>
  <c r="U51" i="18"/>
  <c r="S51" i="18"/>
  <c r="Q51" i="18"/>
  <c r="R51" i="18" s="1"/>
  <c r="T51" i="18" s="1"/>
  <c r="W51" i="18" s="1"/>
  <c r="U50" i="18"/>
  <c r="S50" i="18"/>
  <c r="Q50" i="18"/>
  <c r="R50" i="18" s="1"/>
  <c r="T50" i="18" s="1"/>
  <c r="W50" i="18" s="1"/>
  <c r="U49" i="18"/>
  <c r="S49" i="18"/>
  <c r="Q49" i="18"/>
  <c r="R49" i="18" s="1"/>
  <c r="T49" i="18" s="1"/>
  <c r="W49" i="18" s="1"/>
  <c r="U48" i="18"/>
  <c r="S48" i="18"/>
  <c r="Q48" i="18"/>
  <c r="R48" i="18" s="1"/>
  <c r="U47" i="18"/>
  <c r="S47" i="18"/>
  <c r="Q47" i="18"/>
  <c r="R47" i="18" s="1"/>
  <c r="U46" i="18"/>
  <c r="S46" i="18"/>
  <c r="Q46" i="18"/>
  <c r="R46" i="18" s="1"/>
  <c r="T46" i="18" s="1"/>
  <c r="W46" i="18" s="1"/>
  <c r="U45" i="18"/>
  <c r="S45" i="18"/>
  <c r="Q45" i="18"/>
  <c r="R45" i="18" s="1"/>
  <c r="T45" i="18" s="1"/>
  <c r="W45" i="18" s="1"/>
  <c r="U44" i="18"/>
  <c r="S44" i="18"/>
  <c r="Q44" i="18"/>
  <c r="R44" i="18" s="1"/>
  <c r="T44" i="18" s="1"/>
  <c r="W44" i="18" s="1"/>
  <c r="U43" i="18"/>
  <c r="S43" i="18"/>
  <c r="Q43" i="18"/>
  <c r="R43" i="18" s="1"/>
  <c r="T43" i="18" s="1"/>
  <c r="W43" i="18" s="1"/>
  <c r="U42" i="18"/>
  <c r="S42" i="18"/>
  <c r="Q42" i="18"/>
  <c r="R42" i="18" s="1"/>
  <c r="T42" i="18" s="1"/>
  <c r="W42" i="18" s="1"/>
  <c r="U41" i="18"/>
  <c r="S41" i="18"/>
  <c r="Q41" i="18"/>
  <c r="R41" i="18" s="1"/>
  <c r="U40" i="18"/>
  <c r="S40" i="18"/>
  <c r="Q40" i="18"/>
  <c r="R40" i="18" s="1"/>
  <c r="T40" i="18" s="1"/>
  <c r="W40" i="18" s="1"/>
  <c r="U39" i="18"/>
  <c r="S39" i="18"/>
  <c r="Q39" i="18"/>
  <c r="R39" i="18" s="1"/>
  <c r="T39" i="18" s="1"/>
  <c r="W39" i="18" s="1"/>
  <c r="U38" i="18"/>
  <c r="S38" i="18"/>
  <c r="Q38" i="18"/>
  <c r="R38" i="18" s="1"/>
  <c r="T38" i="18" s="1"/>
  <c r="W38" i="18" s="1"/>
  <c r="U37" i="18"/>
  <c r="S37" i="18"/>
  <c r="R37" i="18"/>
  <c r="Q37" i="18"/>
  <c r="U36" i="18"/>
  <c r="S36" i="18"/>
  <c r="Q36" i="18"/>
  <c r="R36" i="18" s="1"/>
  <c r="T36" i="18" s="1"/>
  <c r="W36" i="18" s="1"/>
  <c r="U35" i="18"/>
  <c r="S35" i="18"/>
  <c r="Q35" i="18"/>
  <c r="R35" i="18" s="1"/>
  <c r="T35" i="18" s="1"/>
  <c r="W35" i="18" s="1"/>
  <c r="U34" i="18"/>
  <c r="S34" i="18"/>
  <c r="Q34" i="18"/>
  <c r="R34" i="18" s="1"/>
  <c r="U33" i="18"/>
  <c r="S33" i="18"/>
  <c r="Q33" i="18"/>
  <c r="R33" i="18" s="1"/>
  <c r="U32" i="18"/>
  <c r="S32" i="18"/>
  <c r="Q32" i="18"/>
  <c r="R32" i="18" s="1"/>
  <c r="T32" i="18" s="1"/>
  <c r="W32" i="18" s="1"/>
  <c r="U31" i="18"/>
  <c r="S31" i="18"/>
  <c r="Q31" i="18"/>
  <c r="R31" i="18" s="1"/>
  <c r="T31" i="18" s="1"/>
  <c r="W31" i="18" s="1"/>
  <c r="U30" i="18"/>
  <c r="S30" i="18"/>
  <c r="Q30" i="18"/>
  <c r="R30" i="18" s="1"/>
  <c r="U29" i="18"/>
  <c r="S29" i="18"/>
  <c r="Q29" i="18"/>
  <c r="R29" i="18" s="1"/>
  <c r="U28" i="18"/>
  <c r="S28" i="18"/>
  <c r="Q28" i="18"/>
  <c r="R28" i="18" s="1"/>
  <c r="T28" i="18" s="1"/>
  <c r="W28" i="18" s="1"/>
  <c r="U27" i="18"/>
  <c r="S27" i="18"/>
  <c r="Q27" i="18"/>
  <c r="R27" i="18" s="1"/>
  <c r="T27" i="18" s="1"/>
  <c r="W27" i="18" s="1"/>
  <c r="U26" i="18"/>
  <c r="S26" i="18"/>
  <c r="Q26" i="18"/>
  <c r="R26" i="18" s="1"/>
  <c r="U25" i="18"/>
  <c r="S25" i="18"/>
  <c r="Q25" i="18"/>
  <c r="R25" i="18" s="1"/>
  <c r="U24" i="18"/>
  <c r="S24" i="18"/>
  <c r="Q24" i="18"/>
  <c r="R24" i="18" s="1"/>
  <c r="T24" i="18" s="1"/>
  <c r="W24" i="18" s="1"/>
  <c r="U23" i="18"/>
  <c r="S23" i="18"/>
  <c r="Q23" i="18"/>
  <c r="R23" i="18" s="1"/>
  <c r="T23" i="18" s="1"/>
  <c r="W23" i="18" s="1"/>
  <c r="U22" i="18"/>
  <c r="S22" i="18"/>
  <c r="Q22" i="18"/>
  <c r="R22" i="18" s="1"/>
  <c r="U21" i="18"/>
  <c r="S21" i="18"/>
  <c r="Q21" i="18"/>
  <c r="R21" i="18" s="1"/>
  <c r="U20" i="18"/>
  <c r="S20" i="18"/>
  <c r="Q20" i="18"/>
  <c r="R20" i="18" s="1"/>
  <c r="T20" i="18" s="1"/>
  <c r="W20" i="18" s="1"/>
  <c r="U19" i="18"/>
  <c r="S19" i="18"/>
  <c r="Q19" i="18"/>
  <c r="R19" i="18" s="1"/>
  <c r="T19" i="18" s="1"/>
  <c r="W19" i="18" s="1"/>
  <c r="U18" i="18"/>
  <c r="S18" i="18"/>
  <c r="Q18" i="18"/>
  <c r="R18" i="18" s="1"/>
  <c r="T18" i="18" s="1"/>
  <c r="W18" i="18" s="1"/>
  <c r="U17" i="18"/>
  <c r="S17" i="18"/>
  <c r="Q17" i="18"/>
  <c r="R17" i="18" s="1"/>
  <c r="U16" i="18"/>
  <c r="S16" i="18"/>
  <c r="Q16" i="18"/>
  <c r="R16" i="18" s="1"/>
  <c r="T16" i="18" s="1"/>
  <c r="W16" i="18" s="1"/>
  <c r="U15" i="18"/>
  <c r="S15" i="18"/>
  <c r="Q15" i="18"/>
  <c r="R15" i="18" s="1"/>
  <c r="T15" i="18" s="1"/>
  <c r="W15" i="18" s="1"/>
  <c r="U14" i="18"/>
  <c r="S14" i="18"/>
  <c r="Q14" i="18"/>
  <c r="R14" i="18" s="1"/>
  <c r="T14" i="18" s="1"/>
  <c r="W14" i="18" s="1"/>
  <c r="U13" i="18"/>
  <c r="S13" i="18"/>
  <c r="Q13" i="18"/>
  <c r="R13" i="18" s="1"/>
  <c r="T13" i="18" s="1"/>
  <c r="W13" i="18" s="1"/>
  <c r="U12" i="18"/>
  <c r="S12" i="18"/>
  <c r="Q12" i="18"/>
  <c r="R12" i="18" s="1"/>
  <c r="T12" i="18" s="1"/>
  <c r="W12" i="18" s="1"/>
  <c r="U11" i="18"/>
  <c r="S11" i="18"/>
  <c r="Q11" i="18"/>
  <c r="R11" i="18" s="1"/>
  <c r="T11" i="18" s="1"/>
  <c r="W11" i="18" s="1"/>
  <c r="U10" i="18"/>
  <c r="S10" i="18"/>
  <c r="Q10" i="18"/>
  <c r="R10" i="18" s="1"/>
  <c r="T10" i="18" s="1"/>
  <c r="W10" i="18" s="1"/>
  <c r="U9" i="18"/>
  <c r="S9" i="18"/>
  <c r="Q9" i="18"/>
  <c r="R9" i="18" s="1"/>
  <c r="T9" i="18" s="1"/>
  <c r="W9" i="18" s="1"/>
  <c r="U8" i="18"/>
  <c r="S8" i="18"/>
  <c r="Q8" i="18"/>
  <c r="R8" i="18" s="1"/>
  <c r="T8" i="18" s="1"/>
  <c r="W8" i="18" s="1"/>
  <c r="U7" i="18"/>
  <c r="S7" i="18"/>
  <c r="Q7" i="18"/>
  <c r="R7" i="18" s="1"/>
  <c r="T7" i="18" s="1"/>
  <c r="W7" i="18" s="1"/>
  <c r="U6" i="18"/>
  <c r="S6" i="18"/>
  <c r="Q6" i="18"/>
  <c r="R6" i="18" s="1"/>
  <c r="T6" i="18" s="1"/>
  <c r="W6" i="18" s="1"/>
  <c r="U5" i="18"/>
  <c r="S5" i="18"/>
  <c r="Q5" i="18"/>
  <c r="R5" i="18" s="1"/>
  <c r="T5" i="18" s="1"/>
  <c r="W5" i="18" s="1"/>
  <c r="U4" i="18"/>
  <c r="S4" i="18"/>
  <c r="Q4" i="18"/>
  <c r="R4" i="18" s="1"/>
  <c r="T4" i="18" s="1"/>
  <c r="W4" i="18" s="1"/>
  <c r="U3" i="18"/>
  <c r="S3" i="18"/>
  <c r="Q3" i="18"/>
  <c r="R3" i="18" s="1"/>
  <c r="T3" i="18" s="1"/>
  <c r="W3" i="18" s="1"/>
  <c r="V40" i="13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C23" i="19" l="1"/>
  <c r="D23" i="19" s="1"/>
  <c r="E23" i="19" s="1"/>
  <c r="F23" i="19" s="1"/>
  <c r="G23" i="19" s="1"/>
  <c r="B24" i="19" s="1"/>
  <c r="X46" i="18"/>
  <c r="X40" i="18"/>
  <c r="X43" i="18"/>
  <c r="X35" i="18"/>
  <c r="X23" i="18"/>
  <c r="X16" i="18"/>
  <c r="X58" i="18"/>
  <c r="X11" i="18"/>
  <c r="X9" i="18"/>
  <c r="T17" i="18"/>
  <c r="W17" i="18" s="1"/>
  <c r="T21" i="18"/>
  <c r="W21" i="18" s="1"/>
  <c r="T25" i="18"/>
  <c r="W25" i="18" s="1"/>
  <c r="T29" i="18"/>
  <c r="W29" i="18" s="1"/>
  <c r="T33" i="18"/>
  <c r="W33" i="18" s="1"/>
  <c r="T37" i="18"/>
  <c r="T47" i="18"/>
  <c r="X19" i="18"/>
  <c r="X3" i="18"/>
  <c r="X44" i="18"/>
  <c r="X57" i="18"/>
  <c r="X7" i="18"/>
  <c r="X31" i="18"/>
  <c r="X8" i="18"/>
  <c r="X20" i="18"/>
  <c r="X6" i="18"/>
  <c r="X18" i="18"/>
  <c r="T22" i="18"/>
  <c r="W22" i="18" s="1"/>
  <c r="T26" i="18"/>
  <c r="T30" i="18"/>
  <c r="W30" i="18" s="1"/>
  <c r="T34" i="18"/>
  <c r="W34" i="18" s="1"/>
  <c r="T41" i="18"/>
  <c r="W41" i="18" s="1"/>
  <c r="T54" i="18"/>
  <c r="W54" i="18" s="1"/>
  <c r="X5" i="18"/>
  <c r="X45" i="18"/>
  <c r="X10" i="18"/>
  <c r="X28" i="18"/>
  <c r="X4" i="18"/>
  <c r="T48" i="18"/>
  <c r="W48" i="18" s="1"/>
  <c r="X27" i="18"/>
  <c r="X12" i="18"/>
  <c r="X56" i="18"/>
  <c r="X53" i="18"/>
  <c r="X15" i="18"/>
  <c r="X13" i="18"/>
  <c r="X25" i="18"/>
  <c r="X50" i="18"/>
  <c r="X14" i="18"/>
  <c r="X38" i="18"/>
  <c r="X51" i="18"/>
  <c r="X24" i="18"/>
  <c r="X32" i="18"/>
  <c r="X36" i="18"/>
  <c r="X49" i="18"/>
  <c r="X42" i="18"/>
  <c r="X55" i="18"/>
  <c r="X39" i="18"/>
  <c r="X52" i="18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2" i="13"/>
  <c r="R2" i="13"/>
  <c r="T2" i="13" s="1"/>
  <c r="R4" i="13"/>
  <c r="T4" i="13" s="1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2" i="13"/>
  <c r="C24" i="19" l="1"/>
  <c r="D24" i="19" s="1"/>
  <c r="E24" i="19" s="1"/>
  <c r="F24" i="19" s="1"/>
  <c r="G24" i="19" s="1"/>
  <c r="B25" i="19" s="1"/>
  <c r="W47" i="18"/>
  <c r="X47" i="18" s="1"/>
  <c r="Z2" i="13"/>
  <c r="W26" i="18"/>
  <c r="W59" i="18" s="1"/>
  <c r="W4" i="13"/>
  <c r="X4" i="13" s="1"/>
  <c r="Z4" i="13"/>
  <c r="AA4" i="13" s="1"/>
  <c r="T59" i="18"/>
  <c r="X37" i="18"/>
  <c r="W37" i="18"/>
  <c r="X30" i="18"/>
  <c r="X29" i="18"/>
  <c r="X21" i="18"/>
  <c r="X48" i="18"/>
  <c r="X22" i="18"/>
  <c r="X33" i="18"/>
  <c r="X54" i="18"/>
  <c r="X17" i="18"/>
  <c r="X41" i="18"/>
  <c r="X34" i="18"/>
  <c r="S58" i="13"/>
  <c r="Q2" i="13"/>
  <c r="Q3" i="13"/>
  <c r="R3" i="13" s="1"/>
  <c r="T3" i="13" s="1"/>
  <c r="Q4" i="13"/>
  <c r="Q5" i="13"/>
  <c r="R5" i="13" s="1"/>
  <c r="T5" i="13" s="1"/>
  <c r="T58" i="13" s="1"/>
  <c r="Q6" i="13"/>
  <c r="R6" i="13" s="1"/>
  <c r="T6" i="13" s="1"/>
  <c r="Q7" i="13"/>
  <c r="R7" i="13" s="1"/>
  <c r="T7" i="13" s="1"/>
  <c r="Q8" i="13"/>
  <c r="R8" i="13" s="1"/>
  <c r="T8" i="13" s="1"/>
  <c r="Q9" i="13"/>
  <c r="R9" i="13" s="1"/>
  <c r="T9" i="13" s="1"/>
  <c r="Q10" i="13"/>
  <c r="R10" i="13" s="1"/>
  <c r="T10" i="13" s="1"/>
  <c r="Q11" i="13"/>
  <c r="R11" i="13" s="1"/>
  <c r="T11" i="13" s="1"/>
  <c r="Q12" i="13"/>
  <c r="R12" i="13" s="1"/>
  <c r="T12" i="13" s="1"/>
  <c r="Q13" i="13"/>
  <c r="R13" i="13" s="1"/>
  <c r="T13" i="13" s="1"/>
  <c r="Q14" i="13"/>
  <c r="R14" i="13" s="1"/>
  <c r="T14" i="13" s="1"/>
  <c r="Q15" i="13"/>
  <c r="R15" i="13" s="1"/>
  <c r="T15" i="13" s="1"/>
  <c r="Q16" i="13"/>
  <c r="R16" i="13" s="1"/>
  <c r="T16" i="13" s="1"/>
  <c r="Q17" i="13"/>
  <c r="R17" i="13" s="1"/>
  <c r="T17" i="13" s="1"/>
  <c r="Q18" i="13"/>
  <c r="R18" i="13" s="1"/>
  <c r="T18" i="13" s="1"/>
  <c r="Q19" i="13"/>
  <c r="R19" i="13" s="1"/>
  <c r="T19" i="13" s="1"/>
  <c r="Q20" i="13"/>
  <c r="R20" i="13" s="1"/>
  <c r="T20" i="13" s="1"/>
  <c r="Q21" i="13"/>
  <c r="R21" i="13" s="1"/>
  <c r="T21" i="13" s="1"/>
  <c r="Q22" i="13"/>
  <c r="R22" i="13" s="1"/>
  <c r="T22" i="13" s="1"/>
  <c r="Q23" i="13"/>
  <c r="R23" i="13" s="1"/>
  <c r="T23" i="13" s="1"/>
  <c r="Q24" i="13"/>
  <c r="R24" i="13" s="1"/>
  <c r="T24" i="13" s="1"/>
  <c r="Q25" i="13"/>
  <c r="R25" i="13" s="1"/>
  <c r="T25" i="13" s="1"/>
  <c r="Q26" i="13"/>
  <c r="R26" i="13" s="1"/>
  <c r="T26" i="13" s="1"/>
  <c r="Q27" i="13"/>
  <c r="R27" i="13" s="1"/>
  <c r="T27" i="13" s="1"/>
  <c r="Q28" i="13"/>
  <c r="R28" i="13" s="1"/>
  <c r="T28" i="13" s="1"/>
  <c r="Q29" i="13"/>
  <c r="R29" i="13" s="1"/>
  <c r="T29" i="13" s="1"/>
  <c r="Q30" i="13"/>
  <c r="R30" i="13" s="1"/>
  <c r="T30" i="13" s="1"/>
  <c r="Q31" i="13"/>
  <c r="R31" i="13" s="1"/>
  <c r="T31" i="13" s="1"/>
  <c r="Q32" i="13"/>
  <c r="R32" i="13" s="1"/>
  <c r="T32" i="13" s="1"/>
  <c r="Q33" i="13"/>
  <c r="R33" i="13" s="1"/>
  <c r="T33" i="13" s="1"/>
  <c r="Q34" i="13"/>
  <c r="R34" i="13" s="1"/>
  <c r="T34" i="13" s="1"/>
  <c r="Q35" i="13"/>
  <c r="R35" i="13" s="1"/>
  <c r="T35" i="13" s="1"/>
  <c r="Q36" i="13"/>
  <c r="R36" i="13" s="1"/>
  <c r="T36" i="13" s="1"/>
  <c r="Q37" i="13"/>
  <c r="R37" i="13" s="1"/>
  <c r="T37" i="13" s="1"/>
  <c r="Q38" i="13"/>
  <c r="R38" i="13" s="1"/>
  <c r="T38" i="13" s="1"/>
  <c r="Q39" i="13"/>
  <c r="R39" i="13" s="1"/>
  <c r="T39" i="13" s="1"/>
  <c r="Q40" i="13"/>
  <c r="R40" i="13" s="1"/>
  <c r="T40" i="13" s="1"/>
  <c r="Q41" i="13"/>
  <c r="R41" i="13" s="1"/>
  <c r="T41" i="13" s="1"/>
  <c r="Q42" i="13"/>
  <c r="R42" i="13" s="1"/>
  <c r="T42" i="13" s="1"/>
  <c r="Q43" i="13"/>
  <c r="R43" i="13" s="1"/>
  <c r="T43" i="13" s="1"/>
  <c r="Q44" i="13"/>
  <c r="R44" i="13" s="1"/>
  <c r="T44" i="13" s="1"/>
  <c r="Q45" i="13"/>
  <c r="R45" i="13" s="1"/>
  <c r="T45" i="13" s="1"/>
  <c r="Q46" i="13"/>
  <c r="R46" i="13" s="1"/>
  <c r="T46" i="13" s="1"/>
  <c r="Q47" i="13"/>
  <c r="R47" i="13" s="1"/>
  <c r="T47" i="13" s="1"/>
  <c r="Q48" i="13"/>
  <c r="R48" i="13" s="1"/>
  <c r="T48" i="13" s="1"/>
  <c r="Q49" i="13"/>
  <c r="R49" i="13" s="1"/>
  <c r="T49" i="13" s="1"/>
  <c r="Q50" i="13"/>
  <c r="R50" i="13" s="1"/>
  <c r="T50" i="13" s="1"/>
  <c r="Q51" i="13"/>
  <c r="R51" i="13" s="1"/>
  <c r="T51" i="13" s="1"/>
  <c r="Q52" i="13"/>
  <c r="R52" i="13" s="1"/>
  <c r="T52" i="13" s="1"/>
  <c r="Q53" i="13"/>
  <c r="R53" i="13" s="1"/>
  <c r="T53" i="13" s="1"/>
  <c r="Q54" i="13"/>
  <c r="R54" i="13" s="1"/>
  <c r="T54" i="13" s="1"/>
  <c r="Q55" i="13"/>
  <c r="R55" i="13" s="1"/>
  <c r="T55" i="13" s="1"/>
  <c r="Q56" i="13"/>
  <c r="R56" i="13" s="1"/>
  <c r="T56" i="13" s="1"/>
  <c r="Q57" i="13"/>
  <c r="R57" i="13" s="1"/>
  <c r="T57" i="13" s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C25" i="19" l="1"/>
  <c r="D25" i="19" s="1"/>
  <c r="E25" i="19" s="1"/>
  <c r="F25" i="19" s="1"/>
  <c r="G25" i="19" s="1"/>
  <c r="B26" i="19" s="1"/>
  <c r="Z49" i="13"/>
  <c r="AA49" i="13" s="1"/>
  <c r="W49" i="13"/>
  <c r="X49" i="13" s="1"/>
  <c r="Z37" i="13"/>
  <c r="AA37" i="13" s="1"/>
  <c r="W37" i="13"/>
  <c r="X37" i="13" s="1"/>
  <c r="W25" i="13"/>
  <c r="X25" i="13" s="1"/>
  <c r="Z25" i="13"/>
  <c r="AA25" i="13" s="1"/>
  <c r="W13" i="13"/>
  <c r="X13" i="13" s="1"/>
  <c r="Z13" i="13"/>
  <c r="AA13" i="13" s="1"/>
  <c r="W24" i="13"/>
  <c r="X24" i="13" s="1"/>
  <c r="Z24" i="13"/>
  <c r="AA24" i="13" s="1"/>
  <c r="Z12" i="13"/>
  <c r="AA12" i="13" s="1"/>
  <c r="W12" i="13"/>
  <c r="X12" i="13" s="1"/>
  <c r="Z48" i="13"/>
  <c r="AA48" i="13" s="1"/>
  <c r="W48" i="13"/>
  <c r="X48" i="13" s="1"/>
  <c r="Z47" i="13"/>
  <c r="AA47" i="13" s="1"/>
  <c r="W47" i="13"/>
  <c r="X47" i="13" s="1"/>
  <c r="Z35" i="13"/>
  <c r="AA35" i="13" s="1"/>
  <c r="W35" i="13"/>
  <c r="X35" i="13" s="1"/>
  <c r="Z23" i="13"/>
  <c r="AA23" i="13" s="1"/>
  <c r="W23" i="13"/>
  <c r="X23" i="13" s="1"/>
  <c r="Z11" i="13"/>
  <c r="AA11" i="13" s="1"/>
  <c r="W11" i="13"/>
  <c r="X11" i="13" s="1"/>
  <c r="W46" i="13"/>
  <c r="X46" i="13" s="1"/>
  <c r="Z46" i="13"/>
  <c r="AA46" i="13" s="1"/>
  <c r="W34" i="13"/>
  <c r="X34" i="13" s="1"/>
  <c r="Z34" i="13"/>
  <c r="AA34" i="13" s="1"/>
  <c r="W22" i="13"/>
  <c r="X22" i="13" s="1"/>
  <c r="Z22" i="13"/>
  <c r="AA22" i="13" s="1"/>
  <c r="Z10" i="13"/>
  <c r="AA10" i="13" s="1"/>
  <c r="W10" i="13"/>
  <c r="X10" i="13" s="1"/>
  <c r="X59" i="18"/>
  <c r="W57" i="13"/>
  <c r="X57" i="13" s="1"/>
  <c r="Z57" i="13"/>
  <c r="AA57" i="13" s="1"/>
  <c r="W45" i="13"/>
  <c r="X45" i="13" s="1"/>
  <c r="Z45" i="13"/>
  <c r="AA45" i="13" s="1"/>
  <c r="Z33" i="13"/>
  <c r="AA33" i="13" s="1"/>
  <c r="W33" i="13"/>
  <c r="X33" i="13" s="1"/>
  <c r="W21" i="13"/>
  <c r="X21" i="13" s="1"/>
  <c r="Z21" i="13"/>
  <c r="AA21" i="13" s="1"/>
  <c r="Z9" i="13"/>
  <c r="AA9" i="13" s="1"/>
  <c r="W9" i="13"/>
  <c r="X9" i="13" s="1"/>
  <c r="W56" i="13"/>
  <c r="X56" i="13" s="1"/>
  <c r="Z56" i="13"/>
  <c r="AA56" i="13" s="1"/>
  <c r="Z44" i="13"/>
  <c r="AA44" i="13" s="1"/>
  <c r="W44" i="13"/>
  <c r="X44" i="13" s="1"/>
  <c r="Z32" i="13"/>
  <c r="AA32" i="13" s="1"/>
  <c r="W32" i="13"/>
  <c r="X32" i="13" s="1"/>
  <c r="W20" i="13"/>
  <c r="X20" i="13" s="1"/>
  <c r="Z20" i="13"/>
  <c r="AA20" i="13" s="1"/>
  <c r="W8" i="13"/>
  <c r="X8" i="13" s="1"/>
  <c r="Z8" i="13"/>
  <c r="AA8" i="13" s="1"/>
  <c r="X26" i="18"/>
  <c r="W55" i="13"/>
  <c r="X55" i="13" s="1"/>
  <c r="Z55" i="13"/>
  <c r="AA55" i="13" s="1"/>
  <c r="W43" i="13"/>
  <c r="X43" i="13" s="1"/>
  <c r="Z43" i="13"/>
  <c r="AA43" i="13" s="1"/>
  <c r="W31" i="13"/>
  <c r="X31" i="13" s="1"/>
  <c r="Z31" i="13"/>
  <c r="AA31" i="13" s="1"/>
  <c r="W19" i="13"/>
  <c r="X19" i="13" s="1"/>
  <c r="Z19" i="13"/>
  <c r="AA19" i="13" s="1"/>
  <c r="W7" i="13"/>
  <c r="X7" i="13" s="1"/>
  <c r="Z7" i="13"/>
  <c r="AA7" i="13" s="1"/>
  <c r="W54" i="13"/>
  <c r="X54" i="13" s="1"/>
  <c r="Z54" i="13"/>
  <c r="AA54" i="13" s="1"/>
  <c r="W42" i="13"/>
  <c r="X42" i="13" s="1"/>
  <c r="Z42" i="13"/>
  <c r="AA42" i="13" s="1"/>
  <c r="Z30" i="13"/>
  <c r="AA30" i="13" s="1"/>
  <c r="W30" i="13"/>
  <c r="X30" i="13" s="1"/>
  <c r="W18" i="13"/>
  <c r="X18" i="13" s="1"/>
  <c r="Z18" i="13"/>
  <c r="AA18" i="13" s="1"/>
  <c r="W6" i="13"/>
  <c r="X6" i="13" s="1"/>
  <c r="Z6" i="13"/>
  <c r="AA6" i="13" s="1"/>
  <c r="AA2" i="13"/>
  <c r="W53" i="13"/>
  <c r="X53" i="13" s="1"/>
  <c r="Z53" i="13"/>
  <c r="AA53" i="13" s="1"/>
  <c r="W41" i="13"/>
  <c r="X41" i="13" s="1"/>
  <c r="Z41" i="13"/>
  <c r="AA41" i="13" s="1"/>
  <c r="W29" i="13"/>
  <c r="X29" i="13" s="1"/>
  <c r="Z29" i="13"/>
  <c r="AA29" i="13" s="1"/>
  <c r="W17" i="13"/>
  <c r="X17" i="13" s="1"/>
  <c r="Z17" i="13"/>
  <c r="AA17" i="13" s="1"/>
  <c r="W5" i="13"/>
  <c r="X5" i="13" s="1"/>
  <c r="Z5" i="13"/>
  <c r="AA5" i="13" s="1"/>
  <c r="W52" i="13"/>
  <c r="X52" i="13" s="1"/>
  <c r="Z52" i="13"/>
  <c r="AA52" i="13" s="1"/>
  <c r="W40" i="13"/>
  <c r="X40" i="13" s="1"/>
  <c r="Z40" i="13"/>
  <c r="AA40" i="13" s="1"/>
  <c r="W28" i="13"/>
  <c r="X28" i="13" s="1"/>
  <c r="Z28" i="13"/>
  <c r="AA28" i="13" s="1"/>
  <c r="W16" i="13"/>
  <c r="X16" i="13" s="1"/>
  <c r="Z16" i="13"/>
  <c r="AA16" i="13" s="1"/>
  <c r="W51" i="13"/>
  <c r="X51" i="13" s="1"/>
  <c r="Z51" i="13"/>
  <c r="AA51" i="13" s="1"/>
  <c r="Z39" i="13"/>
  <c r="AA39" i="13" s="1"/>
  <c r="W39" i="13"/>
  <c r="X39" i="13" s="1"/>
  <c r="W27" i="13"/>
  <c r="X27" i="13" s="1"/>
  <c r="Z27" i="13"/>
  <c r="AA27" i="13" s="1"/>
  <c r="W15" i="13"/>
  <c r="X15" i="13" s="1"/>
  <c r="Z15" i="13"/>
  <c r="AA15" i="13" s="1"/>
  <c r="Z3" i="13"/>
  <c r="AA3" i="13" s="1"/>
  <c r="W3" i="13"/>
  <c r="X3" i="13" s="1"/>
  <c r="W36" i="13"/>
  <c r="X36" i="13" s="1"/>
  <c r="Z36" i="13"/>
  <c r="AA36" i="13" s="1"/>
  <c r="W50" i="13"/>
  <c r="X50" i="13" s="1"/>
  <c r="Z50" i="13"/>
  <c r="AA50" i="13" s="1"/>
  <c r="W38" i="13"/>
  <c r="X38" i="13" s="1"/>
  <c r="Z38" i="13"/>
  <c r="AA38" i="13" s="1"/>
  <c r="W26" i="13"/>
  <c r="X26" i="13" s="1"/>
  <c r="Z26" i="13"/>
  <c r="AA26" i="13" s="1"/>
  <c r="W14" i="13"/>
  <c r="X14" i="13" s="1"/>
  <c r="Z14" i="13"/>
  <c r="AA14" i="13" s="1"/>
  <c r="C6" i="14"/>
  <c r="E6" i="14"/>
  <c r="D6" i="14"/>
  <c r="C26" i="19" l="1"/>
  <c r="D26" i="19" s="1"/>
  <c r="E26" i="19" s="1"/>
  <c r="Z58" i="13"/>
  <c r="AA58" i="13"/>
  <c r="F26" i="19" l="1"/>
  <c r="G26" i="19" s="1"/>
  <c r="B27" i="19" s="1"/>
  <c r="C27" i="19" l="1"/>
  <c r="D27" i="19" s="1"/>
  <c r="E27" i="19" s="1"/>
  <c r="F27" i="19" s="1"/>
  <c r="G27" i="19" s="1"/>
  <c r="B28" i="19" s="1"/>
  <c r="C28" i="19" l="1"/>
  <c r="D28" i="19" s="1"/>
  <c r="E28" i="19" s="1"/>
  <c r="F28" i="19" s="1"/>
  <c r="G28" i="19" s="1"/>
  <c r="B29" i="19" s="1"/>
  <c r="C29" i="19" l="1"/>
  <c r="D29" i="19" s="1"/>
  <c r="E29" i="19" s="1"/>
  <c r="F29" i="19" s="1"/>
  <c r="G29" i="19" s="1"/>
  <c r="B30" i="19" s="1"/>
  <c r="C30" i="19" l="1"/>
  <c r="D30" i="19" s="1"/>
  <c r="E30" i="19" s="1"/>
  <c r="F30" i="19" s="1"/>
  <c r="G30" i="19" s="1"/>
  <c r="B31" i="19" s="1"/>
  <c r="C31" i="19" l="1"/>
  <c r="D31" i="19" s="1"/>
  <c r="E31" i="19" s="1"/>
  <c r="F31" i="19" s="1"/>
  <c r="G31" i="19" s="1"/>
  <c r="B32" i="19" s="1"/>
  <c r="C32" i="19" l="1"/>
  <c r="D32" i="19" s="1"/>
  <c r="E32" i="19" s="1"/>
  <c r="F32" i="19" s="1"/>
  <c r="G32" i="19" s="1"/>
  <c r="B33" i="19" s="1"/>
  <c r="C33" i="19" l="1"/>
  <c r="D33" i="19" s="1"/>
  <c r="E33" i="19" s="1"/>
  <c r="F33" i="19" s="1"/>
  <c r="G33" i="19" s="1"/>
  <c r="B34" i="19" s="1"/>
  <c r="C34" i="19" l="1"/>
  <c r="D34" i="19" s="1"/>
  <c r="E34" i="19" s="1"/>
  <c r="F34" i="19" s="1"/>
  <c r="G34" i="19" s="1"/>
  <c r="B35" i="19" s="1"/>
  <c r="C35" i="19" l="1"/>
  <c r="D35" i="19" s="1"/>
  <c r="E35" i="19" s="1"/>
  <c r="F35" i="19" s="1"/>
  <c r="G35" i="19" s="1"/>
  <c r="B36" i="19" s="1"/>
  <c r="C36" i="19" l="1"/>
  <c r="D36" i="19" s="1"/>
  <c r="E36" i="19" s="1"/>
  <c r="F36" i="19" s="1"/>
  <c r="G36" i="19" s="1"/>
  <c r="B37" i="19" s="1"/>
  <c r="C37" i="19" l="1"/>
  <c r="D37" i="19" s="1"/>
  <c r="E37" i="19" s="1"/>
  <c r="F37" i="19" s="1"/>
  <c r="G37" i="19" s="1"/>
  <c r="B38" i="19" s="1"/>
  <c r="C38" i="19" l="1"/>
  <c r="D38" i="19" s="1"/>
  <c r="E38" i="19" s="1"/>
  <c r="F38" i="19" s="1"/>
  <c r="G38" i="19" s="1"/>
  <c r="B39" i="19" s="1"/>
  <c r="C39" i="19" l="1"/>
  <c r="D39" i="19" s="1"/>
  <c r="E39" i="19" s="1"/>
  <c r="F39" i="19" s="1"/>
  <c r="G39" i="19" s="1"/>
  <c r="B40" i="19" s="1"/>
  <c r="C40" i="19" l="1"/>
  <c r="D40" i="19" s="1"/>
  <c r="E40" i="19" s="1"/>
  <c r="F40" i="19" s="1"/>
  <c r="G40" i="19" s="1"/>
  <c r="B41" i="19" s="1"/>
  <c r="C41" i="19" l="1"/>
  <c r="D41" i="19" s="1"/>
  <c r="E41" i="19" s="1"/>
  <c r="F41" i="19" s="1"/>
  <c r="G41" i="19" s="1"/>
  <c r="B42" i="19" s="1"/>
  <c r="C42" i="19" l="1"/>
  <c r="D42" i="19" s="1"/>
  <c r="E42" i="19" s="1"/>
  <c r="F42" i="19" s="1"/>
  <c r="G42" i="19" s="1"/>
  <c r="B43" i="19" s="1"/>
  <c r="C43" i="19" l="1"/>
  <c r="D43" i="19" s="1"/>
  <c r="E43" i="19" s="1"/>
  <c r="F43" i="19" s="1"/>
  <c r="G43" i="19" s="1"/>
  <c r="B44" i="19" s="1"/>
  <c r="C44" i="19" l="1"/>
  <c r="D44" i="19" s="1"/>
  <c r="E44" i="19" s="1"/>
  <c r="F44" i="19" s="1"/>
  <c r="G44" i="19" s="1"/>
  <c r="B45" i="19" s="1"/>
  <c r="C45" i="19" l="1"/>
  <c r="D45" i="19" s="1"/>
  <c r="E45" i="19" s="1"/>
  <c r="F45" i="19" s="1"/>
  <c r="G45" i="19" s="1"/>
  <c r="B46" i="19" s="1"/>
  <c r="C46" i="19" l="1"/>
  <c r="D46" i="19" s="1"/>
  <c r="E46" i="19" s="1"/>
  <c r="F46" i="19" s="1"/>
  <c r="G46" i="19" s="1"/>
  <c r="B47" i="19" s="1"/>
  <c r="C47" i="19" l="1"/>
  <c r="D47" i="19" s="1"/>
  <c r="E47" i="19" s="1"/>
  <c r="F47" i="19" s="1"/>
  <c r="G47" i="19" s="1"/>
  <c r="B48" i="19" s="1"/>
  <c r="C48" i="19" l="1"/>
  <c r="D48" i="19" s="1"/>
  <c r="E48" i="19" s="1"/>
  <c r="F48" i="19" s="1"/>
  <c r="G48" i="19" s="1"/>
  <c r="B49" i="19" s="1"/>
  <c r="C49" i="19" l="1"/>
  <c r="D49" i="19" s="1"/>
  <c r="E49" i="19" s="1"/>
  <c r="F49" i="19" s="1"/>
  <c r="G49" i="19" s="1"/>
  <c r="B50" i="19" s="1"/>
  <c r="C50" i="19" l="1"/>
  <c r="D50" i="19" s="1"/>
  <c r="E50" i="19" s="1"/>
  <c r="F50" i="19" s="1"/>
  <c r="G50" i="19" s="1"/>
  <c r="B51" i="19" s="1"/>
  <c r="C51" i="19" l="1"/>
  <c r="D51" i="19" s="1"/>
  <c r="E51" i="19" s="1"/>
  <c r="F51" i="19" s="1"/>
  <c r="G51" i="19" s="1"/>
  <c r="B52" i="19" s="1"/>
  <c r="C52" i="19" l="1"/>
  <c r="D52" i="19" s="1"/>
  <c r="E52" i="19" s="1"/>
  <c r="F52" i="19" s="1"/>
  <c r="G52" i="19" s="1"/>
  <c r="B53" i="19" s="1"/>
  <c r="C53" i="19" l="1"/>
  <c r="D53" i="19" s="1"/>
  <c r="E53" i="19" s="1"/>
  <c r="F53" i="19" l="1"/>
  <c r="G53" i="19" s="1"/>
  <c r="B54" i="19" s="1"/>
  <c r="C54" i="19" s="1"/>
  <c r="D54" i="19" s="1"/>
  <c r="E54" i="19" s="1"/>
  <c r="W2" i="13"/>
  <c r="W58" i="13" s="1"/>
  <c r="X2" i="13"/>
  <c r="X58" i="13" s="1"/>
  <c r="F6" i="14" s="1"/>
  <c r="F54" i="19" l="1"/>
  <c r="G54" i="19" s="1"/>
  <c r="C11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7D9381-B1C3-4E8C-A9A1-B3C3389825A1}" keepAlive="1" name="Query - Best_Fresh_Shipment_By_Item" description="Connection to the 'Best_Fresh_Shipment_By_Item' query in the workbook." type="5" refreshedVersion="6" background="1" saveData="1">
    <dbPr connection="Provider=Microsoft.Mashup.OleDb.1;Data Source=$Workbook$;Location=Best_Fresh_Shipment_By_Item;Extended Properties=&quot;&quot;" command="SELECT * FROM [Best_Fresh_Shipment_By_Item]"/>
  </connection>
  <connection id="2" xr16:uid="{4BEB4BBA-FE34-4850-A678-CBB5723B5329}" keepAlive="1" name="Query - BestFresh104" description="Connection to the 'BestFresh104' query in the workbook." type="5" refreshedVersion="6" background="1">
    <dbPr connection="Provider=Microsoft.Mashup.OleDb.1;Data Source=$Workbook$;Location=BestFresh104;Extended Properties=&quot;&quot;" command="SELECT * FROM [BestFresh104]"/>
  </connection>
  <connection id="3" xr16:uid="{66C6E5F2-B77D-4431-ABB5-3DBA5F355940}" keepAlive="1" name="Query - BestFresh104 (2)" description="Connection to the 'BestFresh104 (2)' query in the workbook." type="5" refreshedVersion="6" background="1">
    <dbPr connection="Provider=Microsoft.Mashup.OleDb.1;Data Source=$Workbook$;Location=BestFresh104 (2);Extended Properties=&quot;&quot;" command="SELECT * FROM [BestFresh104 (2)]"/>
  </connection>
  <connection id="4" xr16:uid="{8A71DFF0-9EAA-4EE5-BA73-F760B9676B9D}" keepAlive="1" name="Query - BestFresh104 (3)" description="Connection to the 'BestFresh104 (3)' query in the workbook." type="5" refreshedVersion="6" background="1" saveData="1">
    <dbPr connection="Provider=Microsoft.Mashup.OleDb.1;Data Source=$Workbook$;Location=&quot;BestFresh104 (3)&quot;;Extended Properties=&quot;&quot;" command="SELECT * FROM [BestFresh104 (3)]"/>
  </connection>
  <connection id="5" xr16:uid="{D381E20F-D13D-49A7-9DFE-2B87E4DF52F9}" keepAlive="1" name="Query - BestFresh104 (4)" description="Connection to the 'BestFresh104 (4)' query in the workbook." type="5" refreshedVersion="6" background="1" saveData="1">
    <dbPr connection="Provider=Microsoft.Mashup.OleDb.1;Data Source=$Workbook$;Location=&quot;BestFresh104 (4)&quot;;Extended Properties=&quot;&quot;" command="SELECT * FROM [BestFresh104 (4)]"/>
  </connection>
  <connection id="6" xr16:uid="{7343B808-206E-4D4C-8588-99FFD31B5000}" keepAlive="1" name="Query - BestFresh107" description="Connection to the 'BestFresh107' query in the workbook." type="5" refreshedVersion="6" background="1">
    <dbPr connection="Provider=Microsoft.Mashup.OleDb.1;Data Source=$Workbook$;Location=BestFresh107;Extended Properties=&quot;&quot;" command="SELECT * FROM [BestFresh107]"/>
  </connection>
  <connection id="7" xr16:uid="{C87D4344-2A7E-4D91-B563-5C9DCD7AA0A1}" keepAlive="1" name="Query - BestFresh107 (2)" description="Connection to the 'BestFresh107 (2)' query in the workbook." type="5" refreshedVersion="6" background="1">
    <dbPr connection="Provider=Microsoft.Mashup.OleDb.1;Data Source=$Workbook$;Location=BestFresh107 (2);Extended Properties=&quot;&quot;" command="SELECT * FROM [BestFresh107 (2)]"/>
  </connection>
  <connection id="8" xr16:uid="{126A78B1-DD51-457D-B7AF-770A871228A7}" keepAlive="1" name="Query - BestFresh107 (3)" description="Connection to the 'BestFresh107 (3)' query in the workbook." type="5" refreshedVersion="6" background="1">
    <dbPr connection="Provider=Microsoft.Mashup.OleDb.1;Data Source=$Workbook$;Location=BestFresh107 (3);Extended Properties=&quot;&quot;" command="SELECT * FROM [BestFresh107 (3)]"/>
  </connection>
  <connection id="9" xr16:uid="{15F48AEE-0FE9-471F-B9BA-4DEDF028EE07}" keepAlive="1" name="Query - BestFresh107 (4)" description="Connection to the 'BestFresh107 (4)' query in the workbook." type="5" refreshedVersion="6" background="1" saveData="1">
    <dbPr connection="Provider=Microsoft.Mashup.OleDb.1;Data Source=$Workbook$;Location=&quot;BestFresh107 (4)&quot;;Extended Properties=&quot;&quot;" command="SELECT * FROM [BestFresh107 (4)]"/>
  </connection>
  <connection id="10" xr16:uid="{85C1D9B2-0C0E-4B2B-95EB-D0C6AA8D914D}" keepAlive="1" name="Query - BestFresh107 (5)" description="Connection to the 'BestFresh107 (5)' query in the workbook." type="5" refreshedVersion="6" background="1" saveData="1">
    <dbPr connection="Provider=Microsoft.Mashup.OleDb.1;Data Source=$Workbook$;Location=&quot;BestFresh107 (5)&quot;;Extended Properties=&quot;&quot;" command="SELECT * FROM [BestFresh107 (5)]"/>
  </connection>
  <connection id="11" xr16:uid="{99E078D8-CF72-459C-AB89-31499099AE43}" keepAlive="1" name="Query - BestFresh117" description="Connection to the 'BestFresh117' query in the workbook." type="5" refreshedVersion="6" background="1">
    <dbPr connection="Provider=Microsoft.Mashup.OleDb.1;Data Source=$Workbook$;Location=BestFresh117;Extended Properties=&quot;&quot;" command="SELECT * FROM [BestFresh117]"/>
  </connection>
  <connection id="12" xr16:uid="{BE5F5699-0B3C-440F-AE3F-83531A846DA9}" keepAlive="1" name="Query - BestFresh117 (2)" description="Connection to the 'BestFresh117 (2)' query in the workbook." type="5" refreshedVersion="6" background="1">
    <dbPr connection="Provider=Microsoft.Mashup.OleDb.1;Data Source=$Workbook$;Location=BestFresh117 (2);Extended Properties=&quot;&quot;" command="SELECT * FROM [BestFresh117 (2)]"/>
  </connection>
  <connection id="13" xr16:uid="{D2798333-A27E-43D1-8CF0-937DE39FE651}" keepAlive="1" name="Query - BestFresh117 (3)" description="Connection to the 'BestFresh117 (3)' query in the workbook." type="5" refreshedVersion="6" background="1" saveData="1">
    <dbPr connection="Provider=Microsoft.Mashup.OleDb.1;Data Source=$Workbook$;Location=&quot;BestFresh117 (3)&quot;;Extended Properties=&quot;&quot;" command="SELECT * FROM [BestFresh117 (3)]"/>
  </connection>
  <connection id="14" xr16:uid="{10394110-DF6C-40A9-A993-8EA974AA5AE5}" keepAlive="1" name="Query - BestFresh117 (4)" description="Connection to the 'BestFresh117 (4)' query in the workbook." type="5" refreshedVersion="6" background="1" saveData="1">
    <dbPr connection="Provider=Microsoft.Mashup.OleDb.1;Data Source=$Workbook$;Location=&quot;BestFresh117 (4)&quot;;Extended Properties=&quot;&quot;" command="SELECT * FROM [BestFresh117 (4)]"/>
  </connection>
  <connection id="15" xr16:uid="{BA0A44FC-C20D-489F-850D-D71B2196361A}" keepAlive="1" name="Query - BestFresh126" description="Connection to the 'BestFresh126' query in the workbook." type="5" refreshedVersion="6" background="1">
    <dbPr connection="Provider=Microsoft.Mashup.OleDb.1;Data Source=$Workbook$;Location=BestFresh126;Extended Properties=&quot;&quot;" command="SELECT * FROM [BestFresh126]"/>
  </connection>
  <connection id="16" xr16:uid="{2D571FA3-6BF6-4680-9099-D15A65E1B66B}" keepAlive="1" name="Query - BestFresh126 (2)" description="Connection to the 'BestFresh126 (2)' query in the workbook." type="5" refreshedVersion="6" background="1" saveData="1">
    <dbPr connection="Provider=Microsoft.Mashup.OleDb.1;Data Source=$Workbook$;Location=&quot;BestFresh126 (2)&quot;;Extended Properties=&quot;&quot;" command="SELECT * FROM [BestFresh126 (2)]"/>
  </connection>
</connections>
</file>

<file path=xl/sharedStrings.xml><?xml version="1.0" encoding="utf-8"?>
<sst xmlns="http://schemas.openxmlformats.org/spreadsheetml/2006/main" count="1170" uniqueCount="122">
  <si>
    <t>ShipID</t>
  </si>
  <si>
    <t>StoreID</t>
  </si>
  <si>
    <t>ZipCode</t>
  </si>
  <si>
    <t>Item_Number</t>
  </si>
  <si>
    <t>Quantity</t>
  </si>
  <si>
    <t>Description</t>
  </si>
  <si>
    <t>Category</t>
  </si>
  <si>
    <t>Unit</t>
  </si>
  <si>
    <t>Container_Size</t>
  </si>
  <si>
    <t>Containers/Case</t>
  </si>
  <si>
    <t>$/Case</t>
  </si>
  <si>
    <t>Prod_Date</t>
  </si>
  <si>
    <t>Ship_Date</t>
  </si>
  <si>
    <t>Shelf_Life</t>
  </si>
  <si>
    <t>Chain</t>
  </si>
  <si>
    <t>38837</t>
  </si>
  <si>
    <t>Milk - 2% Low Fat  - 1/2 gal</t>
  </si>
  <si>
    <t>2M</t>
  </si>
  <si>
    <t>gallons</t>
  </si>
  <si>
    <t>Best Fresh</t>
  </si>
  <si>
    <t>Sour Cream - 8oz</t>
  </si>
  <si>
    <t>SC</t>
  </si>
  <si>
    <t>ounces</t>
  </si>
  <si>
    <t>Cottage Cheese - 32oz</t>
  </si>
  <si>
    <t>C</t>
  </si>
  <si>
    <t>Heavy Cream</t>
  </si>
  <si>
    <t>HC</t>
  </si>
  <si>
    <t>pint</t>
  </si>
  <si>
    <t>Milk - 1% Low Fat - gal</t>
  </si>
  <si>
    <t>1M</t>
  </si>
  <si>
    <t>Milk - 4% Regular - 1/2 gal</t>
  </si>
  <si>
    <t>M</t>
  </si>
  <si>
    <t>Butter - 4 sticks salted</t>
  </si>
  <si>
    <t>B</t>
  </si>
  <si>
    <t>pound</t>
  </si>
  <si>
    <t>Milk - Skim - gal</t>
  </si>
  <si>
    <t>SM</t>
  </si>
  <si>
    <t>Cottage Cheese - 16oz</t>
  </si>
  <si>
    <t>Milk - Skim - 1/2 gal</t>
  </si>
  <si>
    <t>38835</t>
  </si>
  <si>
    <t>Butter - Tub whipped salted</t>
  </si>
  <si>
    <t>Low Fat Sour Cream - 8oz</t>
  </si>
  <si>
    <t>LFSC</t>
  </si>
  <si>
    <t>Low Fat Sour Cream - 16oz</t>
  </si>
  <si>
    <t>Sour Cream - 32oz</t>
  </si>
  <si>
    <t>38839</t>
  </si>
  <si>
    <t>Butter - 2 sticks salted</t>
  </si>
  <si>
    <t>USB</t>
  </si>
  <si>
    <t>Milk - 1% Low Fat  - 1/2 gal</t>
  </si>
  <si>
    <t>Milk - 4% Regular - gal</t>
  </si>
  <si>
    <t>Ship#</t>
  </si>
  <si>
    <t>Item#</t>
  </si>
  <si>
    <t>Status</t>
  </si>
  <si>
    <t>A</t>
  </si>
  <si>
    <t>D</t>
  </si>
  <si>
    <t>I</t>
  </si>
  <si>
    <t>Remaining Shelf Life</t>
  </si>
  <si>
    <t>Shelf Life Status</t>
  </si>
  <si>
    <t>Unsatisfactory</t>
  </si>
  <si>
    <t>Satisfactory</t>
  </si>
  <si>
    <t>Excellent</t>
  </si>
  <si>
    <t>Dairy Vendor</t>
  </si>
  <si>
    <t>Elsie Inc.</t>
  </si>
  <si>
    <t>Stouts Farms</t>
  </si>
  <si>
    <t>Willow Foods</t>
  </si>
  <si>
    <t>Randall Dairy</t>
  </si>
  <si>
    <t>Shelf  Status</t>
  </si>
  <si>
    <t xml:space="preserve">Excellent </t>
  </si>
  <si>
    <t xml:space="preserve">Satisfactory </t>
  </si>
  <si>
    <t xml:space="preserve">Unsatisfactory </t>
  </si>
  <si>
    <t xml:space="preserve">Profit Margin </t>
  </si>
  <si>
    <t xml:space="preserve">Randall Dairy has shown that they supply the highest quality of product, with the lowest in satifsactory.  They ought to maintain this high level of service. </t>
  </si>
  <si>
    <t>Wholesale Value</t>
  </si>
  <si>
    <t>Categories</t>
  </si>
  <si>
    <t>Row Labels</t>
  </si>
  <si>
    <t>Grand Total</t>
  </si>
  <si>
    <t>Sum of Wholesale Value</t>
  </si>
  <si>
    <t>Container Size</t>
  </si>
  <si>
    <t>Markup of Modified Wholesale Price</t>
  </si>
  <si>
    <t>C,LFC,SC,LFSC</t>
  </si>
  <si>
    <t>M,2M,1M,SM</t>
  </si>
  <si>
    <t>HC,USB,B</t>
  </si>
  <si>
    <t>Cream and Butter</t>
  </si>
  <si>
    <t>All Sizes</t>
  </si>
  <si>
    <t>Milk</t>
  </si>
  <si>
    <t>&lt;1 Gallon</t>
  </si>
  <si>
    <t>&gt;=1 Gallon</t>
  </si>
  <si>
    <t>&gt;= 16oz</t>
  </si>
  <si>
    <t>Cottage Cheese and Sour Cream</t>
  </si>
  <si>
    <t>&lt;16 oz</t>
  </si>
  <si>
    <t>Markups</t>
  </si>
  <si>
    <t>Forecast Revenue</t>
  </si>
  <si>
    <t>Profit</t>
  </si>
  <si>
    <t>Modified Wholesale Value</t>
  </si>
  <si>
    <t>Discounts %</t>
  </si>
  <si>
    <t>Sum of Modified Wholesale Value</t>
  </si>
  <si>
    <t>Sum of Forecast Revenue</t>
  </si>
  <si>
    <t>Sum of Profit</t>
  </si>
  <si>
    <t>Randall Dairy has a higher level/outputof quality products and service that gives them a competitive advantage. They have the highest profit margins which also delivering quality, a business sweet spot.</t>
  </si>
  <si>
    <t>AlternativeMarkup</t>
  </si>
  <si>
    <t>Alternative Profits</t>
  </si>
  <si>
    <t>Alternative Revenue</t>
  </si>
  <si>
    <t>marked Alternative Markup 1</t>
  </si>
  <si>
    <t>Total</t>
  </si>
  <si>
    <t xml:space="preserve">Principal </t>
  </si>
  <si>
    <t>Interest Rate</t>
  </si>
  <si>
    <t>Term(Years)</t>
  </si>
  <si>
    <t>Monthly Loan Payment</t>
  </si>
  <si>
    <t>Month#</t>
  </si>
  <si>
    <t>Beginning</t>
  </si>
  <si>
    <t>Payment</t>
  </si>
  <si>
    <t>Interest</t>
  </si>
  <si>
    <t>Principal</t>
  </si>
  <si>
    <t>Ending</t>
  </si>
  <si>
    <t>Amortization Schedule</t>
  </si>
  <si>
    <t>Total Interest Expense</t>
  </si>
  <si>
    <t>Additional monthly Profit</t>
  </si>
  <si>
    <t>Additional 3 year profit</t>
  </si>
  <si>
    <t>Inputs</t>
  </si>
  <si>
    <t>Period</t>
  </si>
  <si>
    <t xml:space="preserve">Comparing both numbers, total interest expense and 3 year projected profit, it would be profitable for Best Fresh to pay the interest alone on the loan. </t>
  </si>
  <si>
    <t xml:space="preserve">Because of the short pay period and low interest rate, they only give up about 1.25 months worth of profit with the margins for total profit behind 30 fold.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</si>
</sst>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5" formatCode="&quot;$&quot;#,##0.00"/>
    <numFmt numFmtId="166" formatCode="_(&quot;$&quot;* #,##0_);_(&quot;$&quot;* \(#,##0\);_(&quot;$&quot;* &quot;-&quot;??_);_(@_)"/>
    <numFmt numFmtId="167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theme="9"/>
      </patternFill>
    </fill>
    <fill>
      <patternFill patternType="solid">
        <fgColor theme="5" tint="0.59999389629810485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9" fontId="0" fillId="0" borderId="0" xfId="2" applyFont="1"/>
    <xf numFmtId="9" fontId="0" fillId="0" borderId="0" xfId="2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pivotButton="1"/>
    <xf numFmtId="9" fontId="0" fillId="0" borderId="0" xfId="0" applyNumberFormat="1"/>
    <xf numFmtId="9" fontId="0" fillId="0" borderId="0" xfId="2" applyFont="1" applyBorder="1" applyAlignment="1"/>
    <xf numFmtId="164" fontId="0" fillId="0" borderId="0" xfId="1" applyNumberFormat="1" applyFont="1"/>
    <xf numFmtId="165" fontId="0" fillId="0" borderId="0" xfId="0" applyNumberFormat="1"/>
    <xf numFmtId="0" fontId="0" fillId="0" borderId="14" xfId="2" applyNumberFormat="1" applyFont="1" applyBorder="1"/>
    <xf numFmtId="0" fontId="0" fillId="0" borderId="15" xfId="2" applyNumberFormat="1" applyFont="1" applyBorder="1"/>
    <xf numFmtId="0" fontId="0" fillId="0" borderId="17" xfId="0" applyBorder="1"/>
    <xf numFmtId="9" fontId="0" fillId="0" borderId="0" xfId="0" applyNumberFormat="1" applyBorder="1"/>
    <xf numFmtId="0" fontId="0" fillId="0" borderId="18" xfId="0" applyBorder="1"/>
    <xf numFmtId="9" fontId="0" fillId="0" borderId="8" xfId="0" applyNumberFormat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13" xfId="0" applyFill="1" applyBorder="1"/>
    <xf numFmtId="0" fontId="0" fillId="3" borderId="16" xfId="0" applyFill="1" applyBorder="1"/>
    <xf numFmtId="44" fontId="3" fillId="0" borderId="0" xfId="1" applyFont="1"/>
    <xf numFmtId="44" fontId="0" fillId="0" borderId="0" xfId="1" applyFont="1"/>
    <xf numFmtId="166" fontId="3" fillId="0" borderId="0" xfId="1" applyNumberFormat="1" applyFont="1"/>
    <xf numFmtId="9" fontId="3" fillId="5" borderId="0" xfId="2" applyFont="1" applyFill="1"/>
    <xf numFmtId="0" fontId="0" fillId="2" borderId="0" xfId="0" applyFill="1"/>
    <xf numFmtId="0" fontId="0" fillId="5" borderId="0" xfId="0" applyFill="1"/>
    <xf numFmtId="2" fontId="0" fillId="0" borderId="0" xfId="0" applyNumberFormat="1" applyBorder="1"/>
    <xf numFmtId="44" fontId="0" fillId="0" borderId="0" xfId="1" applyFont="1" applyBorder="1" applyAlignment="1"/>
    <xf numFmtId="44" fontId="0" fillId="0" borderId="0" xfId="0" applyNumberFormat="1"/>
    <xf numFmtId="44" fontId="0" fillId="0" borderId="0" xfId="0" applyNumberFormat="1" applyBorder="1"/>
    <xf numFmtId="44" fontId="3" fillId="0" borderId="0" xfId="0" applyNumberFormat="1" applyFont="1"/>
    <xf numFmtId="9" fontId="4" fillId="0" borderId="0" xfId="2" applyFont="1"/>
    <xf numFmtId="44" fontId="1" fillId="5" borderId="0" xfId="0" applyNumberFormat="1" applyFont="1" applyFill="1"/>
    <xf numFmtId="0" fontId="0" fillId="6" borderId="0" xfId="0" applyFill="1"/>
    <xf numFmtId="6" fontId="0" fillId="6" borderId="0" xfId="0" applyNumberFormat="1" applyFill="1"/>
    <xf numFmtId="167" fontId="0" fillId="6" borderId="0" xfId="2" applyNumberFormat="1" applyFont="1" applyFill="1"/>
    <xf numFmtId="8" fontId="0" fillId="0" borderId="0" xfId="0" applyNumberFormat="1"/>
    <xf numFmtId="0" fontId="3" fillId="0" borderId="0" xfId="0" applyFont="1"/>
    <xf numFmtId="8" fontId="0" fillId="0" borderId="0" xfId="0" applyNumberFormat="1" applyFont="1"/>
    <xf numFmtId="0" fontId="0" fillId="7" borderId="0" xfId="0" applyFill="1"/>
    <xf numFmtId="0" fontId="0" fillId="0" borderId="0" xfId="0" applyFill="1"/>
    <xf numFmtId="8" fontId="0" fillId="0" borderId="0" xfId="0" applyNumberFormat="1" applyFill="1"/>
    <xf numFmtId="0" fontId="0" fillId="10" borderId="4" xfId="0" applyFont="1" applyFill="1" applyBorder="1"/>
    <xf numFmtId="0" fontId="0" fillId="10" borderId="5" xfId="0" applyFont="1" applyFill="1" applyBorder="1"/>
    <xf numFmtId="14" fontId="0" fillId="10" borderId="5" xfId="0" applyNumberFormat="1" applyFont="1" applyFill="1" applyBorder="1"/>
    <xf numFmtId="0" fontId="0" fillId="10" borderId="6" xfId="0" applyNumberFormat="1" applyFont="1" applyFill="1" applyBorder="1"/>
    <xf numFmtId="0" fontId="0" fillId="11" borderId="4" xfId="0" applyFont="1" applyFill="1" applyBorder="1"/>
    <xf numFmtId="0" fontId="0" fillId="11" borderId="5" xfId="0" applyFont="1" applyFill="1" applyBorder="1"/>
    <xf numFmtId="14" fontId="0" fillId="11" borderId="5" xfId="0" applyNumberFormat="1" applyFont="1" applyFill="1" applyBorder="1"/>
    <xf numFmtId="0" fontId="0" fillId="11" borderId="6" xfId="0" applyNumberFormat="1" applyFont="1" applyFill="1" applyBorder="1"/>
    <xf numFmtId="0" fontId="0" fillId="10" borderId="1" xfId="0" applyFont="1" applyFill="1" applyBorder="1"/>
    <xf numFmtId="0" fontId="0" fillId="10" borderId="2" xfId="0" applyFont="1" applyFill="1" applyBorder="1"/>
    <xf numFmtId="14" fontId="0" fillId="10" borderId="2" xfId="0" applyNumberFormat="1" applyFont="1" applyFill="1" applyBorder="1"/>
    <xf numFmtId="0" fontId="0" fillId="10" borderId="3" xfId="0" applyNumberFormat="1" applyFont="1" applyFill="1" applyBorder="1"/>
    <xf numFmtId="0" fontId="0" fillId="11" borderId="1" xfId="0" applyFont="1" applyFill="1" applyBorder="1"/>
    <xf numFmtId="0" fontId="0" fillId="11" borderId="2" xfId="0" applyFont="1" applyFill="1" applyBorder="1"/>
    <xf numFmtId="14" fontId="0" fillId="11" borderId="2" xfId="0" applyNumberFormat="1" applyFont="1" applyFill="1" applyBorder="1"/>
    <xf numFmtId="0" fontId="0" fillId="11" borderId="3" xfId="0" applyNumberFormat="1" applyFont="1" applyFill="1" applyBorder="1"/>
    <xf numFmtId="0" fontId="0" fillId="10" borderId="19" xfId="0" applyFont="1" applyFill="1" applyBorder="1"/>
    <xf numFmtId="0" fontId="0" fillId="10" borderId="0" xfId="0" applyFont="1" applyFill="1" applyBorder="1"/>
    <xf numFmtId="14" fontId="0" fillId="10" borderId="0" xfId="0" applyNumberFormat="1" applyFont="1" applyFill="1" applyBorder="1"/>
    <xf numFmtId="0" fontId="0" fillId="10" borderId="20" xfId="0" applyNumberFormat="1" applyFont="1" applyFill="1" applyBorder="1"/>
    <xf numFmtId="0" fontId="0" fillId="9" borderId="21" xfId="0" applyFont="1" applyFill="1" applyBorder="1"/>
    <xf numFmtId="0" fontId="0" fillId="9" borderId="22" xfId="0" applyFont="1" applyFill="1" applyBorder="1"/>
    <xf numFmtId="0" fontId="0" fillId="9" borderId="23" xfId="0" applyFont="1" applyFill="1" applyBorder="1"/>
    <xf numFmtId="0" fontId="0" fillId="0" borderId="0" xfId="0" applyFont="1"/>
    <xf numFmtId="8" fontId="0" fillId="0" borderId="0" xfId="1" applyNumberFormat="1" applyFont="1"/>
    <xf numFmtId="0" fontId="0" fillId="12" borderId="0" xfId="0" applyFill="1"/>
    <xf numFmtId="8" fontId="0" fillId="12" borderId="0" xfId="0" applyNumberFormat="1" applyFill="1"/>
    <xf numFmtId="44" fontId="0" fillId="12" borderId="0" xfId="0" applyNumberFormat="1" applyFill="1"/>
    <xf numFmtId="44" fontId="0" fillId="12" borderId="0" xfId="1" applyFont="1" applyFill="1"/>
    <xf numFmtId="0" fontId="0" fillId="8" borderId="0" xfId="0" applyFill="1" applyAlignment="1">
      <alignment horizontal="center"/>
    </xf>
    <xf numFmtId="0" fontId="0" fillId="0" borderId="24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7" formatCode="m/d/yy\ h:mm"/>
    </dxf>
    <dxf>
      <numFmt numFmtId="27" formatCode="m/d/yy\ h:mm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68" formatCode="m/d/yyyy\ h:mm"/>
    </dxf>
    <dxf>
      <numFmt numFmtId="168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B7942"/>
      <color rgb="FF00FDFF"/>
      <color rgb="FF942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Items Category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Sum of Modified Wholesale Value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1M</c:v>
              </c:pt>
              <c:pt idx="1">
                <c:v>2M</c:v>
              </c:pt>
              <c:pt idx="2">
                <c:v>B</c:v>
              </c:pt>
              <c:pt idx="3">
                <c:v>C</c:v>
              </c:pt>
              <c:pt idx="4">
                <c:v>HC</c:v>
              </c:pt>
              <c:pt idx="5">
                <c:v>LFSC</c:v>
              </c:pt>
              <c:pt idx="6">
                <c:v>M</c:v>
              </c:pt>
              <c:pt idx="7">
                <c:v>SC</c:v>
              </c:pt>
              <c:pt idx="8">
                <c:v>SM</c:v>
              </c:pt>
              <c:pt idx="9">
                <c:v>USB</c:v>
              </c:pt>
            </c:strLit>
          </c:cat>
          <c:val>
            <c:numLit>
              <c:formatCode>General</c:formatCode>
              <c:ptCount val="10"/>
              <c:pt idx="0">
                <c:v>155.55000000000001</c:v>
              </c:pt>
              <c:pt idx="1">
                <c:v>175.5</c:v>
              </c:pt>
              <c:pt idx="2">
                <c:v>424</c:v>
              </c:pt>
              <c:pt idx="3">
                <c:v>186</c:v>
              </c:pt>
              <c:pt idx="4">
                <c:v>28</c:v>
              </c:pt>
              <c:pt idx="5">
                <c:v>164</c:v>
              </c:pt>
              <c:pt idx="6">
                <c:v>83</c:v>
              </c:pt>
              <c:pt idx="7">
                <c:v>192</c:v>
              </c:pt>
              <c:pt idx="8">
                <c:v>98.275000000000006</c:v>
              </c:pt>
              <c:pt idx="9">
                <c:v>41</c:v>
              </c:pt>
            </c:numLit>
          </c:val>
          <c:extLst>
            <c:ext xmlns:c16="http://schemas.microsoft.com/office/drawing/2014/chart" uri="{C3380CC4-5D6E-409C-BE32-E72D297353CC}">
              <c16:uniqueId val="{00000001-DD3E-E34F-BD2C-521418BB6B38}"/>
            </c:ext>
          </c:extLst>
        </c:ser>
        <c:ser>
          <c:idx val="1"/>
          <c:order val="1"/>
          <c:tx>
            <c:v>Sum of Forecast Revenue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1M</c:v>
              </c:pt>
              <c:pt idx="1">
                <c:v>2M</c:v>
              </c:pt>
              <c:pt idx="2">
                <c:v>B</c:v>
              </c:pt>
              <c:pt idx="3">
                <c:v>C</c:v>
              </c:pt>
              <c:pt idx="4">
                <c:v>HC</c:v>
              </c:pt>
              <c:pt idx="5">
                <c:v>LFSC</c:v>
              </c:pt>
              <c:pt idx="6">
                <c:v>M</c:v>
              </c:pt>
              <c:pt idx="7">
                <c:v>SC</c:v>
              </c:pt>
              <c:pt idx="8">
                <c:v>SM</c:v>
              </c:pt>
              <c:pt idx="9">
                <c:v>USB</c:v>
              </c:pt>
            </c:strLit>
          </c:cat>
          <c:val>
            <c:numLit>
              <c:formatCode>General</c:formatCode>
              <c:ptCount val="10"/>
              <c:pt idx="0">
                <c:v>223.49250000000001</c:v>
              </c:pt>
              <c:pt idx="1">
                <c:v>263.25</c:v>
              </c:pt>
              <c:pt idx="2">
                <c:v>742</c:v>
              </c:pt>
              <c:pt idx="3">
                <c:v>260.39999999999998</c:v>
              </c:pt>
              <c:pt idx="4">
                <c:v>49</c:v>
              </c:pt>
              <c:pt idx="5">
                <c:v>240.79999999999998</c:v>
              </c:pt>
              <c:pt idx="6">
                <c:v>121.05000000000001</c:v>
              </c:pt>
              <c:pt idx="7">
                <c:v>283.2</c:v>
              </c:pt>
              <c:pt idx="8">
                <c:v>144.22125</c:v>
              </c:pt>
              <c:pt idx="9">
                <c:v>71.75</c:v>
              </c:pt>
            </c:numLit>
          </c:val>
          <c:extLst>
            <c:ext xmlns:c16="http://schemas.microsoft.com/office/drawing/2014/chart" uri="{C3380CC4-5D6E-409C-BE32-E72D297353CC}">
              <c16:uniqueId val="{00000002-DD3E-E34F-BD2C-521418BB6B38}"/>
            </c:ext>
          </c:extLst>
        </c:ser>
        <c:ser>
          <c:idx val="2"/>
          <c:order val="2"/>
          <c:tx>
            <c:v>Sum of Profit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1M</c:v>
              </c:pt>
              <c:pt idx="1">
                <c:v>2M</c:v>
              </c:pt>
              <c:pt idx="2">
                <c:v>B</c:v>
              </c:pt>
              <c:pt idx="3">
                <c:v>C</c:v>
              </c:pt>
              <c:pt idx="4">
                <c:v>HC</c:v>
              </c:pt>
              <c:pt idx="5">
                <c:v>LFSC</c:v>
              </c:pt>
              <c:pt idx="6">
                <c:v>M</c:v>
              </c:pt>
              <c:pt idx="7">
                <c:v>SC</c:v>
              </c:pt>
              <c:pt idx="8">
                <c:v>SM</c:v>
              </c:pt>
              <c:pt idx="9">
                <c:v>USB</c:v>
              </c:pt>
            </c:strLit>
          </c:cat>
          <c:val>
            <c:numLit>
              <c:formatCode>General</c:formatCode>
              <c:ptCount val="10"/>
              <c:pt idx="0">
                <c:v>61.942499999999995</c:v>
              </c:pt>
              <c:pt idx="1">
                <c:v>79.349999999999994</c:v>
              </c:pt>
              <c:pt idx="2">
                <c:v>303.59999999999997</c:v>
              </c:pt>
              <c:pt idx="3">
                <c:v>66.399999999999991</c:v>
              </c:pt>
              <c:pt idx="4">
                <c:v>17.8</c:v>
              </c:pt>
              <c:pt idx="5">
                <c:v>67.199999999999989</c:v>
              </c:pt>
              <c:pt idx="6">
                <c:v>32.449999999999996</c:v>
              </c:pt>
              <c:pt idx="7">
                <c:v>78</c:v>
              </c:pt>
              <c:pt idx="8">
                <c:v>39.146250000000002</c:v>
              </c:pt>
              <c:pt idx="9">
                <c:v>26.75</c:v>
              </c:pt>
            </c:numLit>
          </c:val>
          <c:extLst>
            <c:ext xmlns:c16="http://schemas.microsoft.com/office/drawing/2014/chart" uri="{C3380CC4-5D6E-409C-BE32-E72D297353CC}">
              <c16:uniqueId val="{00000003-DD3E-E34F-BD2C-521418BB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498448"/>
        <c:axId val="232844192"/>
        <c:axId val="0"/>
      </c:bar3DChart>
      <c:catAx>
        <c:axId val="23349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4192"/>
        <c:crosses val="autoZero"/>
        <c:auto val="1"/>
        <c:lblAlgn val="ctr"/>
        <c:lblOffset val="100"/>
        <c:noMultiLvlLbl val="0"/>
      </c:catAx>
      <c:valAx>
        <c:axId val="2328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values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9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[Dlamini_Mothusi_Final_Exam.xlsx]WSValue!PivotTable2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Shipments 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WSValue!$C$2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C8D-DE43-88B6-581B05FF07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C8D-DE43-88B6-581B05FF07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C8D-DE43-88B6-581B05FF07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C8D-DE43-88B6-581B05FF07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WSValue!$B$3:$B$7</c:f>
              <c:strCache>
                <c:ptCount val="4"/>
                <c:pt idx="0">
                  <c:v>104</c:v>
                </c:pt>
                <c:pt idx="1">
                  <c:v>107</c:v>
                </c:pt>
                <c:pt idx="2">
                  <c:v>117</c:v>
                </c:pt>
                <c:pt idx="3">
                  <c:v>126</c:v>
                </c:pt>
              </c:strCache>
            </c:strRef>
          </c:cat>
          <c:val>
            <c:numRef>
              <c:f>WSValue!$C$3:$C$7</c:f>
              <c:numCache>
                <c:formatCode>General</c:formatCode>
                <c:ptCount val="4"/>
                <c:pt idx="0">
                  <c:v>596</c:v>
                </c:pt>
                <c:pt idx="1">
                  <c:v>60</c:v>
                </c:pt>
                <c:pt idx="2">
                  <c:v>623</c:v>
                </c:pt>
                <c:pt idx="3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5-4643-8B47-4A708B6D867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[Dlamini_Mothusi_Final_Exam.xlsx]WSValue!PivotTable3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Wholesale by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WSValue!$J$2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3ED-F745-A618-FAC0FD5A3A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3ED-F745-A618-FAC0FD5A3A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3ED-F745-A618-FAC0FD5A3A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3ED-F745-A618-FAC0FD5A3A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3ED-F745-A618-FAC0FD5A3A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3ED-F745-A618-FAC0FD5A3A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3ED-F745-A618-FAC0FD5A3AB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3ED-F745-A618-FAC0FD5A3AB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3ED-F745-A618-FAC0FD5A3AB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3ED-F745-A618-FAC0FD5A3AB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3ED-F745-A618-FAC0FD5A3AB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3ED-F745-A618-FAC0FD5A3AB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43ED-F745-A618-FAC0FD5A3AB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3ED-F745-A618-FAC0FD5A3AB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3ED-F745-A618-FAC0FD5A3AB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3ED-F745-A618-FAC0FD5A3AB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3ED-F745-A618-FAC0FD5A3A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WSValue!$I$3:$I$20</c:f>
              <c:strCache>
                <c:ptCount val="17"/>
                <c:pt idx="0">
                  <c:v>1003</c:v>
                </c:pt>
                <c:pt idx="1">
                  <c:v>1004</c:v>
                </c:pt>
                <c:pt idx="2">
                  <c:v>1008</c:v>
                </c:pt>
                <c:pt idx="3">
                  <c:v>1010</c:v>
                </c:pt>
                <c:pt idx="4">
                  <c:v>1011</c:v>
                </c:pt>
                <c:pt idx="5">
                  <c:v>1012</c:v>
                </c:pt>
                <c:pt idx="6">
                  <c:v>1014</c:v>
                </c:pt>
                <c:pt idx="7">
                  <c:v>1015</c:v>
                </c:pt>
                <c:pt idx="8">
                  <c:v>1017</c:v>
                </c:pt>
                <c:pt idx="9">
                  <c:v>1020</c:v>
                </c:pt>
                <c:pt idx="10">
                  <c:v>1021</c:v>
                </c:pt>
                <c:pt idx="11">
                  <c:v>1023</c:v>
                </c:pt>
                <c:pt idx="12">
                  <c:v>1024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1032</c:v>
                </c:pt>
              </c:strCache>
            </c:strRef>
          </c:cat>
          <c:val>
            <c:numRef>
              <c:f>WSValue!$J$3:$J$20</c:f>
              <c:numCache>
                <c:formatCode>General</c:formatCode>
                <c:ptCount val="17"/>
                <c:pt idx="0">
                  <c:v>138</c:v>
                </c:pt>
                <c:pt idx="1">
                  <c:v>48</c:v>
                </c:pt>
                <c:pt idx="2">
                  <c:v>72</c:v>
                </c:pt>
                <c:pt idx="3">
                  <c:v>120</c:v>
                </c:pt>
                <c:pt idx="4">
                  <c:v>56</c:v>
                </c:pt>
                <c:pt idx="5">
                  <c:v>108</c:v>
                </c:pt>
                <c:pt idx="6">
                  <c:v>60</c:v>
                </c:pt>
                <c:pt idx="7">
                  <c:v>23</c:v>
                </c:pt>
                <c:pt idx="8">
                  <c:v>180</c:v>
                </c:pt>
                <c:pt idx="9">
                  <c:v>90</c:v>
                </c:pt>
                <c:pt idx="10">
                  <c:v>69</c:v>
                </c:pt>
                <c:pt idx="11">
                  <c:v>80</c:v>
                </c:pt>
                <c:pt idx="12">
                  <c:v>23</c:v>
                </c:pt>
                <c:pt idx="13">
                  <c:v>364</c:v>
                </c:pt>
                <c:pt idx="14">
                  <c:v>60</c:v>
                </c:pt>
                <c:pt idx="15">
                  <c:v>41</c:v>
                </c:pt>
                <c:pt idx="1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0-5840-ACC8-DF71656FEA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431800</xdr:colOff>
      <xdr:row>16</xdr:row>
      <xdr:rowOff>82550</xdr:rowOff>
    </xdr:from>
    <xdr:to>
      <xdr:col>5</xdr:col>
      <xdr:colOff>692150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6CCF0-4AED-8B76-9CE3-084300D6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10</xdr:row>
      <xdr:rowOff>12700</xdr:rowOff>
    </xdr:from>
    <xdr:to>
      <xdr:col>6</xdr:col>
      <xdr:colOff>641350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B3FB7-FD0E-991A-9ACF-20970D28F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800100</xdr:colOff>
      <xdr:row>21</xdr:row>
      <xdr:rowOff>25400</xdr:rowOff>
    </xdr:from>
    <xdr:to>
      <xdr:col>14</xdr:col>
      <xdr:colOff>419100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8E388-9D26-78F0-1AB0-EE00DE906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thusithabela@gmail.com" refreshedDate="44683.359752199074" createdVersion="7" refreshedVersion="7" minRefreshableVersion="3" recordCount="56" xr:uid="{1AFF09BD-9F9A-4B43-9B7D-909927D362B7}">
  <cacheSource type="worksheet">
    <worksheetSource ref="B1:T57" sheet="Analysis"/>
  </cacheSource>
  <cacheFields count="19">
    <cacheField name="StoreID" numFmtId="0">
      <sharedItems containsSemiMixedTypes="0" containsString="0" containsNumber="1" containsInteger="1" minValue="104" maxValue="126" count="4">
        <n v="104"/>
        <n v="107"/>
        <n v="117"/>
        <n v="126"/>
      </sharedItems>
    </cacheField>
    <cacheField name="ZipCode" numFmtId="0">
      <sharedItems/>
    </cacheField>
    <cacheField name="Item_Number" numFmtId="0">
      <sharedItems containsSemiMixedTypes="0" containsString="0" containsNumber="1" containsInteger="1" minValue="1003" maxValue="1032" count="17">
        <n v="1017"/>
        <n v="1008"/>
        <n v="1004"/>
        <n v="1032"/>
        <n v="1021"/>
        <n v="1014"/>
        <n v="1026"/>
        <n v="1024"/>
        <n v="1003"/>
        <n v="1023"/>
        <n v="1027"/>
        <n v="1011"/>
        <n v="1012"/>
        <n v="1010"/>
        <n v="1028"/>
        <n v="1020"/>
        <n v="1015"/>
      </sharedItems>
    </cacheField>
    <cacheField name="Quantity" numFmtId="0">
      <sharedItems containsSemiMixedTypes="0" containsString="0" containsNumber="1" containsInteger="1" minValue="1" maxValue="3" count="3">
        <n v="2"/>
        <n v="1"/>
        <n v="3"/>
      </sharedItems>
    </cacheField>
    <cacheField name="Description" numFmtId="0">
      <sharedItems/>
    </cacheField>
    <cacheField name="Category" numFmtId="0">
      <sharedItems/>
    </cacheField>
    <cacheField name="Unit" numFmtId="0">
      <sharedItems/>
    </cacheField>
    <cacheField name="Container_Size" numFmtId="0">
      <sharedItems containsSemiMixedTypes="0" containsString="0" containsNumber="1" minValue="0.5" maxValue="32"/>
    </cacheField>
    <cacheField name="Containers/Case" numFmtId="0">
      <sharedItems containsSemiMixedTypes="0" containsString="0" containsNumber="1" containsInteger="1" minValue="4" maxValue="24"/>
    </cacheField>
    <cacheField name="$/Case" numFmtId="0">
      <sharedItems containsSemiMixedTypes="0" containsString="0" containsNumber="1" minValue="5.75" maxValue="26"/>
    </cacheField>
    <cacheField name="Prod_Date" numFmtId="22">
      <sharedItems containsSemiMixedTypes="0" containsNonDate="0" containsDate="1" containsString="0" minDate="2008-04-27T00:00:00" maxDate="2008-05-30T00:00:00"/>
    </cacheField>
    <cacheField name="Ship_Date" numFmtId="22">
      <sharedItems containsSemiMixedTypes="0" containsNonDate="0" containsDate="1" containsString="0" minDate="2008-05-01T00:00:00" maxDate="2008-05-31T00:00:00"/>
    </cacheField>
    <cacheField name="Shelf_Life" numFmtId="0">
      <sharedItems containsSemiMixedTypes="0" containsString="0" containsNumber="1" containsInteger="1" minValue="9" maxValue="60"/>
    </cacheField>
    <cacheField name="Chain" numFmtId="0">
      <sharedItems/>
    </cacheField>
    <cacheField name="Status" numFmtId="0">
      <sharedItems/>
    </cacheField>
    <cacheField name="Remaining Shelf Life" numFmtId="0">
      <sharedItems containsSemiMixedTypes="0" containsString="0" containsNumber="1" containsInteger="1" minValue="5" maxValue="59"/>
    </cacheField>
    <cacheField name="Shelf Life Status" numFmtId="0">
      <sharedItems/>
    </cacheField>
    <cacheField name="Wholesale Value" numFmtId="0">
      <sharedItems containsSemiMixedTypes="0" containsString="0" containsNumber="1" minValue="10" maxValue="78" count="14">
        <n v="20"/>
        <n v="24"/>
        <n v="14"/>
        <n v="11.5"/>
        <n v="10"/>
        <n v="12"/>
        <n v="52"/>
        <n v="69"/>
        <n v="30"/>
        <n v="28"/>
        <n v="54"/>
        <n v="78"/>
        <n v="60"/>
        <n v="20.5"/>
      </sharedItems>
    </cacheField>
    <cacheField name="Discounts Applied" numFmtId="0">
      <sharedItems containsSemiMixedTypes="0" containsString="0" containsNumber="1" minValue="9.7750000000000004" maxValue="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83.470380208331" createdVersion="7" refreshedVersion="7" minRefreshableVersion="3" recordCount="56" xr:uid="{86A83447-CF5C-424E-8465-04FC27EB8B5E}">
  <cacheSource type="worksheet">
    <worksheetSource name="analysis"/>
  </cacheSource>
  <cacheFields count="24">
    <cacheField name="ShipID" numFmtId="0">
      <sharedItems containsSemiMixedTypes="0" containsString="0" containsNumber="1" containsInteger="1" minValue="14955" maxValue="15364"/>
    </cacheField>
    <cacheField name="StoreID" numFmtId="0">
      <sharedItems containsSemiMixedTypes="0" containsString="0" containsNumber="1" containsInteger="1" minValue="104" maxValue="126"/>
    </cacheField>
    <cacheField name="ZipCode" numFmtId="0">
      <sharedItems/>
    </cacheField>
    <cacheField name="Item_Number" numFmtId="0">
      <sharedItems containsSemiMixedTypes="0" containsString="0" containsNumber="1" containsInteger="1" minValue="1003" maxValue="1032"/>
    </cacheField>
    <cacheField name="Quantity" numFmtId="0">
      <sharedItems containsSemiMixedTypes="0" containsString="0" containsNumber="1" containsInteger="1" minValue="1" maxValue="3"/>
    </cacheField>
    <cacheField name="Description" numFmtId="0">
      <sharedItems/>
    </cacheField>
    <cacheField name="Category" numFmtId="0">
      <sharedItems count="10">
        <s v="2M"/>
        <s v="SC"/>
        <s v="C"/>
        <s v="HC"/>
        <s v="1M"/>
        <s v="M"/>
        <s v="B"/>
        <s v="SM"/>
        <s v="LFSC"/>
        <s v="USB"/>
      </sharedItems>
    </cacheField>
    <cacheField name="Unit" numFmtId="0">
      <sharedItems/>
    </cacheField>
    <cacheField name="Container_Size" numFmtId="0">
      <sharedItems containsSemiMixedTypes="0" containsString="0" containsNumber="1" minValue="0.5" maxValue="32"/>
    </cacheField>
    <cacheField name="Containers/Case" numFmtId="0">
      <sharedItems containsSemiMixedTypes="0" containsString="0" containsNumber="1" containsInteger="1" minValue="4" maxValue="24"/>
    </cacheField>
    <cacheField name="$/Case" numFmtId="0">
      <sharedItems containsSemiMixedTypes="0" containsString="0" containsNumber="1" minValue="5.75" maxValue="26"/>
    </cacheField>
    <cacheField name="Prod_Date" numFmtId="22">
      <sharedItems containsSemiMixedTypes="0" containsNonDate="0" containsDate="1" containsString="0" minDate="2008-04-27T00:00:00" maxDate="2008-05-30T00:00:00"/>
    </cacheField>
    <cacheField name="Ship_Date" numFmtId="22">
      <sharedItems containsSemiMixedTypes="0" containsNonDate="0" containsDate="1" containsString="0" minDate="2008-05-01T00:00:00" maxDate="2008-05-31T00:00:00"/>
    </cacheField>
    <cacheField name="Shelf_Life" numFmtId="0">
      <sharedItems containsSemiMixedTypes="0" containsString="0" containsNumber="1" containsInteger="1" minValue="9" maxValue="60"/>
    </cacheField>
    <cacheField name="Chain" numFmtId="0">
      <sharedItems/>
    </cacheField>
    <cacheField name="Status" numFmtId="0">
      <sharedItems/>
    </cacheField>
    <cacheField name="Remaining Shelf Life" numFmtId="0">
      <sharedItems containsSemiMixedTypes="0" containsString="0" containsNumber="1" containsInteger="1" minValue="5" maxValue="59"/>
    </cacheField>
    <cacheField name="Shelf Life Status" numFmtId="0">
      <sharedItems/>
    </cacheField>
    <cacheField name="Wholesale Value" numFmtId="0">
      <sharedItems containsSemiMixedTypes="0" containsString="0" containsNumber="1" minValue="10" maxValue="78"/>
    </cacheField>
    <cacheField name="Modified Wholesale Value" numFmtId="0">
      <sharedItems containsSemiMixedTypes="0" containsString="0" containsNumber="1" minValue="9.7750000000000004" maxValue="78" count="17">
        <n v="20"/>
        <n v="24"/>
        <n v="14"/>
        <n v="9.7750000000000004"/>
        <n v="10"/>
        <n v="12"/>
        <n v="52"/>
        <n v="11.5"/>
        <n v="69"/>
        <n v="30"/>
        <n v="25.5"/>
        <n v="17"/>
        <n v="28"/>
        <n v="54"/>
        <n v="78"/>
        <n v="60"/>
        <n v="20.5"/>
      </sharedItems>
    </cacheField>
    <cacheField name="Categories" numFmtId="0">
      <sharedItems containsSemiMixedTypes="0" containsString="0" containsNumber="1" containsInteger="1" minValue="1" maxValue="3"/>
    </cacheField>
    <cacheField name="Markups" numFmtId="9">
      <sharedItems containsSemiMixedTypes="0" containsString="0" containsNumber="1" minValue="0.35" maxValue="0.75"/>
    </cacheField>
    <cacheField name="Forecast Revenue" numFmtId="1">
      <sharedItems containsSemiMixedTypes="0" containsString="0" containsNumber="1" minValue="13.196250000000001" maxValue="136.5" count="19">
        <n v="30"/>
        <n v="38.4"/>
        <n v="33.6"/>
        <n v="24.5"/>
        <n v="13.196250000000001"/>
        <n v="15"/>
        <n v="19.2"/>
        <n v="91"/>
        <n v="15.524999999999999"/>
        <n v="96.6"/>
        <n v="45"/>
        <n v="38.25"/>
        <n v="25.5"/>
        <n v="35"/>
        <n v="44.8"/>
        <n v="75.599999999999994"/>
        <n v="136.5"/>
        <n v="84"/>
        <n v="35.875"/>
      </sharedItems>
    </cacheField>
    <cacheField name="Profit" numFmtId="164">
      <sharedItems containsSemiMixedTypes="0" containsString="0" containsNumber="1" minValue="3.0212500000000007" maxValue="56.9" count="19">
        <n v="8.8000000000000007"/>
        <n v="11.999999999999998"/>
        <n v="8.0000000000000018"/>
        <n v="8.9"/>
        <n v="3.0212500000000007"/>
        <n v="3.8"/>
        <n v="4.7999999999999989"/>
        <n v="37.4"/>
        <n v="3.6249999999999987"/>
        <n v="25.199999999999996"/>
        <n v="13.8"/>
        <n v="11.55"/>
        <n v="7.3"/>
        <n v="13.4"/>
        <n v="14.399999999999997"/>
        <n v="19.199999999999996"/>
        <n v="56.9"/>
        <n v="22.2"/>
        <n v="13.3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s v="38837"/>
    <x v="0"/>
    <x v="0"/>
    <s v="Milk - 2% Low Fat  - 1/2 gal"/>
    <s v="2M"/>
    <s v="gallons"/>
    <n v="0.5"/>
    <n v="12"/>
    <n v="10"/>
    <d v="2008-04-30T00:00:00"/>
    <d v="2008-05-01T00:00:00"/>
    <n v="10"/>
    <s v="Best Fresh"/>
    <s v="A"/>
    <n v="9"/>
    <s v="Excellent"/>
    <x v="0"/>
    <n v="20"/>
  </r>
  <r>
    <x v="0"/>
    <s v="38837"/>
    <x v="1"/>
    <x v="0"/>
    <s v="Sour Cream - 8oz"/>
    <s v="SC"/>
    <s v="ounces"/>
    <n v="8"/>
    <n v="24"/>
    <n v="12"/>
    <d v="2008-04-27T00:00:00"/>
    <d v="2008-05-01T00:00:00"/>
    <n v="30"/>
    <s v="Best Fresh"/>
    <s v="A"/>
    <n v="26"/>
    <s v="Excellent"/>
    <x v="1"/>
    <n v="24"/>
  </r>
  <r>
    <x v="0"/>
    <s v="38837"/>
    <x v="2"/>
    <x v="1"/>
    <s v="Cottage Cheese - 32oz"/>
    <s v="C"/>
    <s v="ounces"/>
    <n v="32"/>
    <n v="16"/>
    <n v="24"/>
    <d v="2008-05-03T00:00:00"/>
    <d v="2008-05-04T00:00:00"/>
    <n v="14"/>
    <s v="Best Fresh"/>
    <s v="A"/>
    <n v="13"/>
    <s v="Excellent"/>
    <x v="1"/>
    <n v="24"/>
  </r>
  <r>
    <x v="0"/>
    <s v="38837"/>
    <x v="3"/>
    <x v="1"/>
    <s v="Heavy Cream"/>
    <s v="HC"/>
    <s v="pint"/>
    <n v="1"/>
    <n v="16"/>
    <n v="14"/>
    <d v="2008-04-30T00:00:00"/>
    <d v="2008-05-04T00:00:00"/>
    <n v="15"/>
    <s v="Best Fresh"/>
    <s v="A"/>
    <n v="11"/>
    <s v="Excellent"/>
    <x v="2"/>
    <n v="14"/>
  </r>
  <r>
    <x v="0"/>
    <s v="38837"/>
    <x v="4"/>
    <x v="0"/>
    <s v="Milk - 1% Low Fat - gal"/>
    <s v="1M"/>
    <s v="gallons"/>
    <n v="1"/>
    <n v="4"/>
    <n v="5.75"/>
    <d v="2008-05-04T00:00:00"/>
    <d v="2008-05-08T00:00:00"/>
    <n v="10"/>
    <s v="Best Fresh"/>
    <s v="A"/>
    <n v="6"/>
    <s v="Satisfactory"/>
    <x v="3"/>
    <n v="9.7750000000000004"/>
  </r>
  <r>
    <x v="0"/>
    <s v="38837"/>
    <x v="5"/>
    <x v="1"/>
    <s v="Milk - 4% Regular - 1/2 gal"/>
    <s v="M"/>
    <s v="gallons"/>
    <n v="0.5"/>
    <n v="12"/>
    <n v="10"/>
    <d v="2008-05-06T00:00:00"/>
    <d v="2008-05-08T00:00:00"/>
    <n v="12"/>
    <s v="Best Fresh"/>
    <s v="A"/>
    <n v="10"/>
    <s v="Excellent"/>
    <x v="4"/>
    <n v="10"/>
  </r>
  <r>
    <x v="0"/>
    <s v="38837"/>
    <x v="1"/>
    <x v="1"/>
    <s v="Sour Cream - 8oz"/>
    <s v="SC"/>
    <s v="ounces"/>
    <n v="8"/>
    <n v="24"/>
    <n v="12"/>
    <d v="2008-05-07T00:00:00"/>
    <d v="2008-05-11T00:00:00"/>
    <n v="30"/>
    <s v="Best Fresh"/>
    <s v="A"/>
    <n v="26"/>
    <s v="Excellent"/>
    <x v="5"/>
    <n v="12"/>
  </r>
  <r>
    <x v="0"/>
    <s v="38837"/>
    <x v="6"/>
    <x v="0"/>
    <s v="Butter - 4 sticks salted"/>
    <s v="B"/>
    <s v="pound"/>
    <n v="1"/>
    <n v="16"/>
    <n v="26"/>
    <d v="2008-05-14T00:00:00"/>
    <d v="2008-05-15T00:00:00"/>
    <n v="60"/>
    <s v="Best Fresh"/>
    <s v="A"/>
    <n v="59"/>
    <s v="Excellent"/>
    <x v="6"/>
    <n v="52"/>
  </r>
  <r>
    <x v="0"/>
    <s v="38837"/>
    <x v="7"/>
    <x v="0"/>
    <s v="Milk - Skim - gal"/>
    <s v="SM"/>
    <s v="gallons"/>
    <n v="1"/>
    <n v="4"/>
    <n v="5.75"/>
    <d v="2008-05-13T00:00:00"/>
    <d v="2008-05-15T00:00:00"/>
    <n v="9"/>
    <s v="Best Fresh"/>
    <s v="A"/>
    <n v="7"/>
    <s v="Excellent"/>
    <x v="3"/>
    <n v="11.5"/>
  </r>
  <r>
    <x v="0"/>
    <s v="38837"/>
    <x v="8"/>
    <x v="2"/>
    <s v="Cottage Cheese - 16oz"/>
    <s v="C"/>
    <s v="ounces"/>
    <n v="16"/>
    <n v="24"/>
    <n v="23"/>
    <d v="2008-05-12T00:00:00"/>
    <d v="2008-05-15T00:00:00"/>
    <n v="14"/>
    <s v="Best Fresh"/>
    <s v="A"/>
    <n v="11"/>
    <s v="Excellent"/>
    <x v="7"/>
    <n v="69"/>
  </r>
  <r>
    <x v="0"/>
    <s v="38837"/>
    <x v="9"/>
    <x v="1"/>
    <s v="Milk - Skim - 1/2 gal"/>
    <s v="SM"/>
    <s v="gallons"/>
    <n v="0.5"/>
    <n v="12"/>
    <n v="10"/>
    <d v="2008-05-14T00:00:00"/>
    <d v="2008-05-15T00:00:00"/>
    <n v="9"/>
    <s v="Best Fresh"/>
    <s v="A"/>
    <n v="8"/>
    <s v="Excellent"/>
    <x v="4"/>
    <n v="10"/>
  </r>
  <r>
    <x v="0"/>
    <s v="38837"/>
    <x v="0"/>
    <x v="2"/>
    <s v="Milk - 2% Low Fat  - 1/2 gal"/>
    <s v="2M"/>
    <s v="gallons"/>
    <n v="0.5"/>
    <n v="12"/>
    <n v="10"/>
    <d v="2008-05-13T00:00:00"/>
    <d v="2008-05-15T00:00:00"/>
    <n v="10"/>
    <s v="Best Fresh"/>
    <s v="A"/>
    <n v="8"/>
    <s v="Excellent"/>
    <x v="8"/>
    <n v="30"/>
  </r>
  <r>
    <x v="0"/>
    <s v="38837"/>
    <x v="0"/>
    <x v="0"/>
    <s v="Milk - 2% Low Fat  - 1/2 gal"/>
    <s v="2M"/>
    <s v="gallons"/>
    <n v="0.5"/>
    <n v="12"/>
    <n v="10"/>
    <d v="2008-05-17T00:00:00"/>
    <d v="2008-05-18T00:00:00"/>
    <n v="10"/>
    <s v="Best Fresh"/>
    <s v="A"/>
    <n v="9"/>
    <s v="Excellent"/>
    <x v="0"/>
    <n v="20"/>
  </r>
  <r>
    <x v="0"/>
    <s v="38837"/>
    <x v="1"/>
    <x v="0"/>
    <s v="Sour Cream - 8oz"/>
    <s v="SC"/>
    <s v="ounces"/>
    <n v="8"/>
    <n v="24"/>
    <n v="12"/>
    <d v="2008-05-14T00:00:00"/>
    <d v="2008-05-18T00:00:00"/>
    <n v="30"/>
    <s v="Best Fresh"/>
    <s v="A"/>
    <n v="26"/>
    <s v="Excellent"/>
    <x v="1"/>
    <n v="24"/>
  </r>
  <r>
    <x v="0"/>
    <s v="38837"/>
    <x v="2"/>
    <x v="1"/>
    <s v="Cottage Cheese - 32oz"/>
    <s v="C"/>
    <s v="ounces"/>
    <n v="32"/>
    <n v="16"/>
    <n v="24"/>
    <d v="2008-05-21T00:00:00"/>
    <d v="2008-05-22T00:00:00"/>
    <n v="14"/>
    <s v="Best Fresh"/>
    <s v="A"/>
    <n v="13"/>
    <s v="Excellent"/>
    <x v="1"/>
    <n v="24"/>
  </r>
  <r>
    <x v="0"/>
    <s v="38837"/>
    <x v="3"/>
    <x v="1"/>
    <s v="Heavy Cream"/>
    <s v="HC"/>
    <s v="pint"/>
    <n v="1"/>
    <n v="16"/>
    <n v="14"/>
    <d v="2008-05-18T00:00:00"/>
    <d v="2008-05-22T00:00:00"/>
    <n v="15"/>
    <s v="Best Fresh"/>
    <s v="A"/>
    <n v="11"/>
    <s v="Excellent"/>
    <x v="2"/>
    <n v="14"/>
  </r>
  <r>
    <x v="0"/>
    <s v="38837"/>
    <x v="4"/>
    <x v="0"/>
    <s v="Milk - 1% Low Fat - gal"/>
    <s v="1M"/>
    <s v="gallons"/>
    <n v="1"/>
    <n v="4"/>
    <n v="5.75"/>
    <d v="2008-05-15T00:00:00"/>
    <d v="2008-05-19T00:00:00"/>
    <n v="10"/>
    <s v="Best Fresh"/>
    <s v="A"/>
    <n v="6"/>
    <s v="Satisfactory"/>
    <x v="3"/>
    <n v="9.7750000000000004"/>
  </r>
  <r>
    <x v="0"/>
    <s v="38837"/>
    <x v="5"/>
    <x v="1"/>
    <s v="Milk - 4% Regular - 1/2 gal"/>
    <s v="M"/>
    <s v="gallons"/>
    <n v="0.5"/>
    <n v="12"/>
    <n v="10"/>
    <d v="2008-05-15T00:00:00"/>
    <d v="2008-05-19T00:00:00"/>
    <n v="12"/>
    <s v="Best Fresh"/>
    <s v="A"/>
    <n v="8"/>
    <s v="Excellent"/>
    <x v="4"/>
    <n v="10"/>
  </r>
  <r>
    <x v="0"/>
    <s v="38837"/>
    <x v="1"/>
    <x v="1"/>
    <s v="Sour Cream - 8oz"/>
    <s v="SC"/>
    <s v="ounces"/>
    <n v="8"/>
    <n v="24"/>
    <n v="12"/>
    <d v="2008-05-18T00:00:00"/>
    <d v="2008-05-22T00:00:00"/>
    <n v="30"/>
    <s v="Best Fresh"/>
    <s v="A"/>
    <n v="26"/>
    <s v="Excellent"/>
    <x v="5"/>
    <n v="12"/>
  </r>
  <r>
    <x v="0"/>
    <s v="38837"/>
    <x v="6"/>
    <x v="0"/>
    <s v="Butter - 4 sticks salted"/>
    <s v="B"/>
    <s v="pound"/>
    <n v="1"/>
    <n v="16"/>
    <n v="26"/>
    <d v="2008-05-23T00:00:00"/>
    <d v="2008-05-25T00:00:00"/>
    <n v="60"/>
    <s v="Best Fresh"/>
    <s v="A"/>
    <n v="58"/>
    <s v="Excellent"/>
    <x v="6"/>
    <n v="52"/>
  </r>
  <r>
    <x v="0"/>
    <s v="38837"/>
    <x v="7"/>
    <x v="0"/>
    <s v="Milk - Skim - gal"/>
    <s v="SM"/>
    <s v="gallons"/>
    <n v="1"/>
    <n v="4"/>
    <n v="5.75"/>
    <d v="2008-05-21T00:00:00"/>
    <d v="2008-05-25T00:00:00"/>
    <n v="9"/>
    <s v="Best Fresh"/>
    <s v="A"/>
    <n v="5"/>
    <s v="Satisfactory"/>
    <x v="3"/>
    <n v="9.7750000000000004"/>
  </r>
  <r>
    <x v="0"/>
    <s v="38837"/>
    <x v="8"/>
    <x v="2"/>
    <s v="Cottage Cheese - 16oz"/>
    <s v="C"/>
    <s v="ounces"/>
    <n v="16"/>
    <n v="24"/>
    <n v="23"/>
    <d v="2008-05-23T00:00:00"/>
    <d v="2008-05-25T00:00:00"/>
    <n v="14"/>
    <s v="Best Fresh"/>
    <s v="A"/>
    <n v="12"/>
    <s v="Excellent"/>
    <x v="7"/>
    <n v="69"/>
  </r>
  <r>
    <x v="0"/>
    <s v="38837"/>
    <x v="9"/>
    <x v="1"/>
    <s v="Milk - Skim - 1/2 gal"/>
    <s v="SM"/>
    <s v="gallons"/>
    <n v="0.5"/>
    <n v="12"/>
    <n v="10"/>
    <d v="2008-05-24T00:00:00"/>
    <d v="2008-05-25T00:00:00"/>
    <n v="9"/>
    <s v="Best Fresh"/>
    <s v="A"/>
    <n v="8"/>
    <s v="Excellent"/>
    <x v="4"/>
    <n v="10"/>
  </r>
  <r>
    <x v="0"/>
    <s v="38837"/>
    <x v="0"/>
    <x v="2"/>
    <s v="Milk - 2% Low Fat  - 1/2 gal"/>
    <s v="2M"/>
    <s v="gallons"/>
    <n v="0.5"/>
    <n v="12"/>
    <n v="10"/>
    <d v="2008-05-23T00:00:00"/>
    <d v="2008-05-25T00:00:00"/>
    <n v="10"/>
    <s v="Best Fresh"/>
    <s v="D"/>
    <n v="8"/>
    <s v="Excellent"/>
    <x v="8"/>
    <n v="30"/>
  </r>
  <r>
    <x v="0"/>
    <s v="38837"/>
    <x v="0"/>
    <x v="0"/>
    <s v="Milk - 2% Low Fat  - 1/2 gal"/>
    <s v="2M"/>
    <s v="gallons"/>
    <n v="0.5"/>
    <n v="12"/>
    <n v="10"/>
    <d v="2008-05-29T00:00:00"/>
    <d v="2008-05-30T00:00:00"/>
    <n v="10"/>
    <s v="Best Fresh"/>
    <s v="A"/>
    <n v="9"/>
    <s v="Excellent"/>
    <x v="0"/>
    <n v="20"/>
  </r>
  <r>
    <x v="1"/>
    <s v="38835"/>
    <x v="0"/>
    <x v="2"/>
    <s v="Milk - 2% Low Fat  - 1/2 gal"/>
    <s v="2M"/>
    <s v="gallons"/>
    <n v="0.5"/>
    <n v="12"/>
    <n v="10"/>
    <d v="2008-05-04T00:00:00"/>
    <d v="2008-05-08T00:00:00"/>
    <n v="10"/>
    <s v="Best Fresh"/>
    <s v="A"/>
    <n v="6"/>
    <s v="Satisfactory"/>
    <x v="8"/>
    <n v="25.5"/>
  </r>
  <r>
    <x v="1"/>
    <s v="38835"/>
    <x v="0"/>
    <x v="2"/>
    <s v="Milk - 2% Low Fat  - 1/2 gal"/>
    <s v="2M"/>
    <s v="gallons"/>
    <n v="0.5"/>
    <n v="12"/>
    <n v="10"/>
    <d v="2008-05-17T00:00:00"/>
    <d v="2008-05-19T00:00:00"/>
    <n v="10"/>
    <s v="Best Fresh"/>
    <s v="A"/>
    <n v="8"/>
    <s v="Excellent"/>
    <x v="8"/>
    <n v="30"/>
  </r>
  <r>
    <x v="2"/>
    <s v="38837"/>
    <x v="9"/>
    <x v="0"/>
    <s v="Milk - Skim - 1/2 gal"/>
    <s v="SM"/>
    <s v="gallons"/>
    <n v="0.5"/>
    <n v="12"/>
    <n v="10"/>
    <d v="2008-04-28T00:00:00"/>
    <d v="2008-05-01T00:00:00"/>
    <n v="9"/>
    <s v="Best Fresh"/>
    <s v="A"/>
    <n v="6"/>
    <s v="Satisfactory"/>
    <x v="0"/>
    <n v="17"/>
  </r>
  <r>
    <x v="2"/>
    <s v="38837"/>
    <x v="10"/>
    <x v="1"/>
    <s v="Butter - Tub whipped salted"/>
    <s v="B"/>
    <s v="pound"/>
    <n v="0.5"/>
    <n v="16"/>
    <n v="20"/>
    <d v="2008-04-30T00:00:00"/>
    <d v="2008-05-04T00:00:00"/>
    <n v="60"/>
    <s v="Best Fresh"/>
    <s v="A"/>
    <n v="56"/>
    <s v="Excellent"/>
    <x v="0"/>
    <n v="20"/>
  </r>
  <r>
    <x v="2"/>
    <s v="38837"/>
    <x v="11"/>
    <x v="0"/>
    <s v="Low Fat Sour Cream - 8oz"/>
    <s v="LFSC"/>
    <s v="ounces"/>
    <n v="8"/>
    <n v="24"/>
    <n v="14"/>
    <d v="2008-05-03T00:00:00"/>
    <d v="2008-05-04T00:00:00"/>
    <n v="30"/>
    <s v="Best Fresh"/>
    <s v="A"/>
    <n v="29"/>
    <s v="Excellent"/>
    <x v="9"/>
    <n v="28"/>
  </r>
  <r>
    <x v="2"/>
    <s v="38837"/>
    <x v="4"/>
    <x v="0"/>
    <s v="Milk - 1% Low Fat - gal"/>
    <s v="1M"/>
    <s v="gallons"/>
    <n v="1"/>
    <n v="4"/>
    <n v="5.75"/>
    <d v="2008-05-05T00:00:00"/>
    <d v="2008-05-08T00:00:00"/>
    <n v="10"/>
    <s v="Best Fresh"/>
    <s v="A"/>
    <n v="7"/>
    <s v="Excellent"/>
    <x v="3"/>
    <n v="11.5"/>
  </r>
  <r>
    <x v="2"/>
    <s v="38837"/>
    <x v="12"/>
    <x v="2"/>
    <s v="Low Fat Sour Cream - 16oz"/>
    <s v="LFSC"/>
    <s v="ounces"/>
    <n v="16"/>
    <n v="24"/>
    <n v="18"/>
    <d v="2008-05-07T00:00:00"/>
    <d v="2008-05-08T00:00:00"/>
    <n v="30"/>
    <s v="Best Fresh"/>
    <s v="A"/>
    <n v="29"/>
    <s v="Excellent"/>
    <x v="10"/>
    <n v="54"/>
  </r>
  <r>
    <x v="2"/>
    <s v="38837"/>
    <x v="6"/>
    <x v="2"/>
    <s v="Butter - 4 sticks salted"/>
    <s v="B"/>
    <s v="pound"/>
    <n v="1"/>
    <n v="16"/>
    <n v="26"/>
    <d v="2008-05-05T00:00:00"/>
    <d v="2008-05-08T00:00:00"/>
    <n v="60"/>
    <s v="Best Fresh"/>
    <s v="A"/>
    <n v="57"/>
    <s v="Excellent"/>
    <x v="11"/>
    <n v="78"/>
  </r>
  <r>
    <x v="2"/>
    <s v="38837"/>
    <x v="13"/>
    <x v="2"/>
    <s v="Sour Cream - 32oz"/>
    <s v="SC"/>
    <s v="ounces"/>
    <n v="32"/>
    <n v="18"/>
    <n v="20"/>
    <d v="2008-05-04T00:00:00"/>
    <d v="2008-05-08T00:00:00"/>
    <n v="30"/>
    <s v="Best Fresh"/>
    <s v="A"/>
    <n v="26"/>
    <s v="Excellent"/>
    <x v="12"/>
    <n v="60"/>
  </r>
  <r>
    <x v="2"/>
    <s v="38837"/>
    <x v="5"/>
    <x v="0"/>
    <s v="Milk - 4% Regular - 1/2 gal"/>
    <s v="M"/>
    <s v="gallons"/>
    <n v="0.5"/>
    <n v="12"/>
    <n v="10"/>
    <d v="2008-05-12T00:00:00"/>
    <d v="2008-05-15T00:00:00"/>
    <n v="12"/>
    <s v="Best Fresh"/>
    <s v="A"/>
    <n v="9"/>
    <s v="Excellent"/>
    <x v="0"/>
    <n v="20"/>
  </r>
  <r>
    <x v="2"/>
    <s v="38837"/>
    <x v="9"/>
    <x v="0"/>
    <s v="Milk - Skim - 1/2 gal"/>
    <s v="SM"/>
    <s v="gallons"/>
    <n v="0.5"/>
    <n v="12"/>
    <n v="10"/>
    <d v="2008-05-17T00:00:00"/>
    <d v="2008-05-18T00:00:00"/>
    <n v="9"/>
    <s v="Best Fresh"/>
    <s v="A"/>
    <n v="8"/>
    <s v="Excellent"/>
    <x v="0"/>
    <n v="20"/>
  </r>
  <r>
    <x v="2"/>
    <s v="38837"/>
    <x v="10"/>
    <x v="1"/>
    <s v="Butter - Tub whipped salted"/>
    <s v="B"/>
    <s v="pound"/>
    <n v="0.5"/>
    <n v="16"/>
    <n v="20"/>
    <d v="2008-05-18T00:00:00"/>
    <d v="2008-05-22T00:00:00"/>
    <n v="60"/>
    <s v="Best Fresh"/>
    <s v="A"/>
    <n v="56"/>
    <s v="Excellent"/>
    <x v="0"/>
    <n v="20"/>
  </r>
  <r>
    <x v="2"/>
    <s v="38837"/>
    <x v="10"/>
    <x v="1"/>
    <s v="Butter - Tub whipped salted"/>
    <s v="B"/>
    <s v="pound"/>
    <n v="0.5"/>
    <n v="16"/>
    <n v="20"/>
    <d v="2008-05-20T00:00:00"/>
    <d v="2008-05-22T00:00:00"/>
    <n v="60"/>
    <s v="Best Fresh"/>
    <s v="A"/>
    <n v="58"/>
    <s v="Excellent"/>
    <x v="0"/>
    <n v="20"/>
  </r>
  <r>
    <x v="2"/>
    <s v="38837"/>
    <x v="11"/>
    <x v="0"/>
    <s v="Low Fat Sour Cream - 8oz"/>
    <s v="LFSC"/>
    <s v="ounces"/>
    <n v="8"/>
    <n v="24"/>
    <n v="14"/>
    <d v="2008-05-20T00:00:00"/>
    <d v="2008-05-22T00:00:00"/>
    <n v="30"/>
    <s v="Best Fresh"/>
    <s v="A"/>
    <n v="28"/>
    <s v="Excellent"/>
    <x v="9"/>
    <n v="28"/>
  </r>
  <r>
    <x v="2"/>
    <s v="38837"/>
    <x v="4"/>
    <x v="0"/>
    <s v="Milk - 1% Low Fat - gal"/>
    <s v="1M"/>
    <s v="gallons"/>
    <n v="1"/>
    <n v="4"/>
    <n v="5.75"/>
    <d v="2008-05-17T00:00:00"/>
    <d v="2008-05-19T00:00:00"/>
    <n v="10"/>
    <s v="Best Fresh"/>
    <s v="A"/>
    <n v="8"/>
    <s v="Excellent"/>
    <x v="3"/>
    <n v="11.5"/>
  </r>
  <r>
    <x v="2"/>
    <s v="38837"/>
    <x v="12"/>
    <x v="2"/>
    <s v="Low Fat Sour Cream - 16oz"/>
    <s v="LFSC"/>
    <s v="ounces"/>
    <n v="16"/>
    <n v="24"/>
    <n v="18"/>
    <d v="2008-05-17T00:00:00"/>
    <d v="2008-05-19T00:00:00"/>
    <n v="30"/>
    <s v="Best Fresh"/>
    <s v="A"/>
    <n v="28"/>
    <s v="Excellent"/>
    <x v="10"/>
    <n v="54"/>
  </r>
  <r>
    <x v="2"/>
    <s v="38837"/>
    <x v="6"/>
    <x v="2"/>
    <s v="Butter - 4 sticks salted"/>
    <s v="B"/>
    <s v="pound"/>
    <n v="1"/>
    <n v="16"/>
    <n v="26"/>
    <d v="2008-05-17T00:00:00"/>
    <d v="2008-05-19T00:00:00"/>
    <n v="60"/>
    <s v="Best Fresh"/>
    <s v="A"/>
    <n v="58"/>
    <s v="Excellent"/>
    <x v="11"/>
    <n v="78"/>
  </r>
  <r>
    <x v="2"/>
    <s v="38837"/>
    <x v="13"/>
    <x v="2"/>
    <s v="Sour Cream - 32oz"/>
    <s v="SC"/>
    <s v="ounces"/>
    <n v="32"/>
    <n v="18"/>
    <n v="20"/>
    <d v="2008-05-16T00:00:00"/>
    <d v="2008-05-19T00:00:00"/>
    <n v="30"/>
    <s v="Best Fresh"/>
    <s v="A"/>
    <n v="27"/>
    <s v="Excellent"/>
    <x v="12"/>
    <n v="60"/>
  </r>
  <r>
    <x v="2"/>
    <s v="38837"/>
    <x v="5"/>
    <x v="0"/>
    <s v="Milk - 4% Regular - 1/2 gal"/>
    <s v="M"/>
    <s v="gallons"/>
    <n v="0.5"/>
    <n v="12"/>
    <n v="10"/>
    <d v="2008-05-24T00:00:00"/>
    <d v="2008-05-25T00:00:00"/>
    <n v="12"/>
    <s v="Best Fresh"/>
    <s v="A"/>
    <n v="11"/>
    <s v="Excellent"/>
    <x v="0"/>
    <n v="20"/>
  </r>
  <r>
    <x v="2"/>
    <s v="38837"/>
    <x v="9"/>
    <x v="0"/>
    <s v="Milk - Skim - 1/2 gal"/>
    <s v="SM"/>
    <s v="gallons"/>
    <n v="0.5"/>
    <n v="12"/>
    <n v="10"/>
    <d v="2008-05-29T00:00:00"/>
    <d v="2008-05-30T00:00:00"/>
    <n v="9"/>
    <s v="Best Fresh"/>
    <s v="A"/>
    <n v="8"/>
    <s v="Excellent"/>
    <x v="0"/>
    <n v="20"/>
  </r>
  <r>
    <x v="3"/>
    <s v="38839"/>
    <x v="14"/>
    <x v="1"/>
    <s v="Butter - 2 sticks salted"/>
    <s v="USB"/>
    <s v="pound"/>
    <n v="0.5"/>
    <n v="20"/>
    <n v="20.5"/>
    <d v="2008-04-30T00:00:00"/>
    <d v="2008-05-01T00:00:00"/>
    <n v="60"/>
    <s v="Best Fresh"/>
    <s v="A"/>
    <n v="59"/>
    <s v="Excellent"/>
    <x v="13"/>
    <n v="20.5"/>
  </r>
  <r>
    <x v="3"/>
    <s v="38839"/>
    <x v="15"/>
    <x v="2"/>
    <s v="Milk - 1% Low Fat  - 1/2 gal"/>
    <s v="1M"/>
    <s v="gallons"/>
    <n v="0.5"/>
    <n v="12"/>
    <n v="10"/>
    <d v="2008-04-30T00:00:00"/>
    <d v="2008-05-01T00:00:00"/>
    <n v="10"/>
    <s v="Best Fresh"/>
    <s v="A"/>
    <n v="9"/>
    <s v="Excellent"/>
    <x v="8"/>
    <n v="30"/>
  </r>
  <r>
    <x v="3"/>
    <s v="38839"/>
    <x v="4"/>
    <x v="0"/>
    <s v="Milk - 1% Low Fat - gal"/>
    <s v="1M"/>
    <s v="gallons"/>
    <n v="1"/>
    <n v="4"/>
    <n v="5.75"/>
    <d v="2008-05-03T00:00:00"/>
    <d v="2008-05-04T00:00:00"/>
    <n v="10"/>
    <s v="Best Fresh"/>
    <s v="A"/>
    <n v="9"/>
    <s v="Excellent"/>
    <x v="3"/>
    <n v="11.5"/>
  </r>
  <r>
    <x v="3"/>
    <s v="38839"/>
    <x v="16"/>
    <x v="0"/>
    <s v="Milk - 4% Regular - gal"/>
    <s v="M"/>
    <s v="gallons"/>
    <n v="1"/>
    <n v="4"/>
    <n v="5.75"/>
    <d v="2008-05-05T00:00:00"/>
    <d v="2008-05-08T00:00:00"/>
    <n v="12"/>
    <s v="Best Fresh"/>
    <s v="A"/>
    <n v="9"/>
    <s v="Excellent"/>
    <x v="3"/>
    <n v="11.5"/>
  </r>
  <r>
    <x v="3"/>
    <s v="38839"/>
    <x v="6"/>
    <x v="0"/>
    <s v="Butter - 4 sticks salted"/>
    <s v="B"/>
    <s v="pound"/>
    <n v="1"/>
    <n v="16"/>
    <n v="26"/>
    <d v="2008-05-15T00:00:00"/>
    <d v="2008-05-18T00:00:00"/>
    <n v="60"/>
    <s v="Best Fresh"/>
    <s v="A"/>
    <n v="57"/>
    <s v="Excellent"/>
    <x v="6"/>
    <n v="52"/>
  </r>
  <r>
    <x v="3"/>
    <s v="38839"/>
    <x v="14"/>
    <x v="1"/>
    <s v="Butter - 2 sticks salted"/>
    <s v="USB"/>
    <s v="pound"/>
    <n v="0.5"/>
    <n v="20"/>
    <n v="20.5"/>
    <d v="2008-05-14T00:00:00"/>
    <d v="2008-05-18T00:00:00"/>
    <n v="60"/>
    <s v="Best Fresh"/>
    <s v="A"/>
    <n v="56"/>
    <s v="Excellent"/>
    <x v="13"/>
    <n v="20.5"/>
  </r>
  <r>
    <x v="3"/>
    <s v="38839"/>
    <x v="15"/>
    <x v="2"/>
    <s v="Milk - 1% Low Fat  - 1/2 gal"/>
    <s v="1M"/>
    <s v="gallons"/>
    <n v="0.5"/>
    <n v="12"/>
    <n v="10"/>
    <d v="2008-05-17T00:00:00"/>
    <d v="2008-05-18T00:00:00"/>
    <n v="10"/>
    <s v="Best Fresh"/>
    <s v="A"/>
    <n v="9"/>
    <s v="Excellent"/>
    <x v="8"/>
    <n v="30"/>
  </r>
  <r>
    <x v="3"/>
    <s v="38839"/>
    <x v="4"/>
    <x v="0"/>
    <s v="Milk - 1% Low Fat - gal"/>
    <s v="1M"/>
    <s v="gallons"/>
    <n v="1"/>
    <n v="4"/>
    <n v="5.75"/>
    <d v="2008-05-20T00:00:00"/>
    <d v="2008-05-22T00:00:00"/>
    <n v="10"/>
    <s v="Best Fresh"/>
    <s v="A"/>
    <n v="8"/>
    <s v="Excellent"/>
    <x v="3"/>
    <n v="11.5"/>
  </r>
  <r>
    <x v="3"/>
    <s v="38839"/>
    <x v="16"/>
    <x v="0"/>
    <s v="Milk - 4% Regular - gal"/>
    <s v="M"/>
    <s v="gallons"/>
    <n v="1"/>
    <n v="4"/>
    <n v="5.75"/>
    <d v="2008-05-14T00:00:00"/>
    <d v="2008-05-16T00:00:00"/>
    <n v="12"/>
    <s v="Best Fresh"/>
    <s v="A"/>
    <n v="10"/>
    <s v="Excellent"/>
    <x v="3"/>
    <n v="11.5"/>
  </r>
  <r>
    <x v="3"/>
    <s v="38839"/>
    <x v="6"/>
    <x v="0"/>
    <s v="Butter - 4 sticks salted"/>
    <s v="B"/>
    <s v="pound"/>
    <n v="1"/>
    <n v="16"/>
    <n v="26"/>
    <d v="2008-05-28T00:00:00"/>
    <d v="2008-05-30T00:00:00"/>
    <n v="60"/>
    <s v="Best Fresh"/>
    <s v="A"/>
    <n v="58"/>
    <s v="Excellent"/>
    <x v="6"/>
    <n v="52"/>
  </r>
  <r>
    <x v="3"/>
    <s v="38839"/>
    <x v="15"/>
    <x v="2"/>
    <s v="Milk - 1% Low Fat  - 1/2 gal"/>
    <s v="1M"/>
    <s v="gallons"/>
    <n v="0.5"/>
    <n v="12"/>
    <n v="10"/>
    <d v="2008-05-27T00:00:00"/>
    <d v="2008-05-30T00:00:00"/>
    <n v="10"/>
    <s v="Best Fresh"/>
    <s v="A"/>
    <n v="7"/>
    <s v="Excellent"/>
    <x v="8"/>
    <n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n v="14955"/>
    <n v="104"/>
    <s v="38837"/>
    <n v="1017"/>
    <n v="2"/>
    <s v="Milk - 2% Low Fat  - 1/2 gal"/>
    <x v="0"/>
    <s v="gallons"/>
    <n v="0.5"/>
    <n v="12"/>
    <n v="10"/>
    <d v="2008-04-30T00:00:00"/>
    <d v="2008-05-01T00:00:00"/>
    <n v="10"/>
    <s v="Best Fresh"/>
    <s v="A"/>
    <n v="9"/>
    <s v="Excellent"/>
    <n v="20"/>
    <x v="0"/>
    <n v="2"/>
    <n v="0.5"/>
    <x v="0"/>
    <x v="0"/>
  </r>
  <r>
    <n v="14968"/>
    <n v="104"/>
    <s v="38837"/>
    <n v="1008"/>
    <n v="2"/>
    <s v="Sour Cream - 8oz"/>
    <x v="1"/>
    <s v="ounces"/>
    <n v="8"/>
    <n v="24"/>
    <n v="12"/>
    <d v="2008-04-27T00:00:00"/>
    <d v="2008-05-01T00:00:00"/>
    <n v="30"/>
    <s v="Best Fresh"/>
    <s v="A"/>
    <n v="26"/>
    <s v="Excellent"/>
    <n v="24"/>
    <x v="1"/>
    <n v="1"/>
    <n v="0.6"/>
    <x v="1"/>
    <x v="1"/>
  </r>
  <r>
    <n v="14984"/>
    <n v="104"/>
    <s v="38837"/>
    <n v="1004"/>
    <n v="1"/>
    <s v="Cottage Cheese - 32oz"/>
    <x v="2"/>
    <s v="ounces"/>
    <n v="32"/>
    <n v="16"/>
    <n v="24"/>
    <d v="2008-05-03T00:00:00"/>
    <d v="2008-05-04T00:00:00"/>
    <n v="14"/>
    <s v="Best Fresh"/>
    <s v="A"/>
    <n v="13"/>
    <s v="Excellent"/>
    <n v="24"/>
    <x v="1"/>
    <n v="1"/>
    <n v="0.4"/>
    <x v="2"/>
    <x v="2"/>
  </r>
  <r>
    <n v="14987"/>
    <n v="104"/>
    <s v="38837"/>
    <n v="1032"/>
    <n v="1"/>
    <s v="Heavy Cream"/>
    <x v="3"/>
    <s v="pint"/>
    <n v="1"/>
    <n v="16"/>
    <n v="14"/>
    <d v="2008-04-30T00:00:00"/>
    <d v="2008-05-04T00:00:00"/>
    <n v="15"/>
    <s v="Best Fresh"/>
    <s v="A"/>
    <n v="11"/>
    <s v="Excellent"/>
    <n v="14"/>
    <x v="2"/>
    <n v="3"/>
    <n v="0.75"/>
    <x v="3"/>
    <x v="3"/>
  </r>
  <r>
    <n v="15032"/>
    <n v="104"/>
    <s v="38837"/>
    <n v="1021"/>
    <n v="2"/>
    <s v="Milk - 1% Low Fat - gal"/>
    <x v="4"/>
    <s v="gallons"/>
    <n v="1"/>
    <n v="4"/>
    <n v="5.75"/>
    <d v="2008-05-04T00:00:00"/>
    <d v="2008-05-08T00:00:00"/>
    <n v="10"/>
    <s v="Best Fresh"/>
    <s v="A"/>
    <n v="6"/>
    <s v="Satisfactory"/>
    <n v="11.5"/>
    <x v="3"/>
    <n v="2"/>
    <n v="0.35"/>
    <x v="4"/>
    <x v="4"/>
  </r>
  <r>
    <n v="15062"/>
    <n v="104"/>
    <s v="38837"/>
    <n v="1014"/>
    <n v="1"/>
    <s v="Milk - 4% Regular - 1/2 gal"/>
    <x v="5"/>
    <s v="gallons"/>
    <n v="0.5"/>
    <n v="12"/>
    <n v="10"/>
    <d v="2008-05-06T00:00:00"/>
    <d v="2008-05-08T00:00:00"/>
    <n v="12"/>
    <s v="Best Fresh"/>
    <s v="A"/>
    <n v="10"/>
    <s v="Excellent"/>
    <n v="10"/>
    <x v="4"/>
    <n v="2"/>
    <n v="0.5"/>
    <x v="5"/>
    <x v="5"/>
  </r>
  <r>
    <n v="15105"/>
    <n v="104"/>
    <s v="38837"/>
    <n v="1008"/>
    <n v="1"/>
    <s v="Sour Cream - 8oz"/>
    <x v="1"/>
    <s v="ounces"/>
    <n v="8"/>
    <n v="24"/>
    <n v="12"/>
    <d v="2008-05-07T00:00:00"/>
    <d v="2008-05-11T00:00:00"/>
    <n v="30"/>
    <s v="Best Fresh"/>
    <s v="A"/>
    <n v="26"/>
    <s v="Excellent"/>
    <n v="12"/>
    <x v="5"/>
    <n v="1"/>
    <n v="0.6"/>
    <x v="6"/>
    <x v="6"/>
  </r>
  <r>
    <n v="15120"/>
    <n v="104"/>
    <s v="38837"/>
    <n v="1026"/>
    <n v="2"/>
    <s v="Butter - 4 sticks salted"/>
    <x v="6"/>
    <s v="pound"/>
    <n v="1"/>
    <n v="16"/>
    <n v="26"/>
    <d v="2008-05-14T00:00:00"/>
    <d v="2008-05-15T00:00:00"/>
    <n v="60"/>
    <s v="Best Fresh"/>
    <s v="A"/>
    <n v="59"/>
    <s v="Excellent"/>
    <n v="52"/>
    <x v="6"/>
    <n v="3"/>
    <n v="0.75"/>
    <x v="7"/>
    <x v="7"/>
  </r>
  <r>
    <n v="15121"/>
    <n v="104"/>
    <s v="38837"/>
    <n v="1024"/>
    <n v="2"/>
    <s v="Milk - Skim - gal"/>
    <x v="7"/>
    <s v="gallons"/>
    <n v="1"/>
    <n v="4"/>
    <n v="5.75"/>
    <d v="2008-05-13T00:00:00"/>
    <d v="2008-05-15T00:00:00"/>
    <n v="9"/>
    <s v="Best Fresh"/>
    <s v="A"/>
    <n v="7"/>
    <s v="Excellent"/>
    <n v="11.5"/>
    <x v="7"/>
    <n v="2"/>
    <n v="0.35"/>
    <x v="8"/>
    <x v="8"/>
  </r>
  <r>
    <n v="15130"/>
    <n v="104"/>
    <s v="38837"/>
    <n v="1003"/>
    <n v="3"/>
    <s v="Cottage Cheese - 16oz"/>
    <x v="2"/>
    <s v="ounces"/>
    <n v="16"/>
    <n v="24"/>
    <n v="23"/>
    <d v="2008-05-12T00:00:00"/>
    <d v="2008-05-15T00:00:00"/>
    <n v="14"/>
    <s v="Best Fresh"/>
    <s v="A"/>
    <n v="11"/>
    <s v="Excellent"/>
    <n v="69"/>
    <x v="8"/>
    <n v="1"/>
    <n v="0.4"/>
    <x v="9"/>
    <x v="9"/>
  </r>
  <r>
    <n v="15134"/>
    <n v="104"/>
    <s v="38837"/>
    <n v="1023"/>
    <n v="1"/>
    <s v="Milk - Skim - 1/2 gal"/>
    <x v="7"/>
    <s v="gallons"/>
    <n v="0.5"/>
    <n v="12"/>
    <n v="10"/>
    <d v="2008-05-14T00:00:00"/>
    <d v="2008-05-15T00:00:00"/>
    <n v="9"/>
    <s v="Best Fresh"/>
    <s v="A"/>
    <n v="8"/>
    <s v="Excellent"/>
    <n v="10"/>
    <x v="4"/>
    <n v="2"/>
    <n v="0.5"/>
    <x v="5"/>
    <x v="5"/>
  </r>
  <r>
    <n v="15135"/>
    <n v="104"/>
    <s v="38837"/>
    <n v="1017"/>
    <n v="3"/>
    <s v="Milk - 2% Low Fat  - 1/2 gal"/>
    <x v="0"/>
    <s v="gallons"/>
    <n v="0.5"/>
    <n v="12"/>
    <n v="10"/>
    <d v="2008-05-13T00:00:00"/>
    <d v="2008-05-15T00:00:00"/>
    <n v="10"/>
    <s v="Best Fresh"/>
    <s v="A"/>
    <n v="8"/>
    <s v="Excellent"/>
    <n v="30"/>
    <x v="9"/>
    <n v="2"/>
    <n v="0.5"/>
    <x v="10"/>
    <x v="10"/>
  </r>
  <r>
    <n v="15154"/>
    <n v="104"/>
    <s v="38837"/>
    <n v="1017"/>
    <n v="2"/>
    <s v="Milk - 2% Low Fat  - 1/2 gal"/>
    <x v="0"/>
    <s v="gallons"/>
    <n v="0.5"/>
    <n v="12"/>
    <n v="10"/>
    <d v="2008-05-17T00:00:00"/>
    <d v="2008-05-18T00:00:00"/>
    <n v="10"/>
    <s v="Best Fresh"/>
    <s v="A"/>
    <n v="9"/>
    <s v="Excellent"/>
    <n v="20"/>
    <x v="0"/>
    <n v="2"/>
    <n v="0.5"/>
    <x v="0"/>
    <x v="0"/>
  </r>
  <r>
    <n v="15167"/>
    <n v="104"/>
    <s v="38837"/>
    <n v="1008"/>
    <n v="2"/>
    <s v="Sour Cream - 8oz"/>
    <x v="1"/>
    <s v="ounces"/>
    <n v="8"/>
    <n v="24"/>
    <n v="12"/>
    <d v="2008-05-14T00:00:00"/>
    <d v="2008-05-18T00:00:00"/>
    <n v="30"/>
    <s v="Best Fresh"/>
    <s v="A"/>
    <n v="26"/>
    <s v="Excellent"/>
    <n v="24"/>
    <x v="1"/>
    <n v="1"/>
    <n v="0.6"/>
    <x v="1"/>
    <x v="1"/>
  </r>
  <r>
    <n v="15183"/>
    <n v="104"/>
    <s v="38837"/>
    <n v="1004"/>
    <n v="1"/>
    <s v="Cottage Cheese - 32oz"/>
    <x v="2"/>
    <s v="ounces"/>
    <n v="32"/>
    <n v="16"/>
    <n v="24"/>
    <d v="2008-05-21T00:00:00"/>
    <d v="2008-05-22T00:00:00"/>
    <n v="14"/>
    <s v="Best Fresh"/>
    <s v="A"/>
    <n v="13"/>
    <s v="Excellent"/>
    <n v="24"/>
    <x v="1"/>
    <n v="1"/>
    <n v="0.4"/>
    <x v="2"/>
    <x v="2"/>
  </r>
  <r>
    <n v="15186"/>
    <n v="104"/>
    <s v="38837"/>
    <n v="1032"/>
    <n v="1"/>
    <s v="Heavy Cream"/>
    <x v="3"/>
    <s v="pint"/>
    <n v="1"/>
    <n v="16"/>
    <n v="14"/>
    <d v="2008-05-18T00:00:00"/>
    <d v="2008-05-22T00:00:00"/>
    <n v="15"/>
    <s v="Best Fresh"/>
    <s v="A"/>
    <n v="11"/>
    <s v="Excellent"/>
    <n v="14"/>
    <x v="2"/>
    <n v="3"/>
    <n v="0.75"/>
    <x v="3"/>
    <x v="3"/>
  </r>
  <r>
    <n v="15231"/>
    <n v="104"/>
    <s v="38837"/>
    <n v="1021"/>
    <n v="2"/>
    <s v="Milk - 1% Low Fat - gal"/>
    <x v="4"/>
    <s v="gallons"/>
    <n v="1"/>
    <n v="4"/>
    <n v="5.75"/>
    <d v="2008-05-15T00:00:00"/>
    <d v="2008-05-19T00:00:00"/>
    <n v="10"/>
    <s v="Best Fresh"/>
    <s v="A"/>
    <n v="6"/>
    <s v="Satisfactory"/>
    <n v="11.5"/>
    <x v="3"/>
    <n v="2"/>
    <n v="0.35"/>
    <x v="4"/>
    <x v="4"/>
  </r>
  <r>
    <n v="15261"/>
    <n v="104"/>
    <s v="38837"/>
    <n v="1014"/>
    <n v="1"/>
    <s v="Milk - 4% Regular - 1/2 gal"/>
    <x v="5"/>
    <s v="gallons"/>
    <n v="0.5"/>
    <n v="12"/>
    <n v="10"/>
    <d v="2008-05-15T00:00:00"/>
    <d v="2008-05-19T00:00:00"/>
    <n v="12"/>
    <s v="Best Fresh"/>
    <s v="A"/>
    <n v="8"/>
    <s v="Excellent"/>
    <n v="10"/>
    <x v="4"/>
    <n v="2"/>
    <n v="0.5"/>
    <x v="5"/>
    <x v="5"/>
  </r>
  <r>
    <n v="15304"/>
    <n v="104"/>
    <s v="38837"/>
    <n v="1008"/>
    <n v="1"/>
    <s v="Sour Cream - 8oz"/>
    <x v="1"/>
    <s v="ounces"/>
    <n v="8"/>
    <n v="24"/>
    <n v="12"/>
    <d v="2008-05-18T00:00:00"/>
    <d v="2008-05-22T00:00:00"/>
    <n v="30"/>
    <s v="Best Fresh"/>
    <s v="A"/>
    <n v="26"/>
    <s v="Excellent"/>
    <n v="12"/>
    <x v="5"/>
    <n v="1"/>
    <n v="0.6"/>
    <x v="6"/>
    <x v="6"/>
  </r>
  <r>
    <n v="15319"/>
    <n v="104"/>
    <s v="38837"/>
    <n v="1026"/>
    <n v="2"/>
    <s v="Butter - 4 sticks salted"/>
    <x v="6"/>
    <s v="pound"/>
    <n v="1"/>
    <n v="16"/>
    <n v="26"/>
    <d v="2008-05-23T00:00:00"/>
    <d v="2008-05-25T00:00:00"/>
    <n v="60"/>
    <s v="Best Fresh"/>
    <s v="A"/>
    <n v="58"/>
    <s v="Excellent"/>
    <n v="52"/>
    <x v="6"/>
    <n v="3"/>
    <n v="0.75"/>
    <x v="7"/>
    <x v="7"/>
  </r>
  <r>
    <n v="15320"/>
    <n v="104"/>
    <s v="38837"/>
    <n v="1024"/>
    <n v="2"/>
    <s v="Milk - Skim - gal"/>
    <x v="7"/>
    <s v="gallons"/>
    <n v="1"/>
    <n v="4"/>
    <n v="5.75"/>
    <d v="2008-05-21T00:00:00"/>
    <d v="2008-05-25T00:00:00"/>
    <n v="9"/>
    <s v="Best Fresh"/>
    <s v="A"/>
    <n v="5"/>
    <s v="Satisfactory"/>
    <n v="11.5"/>
    <x v="3"/>
    <n v="2"/>
    <n v="0.35"/>
    <x v="4"/>
    <x v="4"/>
  </r>
  <r>
    <n v="15329"/>
    <n v="104"/>
    <s v="38837"/>
    <n v="1003"/>
    <n v="3"/>
    <s v="Cottage Cheese - 16oz"/>
    <x v="2"/>
    <s v="ounces"/>
    <n v="16"/>
    <n v="24"/>
    <n v="23"/>
    <d v="2008-05-23T00:00:00"/>
    <d v="2008-05-25T00:00:00"/>
    <n v="14"/>
    <s v="Best Fresh"/>
    <s v="A"/>
    <n v="12"/>
    <s v="Excellent"/>
    <n v="69"/>
    <x v="8"/>
    <n v="1"/>
    <n v="0.4"/>
    <x v="9"/>
    <x v="9"/>
  </r>
  <r>
    <n v="15333"/>
    <n v="104"/>
    <s v="38837"/>
    <n v="1023"/>
    <n v="1"/>
    <s v="Milk - Skim - 1/2 gal"/>
    <x v="7"/>
    <s v="gallons"/>
    <n v="0.5"/>
    <n v="12"/>
    <n v="10"/>
    <d v="2008-05-24T00:00:00"/>
    <d v="2008-05-25T00:00:00"/>
    <n v="9"/>
    <s v="Best Fresh"/>
    <s v="A"/>
    <n v="8"/>
    <s v="Excellent"/>
    <n v="10"/>
    <x v="4"/>
    <n v="2"/>
    <n v="0.5"/>
    <x v="5"/>
    <x v="5"/>
  </r>
  <r>
    <n v="15334"/>
    <n v="104"/>
    <s v="38837"/>
    <n v="1017"/>
    <n v="3"/>
    <s v="Milk - 2% Low Fat  - 1/2 gal"/>
    <x v="0"/>
    <s v="gallons"/>
    <n v="0.5"/>
    <n v="12"/>
    <n v="10"/>
    <d v="2008-05-23T00:00:00"/>
    <d v="2008-05-25T00:00:00"/>
    <n v="10"/>
    <s v="Best Fresh"/>
    <s v="D"/>
    <n v="8"/>
    <s v="Excellent"/>
    <n v="30"/>
    <x v="9"/>
    <n v="2"/>
    <n v="0.5"/>
    <x v="10"/>
    <x v="10"/>
  </r>
  <r>
    <n v="15353"/>
    <n v="104"/>
    <s v="38837"/>
    <n v="1017"/>
    <n v="2"/>
    <s v="Milk - 2% Low Fat  - 1/2 gal"/>
    <x v="0"/>
    <s v="gallons"/>
    <n v="0.5"/>
    <n v="12"/>
    <n v="10"/>
    <d v="2008-05-29T00:00:00"/>
    <d v="2008-05-30T00:00:00"/>
    <n v="10"/>
    <s v="Best Fresh"/>
    <s v="A"/>
    <n v="9"/>
    <s v="Excellent"/>
    <n v="20"/>
    <x v="0"/>
    <n v="2"/>
    <n v="0.5"/>
    <x v="0"/>
    <x v="0"/>
  </r>
  <r>
    <n v="15064"/>
    <n v="107"/>
    <s v="38835"/>
    <n v="1017"/>
    <n v="3"/>
    <s v="Milk - 2% Low Fat  - 1/2 gal"/>
    <x v="0"/>
    <s v="gallons"/>
    <n v="0.5"/>
    <n v="12"/>
    <n v="10"/>
    <d v="2008-05-04T00:00:00"/>
    <d v="2008-05-08T00:00:00"/>
    <n v="10"/>
    <s v="Best Fresh"/>
    <s v="A"/>
    <n v="6"/>
    <s v="Satisfactory"/>
    <n v="30"/>
    <x v="10"/>
    <n v="2"/>
    <n v="0.5"/>
    <x v="11"/>
    <x v="11"/>
  </r>
  <r>
    <n v="15263"/>
    <n v="107"/>
    <s v="38835"/>
    <n v="1017"/>
    <n v="3"/>
    <s v="Milk - 2% Low Fat  - 1/2 gal"/>
    <x v="0"/>
    <s v="gallons"/>
    <n v="0.5"/>
    <n v="12"/>
    <n v="10"/>
    <d v="2008-05-17T00:00:00"/>
    <d v="2008-05-19T00:00:00"/>
    <n v="10"/>
    <s v="Best Fresh"/>
    <s v="A"/>
    <n v="8"/>
    <s v="Excellent"/>
    <n v="30"/>
    <x v="9"/>
    <n v="2"/>
    <n v="0.5"/>
    <x v="10"/>
    <x v="10"/>
  </r>
  <r>
    <n v="14965"/>
    <n v="117"/>
    <s v="38837"/>
    <n v="1023"/>
    <n v="2"/>
    <s v="Milk - Skim - 1/2 gal"/>
    <x v="7"/>
    <s v="gallons"/>
    <n v="0.5"/>
    <n v="12"/>
    <n v="10"/>
    <d v="2008-04-28T00:00:00"/>
    <d v="2008-05-01T00:00:00"/>
    <n v="9"/>
    <s v="Best Fresh"/>
    <s v="A"/>
    <n v="6"/>
    <s v="Satisfactory"/>
    <n v="20"/>
    <x v="11"/>
    <n v="2"/>
    <n v="0.5"/>
    <x v="12"/>
    <x v="12"/>
  </r>
  <r>
    <n v="14972"/>
    <n v="117"/>
    <s v="38837"/>
    <n v="1027"/>
    <n v="1"/>
    <s v="Butter - Tub whipped salted"/>
    <x v="6"/>
    <s v="pound"/>
    <n v="0.5"/>
    <n v="16"/>
    <n v="20"/>
    <d v="2008-04-30T00:00:00"/>
    <d v="2008-05-04T00:00:00"/>
    <n v="60"/>
    <s v="Best Fresh"/>
    <s v="A"/>
    <n v="56"/>
    <s v="Excellent"/>
    <n v="20"/>
    <x v="0"/>
    <n v="3"/>
    <n v="0.75"/>
    <x v="13"/>
    <x v="13"/>
  </r>
  <r>
    <n v="14995"/>
    <n v="117"/>
    <s v="38837"/>
    <n v="1011"/>
    <n v="2"/>
    <s v="Low Fat Sour Cream - 8oz"/>
    <x v="8"/>
    <s v="ounces"/>
    <n v="8"/>
    <n v="24"/>
    <n v="14"/>
    <d v="2008-05-03T00:00:00"/>
    <d v="2008-05-04T00:00:00"/>
    <n v="30"/>
    <s v="Best Fresh"/>
    <s v="A"/>
    <n v="29"/>
    <s v="Excellent"/>
    <n v="28"/>
    <x v="12"/>
    <n v="1"/>
    <n v="0.6"/>
    <x v="14"/>
    <x v="14"/>
  </r>
  <r>
    <n v="15033"/>
    <n v="117"/>
    <s v="38837"/>
    <n v="1021"/>
    <n v="2"/>
    <s v="Milk - 1% Low Fat - gal"/>
    <x v="4"/>
    <s v="gallons"/>
    <n v="1"/>
    <n v="4"/>
    <n v="5.75"/>
    <d v="2008-05-05T00:00:00"/>
    <d v="2008-05-08T00:00:00"/>
    <n v="10"/>
    <s v="Best Fresh"/>
    <s v="A"/>
    <n v="7"/>
    <s v="Excellent"/>
    <n v="11.5"/>
    <x v="7"/>
    <n v="2"/>
    <n v="0.35"/>
    <x v="8"/>
    <x v="8"/>
  </r>
  <r>
    <n v="15037"/>
    <n v="117"/>
    <s v="38837"/>
    <n v="1012"/>
    <n v="3"/>
    <s v="Low Fat Sour Cream - 16oz"/>
    <x v="8"/>
    <s v="ounces"/>
    <n v="16"/>
    <n v="24"/>
    <n v="18"/>
    <d v="2008-05-07T00:00:00"/>
    <d v="2008-05-08T00:00:00"/>
    <n v="30"/>
    <s v="Best Fresh"/>
    <s v="A"/>
    <n v="29"/>
    <s v="Excellent"/>
    <n v="54"/>
    <x v="13"/>
    <n v="1"/>
    <n v="0.4"/>
    <x v="15"/>
    <x v="15"/>
  </r>
  <r>
    <n v="15055"/>
    <n v="117"/>
    <s v="38837"/>
    <n v="1026"/>
    <n v="3"/>
    <s v="Butter - 4 sticks salted"/>
    <x v="6"/>
    <s v="pound"/>
    <n v="1"/>
    <n v="16"/>
    <n v="26"/>
    <d v="2008-05-05T00:00:00"/>
    <d v="2008-05-08T00:00:00"/>
    <n v="60"/>
    <s v="Best Fresh"/>
    <s v="A"/>
    <n v="57"/>
    <s v="Excellent"/>
    <n v="78"/>
    <x v="14"/>
    <n v="3"/>
    <n v="0.75"/>
    <x v="16"/>
    <x v="16"/>
  </r>
  <r>
    <n v="15057"/>
    <n v="117"/>
    <s v="38837"/>
    <n v="1010"/>
    <n v="3"/>
    <s v="Sour Cream - 32oz"/>
    <x v="1"/>
    <s v="ounces"/>
    <n v="32"/>
    <n v="18"/>
    <n v="20"/>
    <d v="2008-05-04T00:00:00"/>
    <d v="2008-05-08T00:00:00"/>
    <n v="30"/>
    <s v="Best Fresh"/>
    <s v="A"/>
    <n v="26"/>
    <s v="Excellent"/>
    <n v="60"/>
    <x v="15"/>
    <n v="1"/>
    <n v="0.4"/>
    <x v="17"/>
    <x v="17"/>
  </r>
  <r>
    <n v="15113"/>
    <n v="117"/>
    <s v="38837"/>
    <n v="1014"/>
    <n v="2"/>
    <s v="Milk - 4% Regular - 1/2 gal"/>
    <x v="5"/>
    <s v="gallons"/>
    <n v="0.5"/>
    <n v="12"/>
    <n v="10"/>
    <d v="2008-05-12T00:00:00"/>
    <d v="2008-05-15T00:00:00"/>
    <n v="12"/>
    <s v="Best Fresh"/>
    <s v="A"/>
    <n v="9"/>
    <s v="Excellent"/>
    <n v="20"/>
    <x v="0"/>
    <n v="2"/>
    <n v="0.5"/>
    <x v="0"/>
    <x v="0"/>
  </r>
  <r>
    <n v="15164"/>
    <n v="117"/>
    <s v="38837"/>
    <n v="1023"/>
    <n v="2"/>
    <s v="Milk - Skim - 1/2 gal"/>
    <x v="7"/>
    <s v="gallons"/>
    <n v="0.5"/>
    <n v="12"/>
    <n v="10"/>
    <d v="2008-05-17T00:00:00"/>
    <d v="2008-05-18T00:00:00"/>
    <n v="9"/>
    <s v="Best Fresh"/>
    <s v="A"/>
    <n v="8"/>
    <s v="Excellent"/>
    <n v="20"/>
    <x v="0"/>
    <n v="2"/>
    <n v="0.5"/>
    <x v="0"/>
    <x v="0"/>
  </r>
  <r>
    <n v="15171"/>
    <n v="117"/>
    <s v="38837"/>
    <n v="1027"/>
    <n v="1"/>
    <s v="Butter - Tub whipped salted"/>
    <x v="6"/>
    <s v="pound"/>
    <n v="0.5"/>
    <n v="16"/>
    <n v="20"/>
    <d v="2008-05-18T00:00:00"/>
    <d v="2008-05-22T00:00:00"/>
    <n v="60"/>
    <s v="Best Fresh"/>
    <s v="A"/>
    <n v="56"/>
    <s v="Excellent"/>
    <n v="20"/>
    <x v="0"/>
    <n v="3"/>
    <n v="0.75"/>
    <x v="13"/>
    <x v="13"/>
  </r>
  <r>
    <n v="15181"/>
    <n v="117"/>
    <s v="38837"/>
    <n v="1027"/>
    <n v="1"/>
    <s v="Butter - Tub whipped salted"/>
    <x v="6"/>
    <s v="pound"/>
    <n v="0.5"/>
    <n v="16"/>
    <n v="20"/>
    <d v="2008-05-20T00:00:00"/>
    <d v="2008-05-22T00:00:00"/>
    <n v="60"/>
    <s v="Best Fresh"/>
    <s v="A"/>
    <n v="58"/>
    <s v="Excellent"/>
    <n v="20"/>
    <x v="0"/>
    <n v="3"/>
    <n v="0.75"/>
    <x v="13"/>
    <x v="13"/>
  </r>
  <r>
    <n v="15194"/>
    <n v="117"/>
    <s v="38837"/>
    <n v="1011"/>
    <n v="2"/>
    <s v="Low Fat Sour Cream - 8oz"/>
    <x v="8"/>
    <s v="ounces"/>
    <n v="8"/>
    <n v="24"/>
    <n v="14"/>
    <d v="2008-05-20T00:00:00"/>
    <d v="2008-05-22T00:00:00"/>
    <n v="30"/>
    <s v="Best Fresh"/>
    <s v="A"/>
    <n v="28"/>
    <s v="Excellent"/>
    <n v="28"/>
    <x v="12"/>
    <n v="1"/>
    <n v="0.6"/>
    <x v="14"/>
    <x v="14"/>
  </r>
  <r>
    <n v="15232"/>
    <n v="117"/>
    <s v="38837"/>
    <n v="1021"/>
    <n v="2"/>
    <s v="Milk - 1% Low Fat - gal"/>
    <x v="4"/>
    <s v="gallons"/>
    <n v="1"/>
    <n v="4"/>
    <n v="5.75"/>
    <d v="2008-05-17T00:00:00"/>
    <d v="2008-05-19T00:00:00"/>
    <n v="10"/>
    <s v="Best Fresh"/>
    <s v="A"/>
    <n v="8"/>
    <s v="Excellent"/>
    <n v="11.5"/>
    <x v="7"/>
    <n v="2"/>
    <n v="0.35"/>
    <x v="8"/>
    <x v="8"/>
  </r>
  <r>
    <n v="15236"/>
    <n v="117"/>
    <s v="38837"/>
    <n v="1012"/>
    <n v="3"/>
    <s v="Low Fat Sour Cream - 16oz"/>
    <x v="8"/>
    <s v="ounces"/>
    <n v="16"/>
    <n v="24"/>
    <n v="18"/>
    <d v="2008-05-17T00:00:00"/>
    <d v="2008-05-19T00:00:00"/>
    <n v="30"/>
    <s v="Best Fresh"/>
    <s v="A"/>
    <n v="28"/>
    <s v="Excellent"/>
    <n v="54"/>
    <x v="13"/>
    <n v="1"/>
    <n v="0.4"/>
    <x v="15"/>
    <x v="15"/>
  </r>
  <r>
    <n v="15254"/>
    <n v="117"/>
    <s v="38837"/>
    <n v="1026"/>
    <n v="3"/>
    <s v="Butter - 4 sticks salted"/>
    <x v="6"/>
    <s v="pound"/>
    <n v="1"/>
    <n v="16"/>
    <n v="26"/>
    <d v="2008-05-17T00:00:00"/>
    <d v="2008-05-19T00:00:00"/>
    <n v="60"/>
    <s v="Best Fresh"/>
    <s v="A"/>
    <n v="58"/>
    <s v="Excellent"/>
    <n v="78"/>
    <x v="14"/>
    <n v="3"/>
    <n v="0.75"/>
    <x v="16"/>
    <x v="16"/>
  </r>
  <r>
    <n v="15256"/>
    <n v="117"/>
    <s v="38837"/>
    <n v="1010"/>
    <n v="3"/>
    <s v="Sour Cream - 32oz"/>
    <x v="1"/>
    <s v="ounces"/>
    <n v="32"/>
    <n v="18"/>
    <n v="20"/>
    <d v="2008-05-16T00:00:00"/>
    <d v="2008-05-19T00:00:00"/>
    <n v="30"/>
    <s v="Best Fresh"/>
    <s v="A"/>
    <n v="27"/>
    <s v="Excellent"/>
    <n v="60"/>
    <x v="15"/>
    <n v="1"/>
    <n v="0.4"/>
    <x v="17"/>
    <x v="17"/>
  </r>
  <r>
    <n v="15312"/>
    <n v="117"/>
    <s v="38837"/>
    <n v="1014"/>
    <n v="2"/>
    <s v="Milk - 4% Regular - 1/2 gal"/>
    <x v="5"/>
    <s v="gallons"/>
    <n v="0.5"/>
    <n v="12"/>
    <n v="10"/>
    <d v="2008-05-24T00:00:00"/>
    <d v="2008-05-25T00:00:00"/>
    <n v="12"/>
    <s v="Best Fresh"/>
    <s v="A"/>
    <n v="11"/>
    <s v="Excellent"/>
    <n v="20"/>
    <x v="0"/>
    <n v="2"/>
    <n v="0.5"/>
    <x v="0"/>
    <x v="0"/>
  </r>
  <r>
    <n v="15363"/>
    <n v="117"/>
    <s v="38837"/>
    <n v="1023"/>
    <n v="2"/>
    <s v="Milk - Skim - 1/2 gal"/>
    <x v="7"/>
    <s v="gallons"/>
    <n v="0.5"/>
    <n v="12"/>
    <n v="10"/>
    <d v="2008-05-29T00:00:00"/>
    <d v="2008-05-30T00:00:00"/>
    <n v="9"/>
    <s v="Best Fresh"/>
    <s v="A"/>
    <n v="8"/>
    <s v="Excellent"/>
    <n v="20"/>
    <x v="0"/>
    <n v="2"/>
    <n v="0.5"/>
    <x v="0"/>
    <x v="0"/>
  </r>
  <r>
    <n v="14963"/>
    <n v="126"/>
    <s v="38839"/>
    <n v="1028"/>
    <n v="1"/>
    <s v="Butter - 2 sticks salted"/>
    <x v="9"/>
    <s v="pound"/>
    <n v="0.5"/>
    <n v="20"/>
    <n v="20.5"/>
    <d v="2008-04-30T00:00:00"/>
    <d v="2008-05-01T00:00:00"/>
    <n v="60"/>
    <s v="Best Fresh"/>
    <s v="A"/>
    <n v="59"/>
    <s v="Excellent"/>
    <n v="20.5"/>
    <x v="16"/>
    <n v="3"/>
    <n v="0.75"/>
    <x v="18"/>
    <x v="18"/>
  </r>
  <r>
    <n v="14966"/>
    <n v="126"/>
    <s v="38839"/>
    <n v="1020"/>
    <n v="3"/>
    <s v="Milk - 1% Low Fat  - 1/2 gal"/>
    <x v="4"/>
    <s v="gallons"/>
    <n v="0.5"/>
    <n v="12"/>
    <n v="10"/>
    <d v="2008-04-30T00:00:00"/>
    <d v="2008-05-01T00:00:00"/>
    <n v="10"/>
    <s v="Best Fresh"/>
    <s v="A"/>
    <n v="9"/>
    <s v="Excellent"/>
    <n v="30"/>
    <x v="9"/>
    <n v="2"/>
    <n v="0.5"/>
    <x v="10"/>
    <x v="10"/>
  </r>
  <r>
    <n v="14981"/>
    <n v="126"/>
    <s v="38839"/>
    <n v="1021"/>
    <n v="2"/>
    <s v="Milk - 1% Low Fat - gal"/>
    <x v="4"/>
    <s v="gallons"/>
    <n v="1"/>
    <n v="4"/>
    <n v="5.75"/>
    <d v="2008-05-03T00:00:00"/>
    <d v="2008-05-04T00:00:00"/>
    <n v="10"/>
    <s v="Best Fresh"/>
    <s v="A"/>
    <n v="9"/>
    <s v="Excellent"/>
    <n v="11.5"/>
    <x v="7"/>
    <n v="2"/>
    <n v="0.35"/>
    <x v="8"/>
    <x v="8"/>
  </r>
  <r>
    <n v="14997"/>
    <n v="126"/>
    <s v="38839"/>
    <n v="1015"/>
    <n v="2"/>
    <s v="Milk - 4% Regular - gal"/>
    <x v="5"/>
    <s v="gallons"/>
    <n v="1"/>
    <n v="4"/>
    <n v="5.75"/>
    <d v="2008-05-05T00:00:00"/>
    <d v="2008-05-08T00:00:00"/>
    <n v="12"/>
    <s v="Best Fresh"/>
    <s v="A"/>
    <n v="9"/>
    <s v="Excellent"/>
    <n v="11.5"/>
    <x v="7"/>
    <n v="2"/>
    <n v="0.35"/>
    <x v="8"/>
    <x v="8"/>
  </r>
  <r>
    <n v="15149"/>
    <n v="126"/>
    <s v="38839"/>
    <n v="1026"/>
    <n v="2"/>
    <s v="Butter - 4 sticks salted"/>
    <x v="6"/>
    <s v="pound"/>
    <n v="1"/>
    <n v="16"/>
    <n v="26"/>
    <d v="2008-05-15T00:00:00"/>
    <d v="2008-05-18T00:00:00"/>
    <n v="60"/>
    <s v="Best Fresh"/>
    <s v="A"/>
    <n v="57"/>
    <s v="Excellent"/>
    <n v="52"/>
    <x v="6"/>
    <n v="3"/>
    <n v="0.75"/>
    <x v="7"/>
    <x v="7"/>
  </r>
  <r>
    <n v="15162"/>
    <n v="126"/>
    <s v="38839"/>
    <n v="1028"/>
    <n v="1"/>
    <s v="Butter - 2 sticks salted"/>
    <x v="9"/>
    <s v="pound"/>
    <n v="0.5"/>
    <n v="20"/>
    <n v="20.5"/>
    <d v="2008-05-14T00:00:00"/>
    <d v="2008-05-18T00:00:00"/>
    <n v="60"/>
    <s v="Best Fresh"/>
    <s v="A"/>
    <n v="56"/>
    <s v="Excellent"/>
    <n v="20.5"/>
    <x v="16"/>
    <n v="3"/>
    <n v="0.75"/>
    <x v="18"/>
    <x v="18"/>
  </r>
  <r>
    <n v="15165"/>
    <n v="126"/>
    <s v="38839"/>
    <n v="1020"/>
    <n v="3"/>
    <s v="Milk - 1% Low Fat  - 1/2 gal"/>
    <x v="4"/>
    <s v="gallons"/>
    <n v="0.5"/>
    <n v="12"/>
    <n v="10"/>
    <d v="2008-05-17T00:00:00"/>
    <d v="2008-05-18T00:00:00"/>
    <n v="10"/>
    <s v="Best Fresh"/>
    <s v="A"/>
    <n v="9"/>
    <s v="Excellent"/>
    <n v="30"/>
    <x v="9"/>
    <n v="2"/>
    <n v="0.5"/>
    <x v="10"/>
    <x v="10"/>
  </r>
  <r>
    <n v="15180"/>
    <n v="126"/>
    <s v="38839"/>
    <n v="1021"/>
    <n v="2"/>
    <s v="Milk - 1% Low Fat - gal"/>
    <x v="4"/>
    <s v="gallons"/>
    <n v="1"/>
    <n v="4"/>
    <n v="5.75"/>
    <d v="2008-05-20T00:00:00"/>
    <d v="2008-05-22T00:00:00"/>
    <n v="10"/>
    <s v="Best Fresh"/>
    <s v="A"/>
    <n v="8"/>
    <s v="Excellent"/>
    <n v="11.5"/>
    <x v="7"/>
    <n v="2"/>
    <n v="0.35"/>
    <x v="8"/>
    <x v="8"/>
  </r>
  <r>
    <n v="15196"/>
    <n v="126"/>
    <s v="38839"/>
    <n v="1015"/>
    <n v="2"/>
    <s v="Milk - 4% Regular - gal"/>
    <x v="5"/>
    <s v="gallons"/>
    <n v="1"/>
    <n v="4"/>
    <n v="5.75"/>
    <d v="2008-05-14T00:00:00"/>
    <d v="2008-05-16T00:00:00"/>
    <n v="12"/>
    <s v="Best Fresh"/>
    <s v="A"/>
    <n v="10"/>
    <s v="Excellent"/>
    <n v="11.5"/>
    <x v="7"/>
    <n v="2"/>
    <n v="0.35"/>
    <x v="8"/>
    <x v="8"/>
  </r>
  <r>
    <n v="15348"/>
    <n v="126"/>
    <s v="38839"/>
    <n v="1026"/>
    <n v="2"/>
    <s v="Butter - 4 sticks salted"/>
    <x v="6"/>
    <s v="pound"/>
    <n v="1"/>
    <n v="16"/>
    <n v="26"/>
    <d v="2008-05-28T00:00:00"/>
    <d v="2008-05-30T00:00:00"/>
    <n v="60"/>
    <s v="Best Fresh"/>
    <s v="A"/>
    <n v="58"/>
    <s v="Excellent"/>
    <n v="52"/>
    <x v="6"/>
    <n v="3"/>
    <n v="0.75"/>
    <x v="7"/>
    <x v="7"/>
  </r>
  <r>
    <n v="15364"/>
    <n v="126"/>
    <s v="38839"/>
    <n v="1020"/>
    <n v="3"/>
    <s v="Milk - 1% Low Fat  - 1/2 gal"/>
    <x v="4"/>
    <s v="gallons"/>
    <n v="0.5"/>
    <n v="12"/>
    <n v="10"/>
    <d v="2008-05-27T00:00:00"/>
    <d v="2008-05-30T00:00:00"/>
    <n v="10"/>
    <s v="Best Fresh"/>
    <s v="A"/>
    <n v="7"/>
    <s v="Excellent"/>
    <n v="30"/>
    <x v="9"/>
    <n v="2"/>
    <n v="0.5"/>
    <x v="1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1B5E8-54D9-EB47-A23D-6AFC782EC636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2:E13" firstHeaderRow="0" firstDataRow="1" firstDataCol="1"/>
  <pivotFields count="24"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2"/>
        <item x="3"/>
        <item x="8"/>
        <item x="5"/>
        <item x="1"/>
        <item x="7"/>
        <item x="9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dataField="1" showAll="0">
      <items count="18">
        <item x="3"/>
        <item x="4"/>
        <item x="7"/>
        <item x="5"/>
        <item x="2"/>
        <item x="11"/>
        <item x="0"/>
        <item x="16"/>
        <item x="1"/>
        <item x="10"/>
        <item x="12"/>
        <item x="9"/>
        <item x="6"/>
        <item x="13"/>
        <item x="15"/>
        <item x="8"/>
        <item x="14"/>
        <item t="default"/>
      </items>
    </pivotField>
    <pivotField showAll="0"/>
    <pivotField numFmtId="9" showAll="0"/>
    <pivotField dataField="1" numFmtId="1" showAll="0">
      <items count="20">
        <item x="4"/>
        <item x="5"/>
        <item x="8"/>
        <item x="6"/>
        <item x="3"/>
        <item x="12"/>
        <item x="0"/>
        <item x="2"/>
        <item x="13"/>
        <item x="18"/>
        <item x="11"/>
        <item x="1"/>
        <item x="14"/>
        <item x="10"/>
        <item x="15"/>
        <item x="17"/>
        <item x="7"/>
        <item x="9"/>
        <item x="16"/>
        <item t="default"/>
      </items>
    </pivotField>
    <pivotField dataField="1" numFmtId="164" showAll="0">
      <items count="20">
        <item x="4"/>
        <item x="8"/>
        <item x="5"/>
        <item x="6"/>
        <item x="12"/>
        <item x="2"/>
        <item x="0"/>
        <item x="3"/>
        <item x="11"/>
        <item x="1"/>
        <item x="18"/>
        <item x="13"/>
        <item x="10"/>
        <item x="14"/>
        <item x="15"/>
        <item x="17"/>
        <item x="9"/>
        <item x="7"/>
        <item x="16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odified Wholesale Value" fld="19" baseField="0" baseItem="0" numFmtId="165"/>
    <dataField name="Sum of Forecast Revenue" fld="22" baseField="0" baseItem="0" numFmtId="165"/>
    <dataField name="Sum of Profit" fld="23" baseField="0" baseItem="0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CC4DB-6E1C-C749-A141-DAE7EF53965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I2:J20" firstHeaderRow="1" firstDataRow="1" firstDataCol="1"/>
  <pivotFields count="19">
    <pivotField showAll="0"/>
    <pivotField showAll="0"/>
    <pivotField axis="axisRow" showAll="0">
      <items count="18">
        <item x="8"/>
        <item x="2"/>
        <item x="1"/>
        <item x="13"/>
        <item x="11"/>
        <item x="12"/>
        <item x="5"/>
        <item x="16"/>
        <item x="0"/>
        <item x="15"/>
        <item x="4"/>
        <item x="9"/>
        <item x="7"/>
        <item x="6"/>
        <item x="10"/>
        <item x="14"/>
        <item x="3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dataField="1" showAll="0">
      <items count="15">
        <item x="4"/>
        <item x="3"/>
        <item x="5"/>
        <item x="2"/>
        <item x="0"/>
        <item x="13"/>
        <item x="1"/>
        <item x="9"/>
        <item x="8"/>
        <item x="6"/>
        <item x="10"/>
        <item x="12"/>
        <item x="7"/>
        <item x="11"/>
        <item t="default"/>
      </items>
    </pivotField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Wholesale Value" fld="17" baseField="0" baseItem="0"/>
  </dataFields>
  <chartFormats count="1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1C1AB-F9B9-5F44-B818-2F2694154E71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2:C7" firstHeaderRow="1" firstDataRow="1" firstDataCol="1"/>
  <pivotFields count="19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dataField="1" showAll="0">
      <items count="15">
        <item x="4"/>
        <item x="3"/>
        <item x="5"/>
        <item x="2"/>
        <item x="0"/>
        <item x="13"/>
        <item x="1"/>
        <item x="9"/>
        <item x="8"/>
        <item x="6"/>
        <item x="10"/>
        <item x="12"/>
        <item x="7"/>
        <item x="11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Wholesale Value" fld="1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EC761C-C259-432E-BCD7-5D9D53A36DFA}" autoFormatId="16" applyNumberFormats="0" applyBorderFormats="0" applyFontFormats="0" applyPatternFormats="0" applyAlignmentFormats="0" applyWidthHeightFormats="0">
  <queryTableRefresh nextId="19" unboundColumnsRight="1">
    <queryTableFields count="16">
      <queryTableField id="1" name="ShipID" tableColumnId="1"/>
      <queryTableField id="2" name="StoreID" tableColumnId="2"/>
      <queryTableField id="3" name="ZipCode" tableColumnId="3"/>
      <queryTableField id="4" name="Item_Number" tableColumnId="4"/>
      <queryTableField id="5" name="Quantity" tableColumnId="5"/>
      <queryTableField id="6" name="Description" tableColumnId="6"/>
      <queryTableField id="7" name="Category" tableColumnId="7"/>
      <queryTableField id="8" name="Unit" tableColumnId="8"/>
      <queryTableField id="9" name="Container_Size" tableColumnId="9"/>
      <queryTableField id="10" name="Containers/Case" tableColumnId="10"/>
      <queryTableField id="11" name="$/Case" tableColumnId="11"/>
      <queryTableField id="12" name="Prod_Date" tableColumnId="12"/>
      <queryTableField id="13" name="Ship_Date" tableColumnId="13"/>
      <queryTableField id="14" name="Shelf_Life" tableColumnId="14"/>
      <queryTableField id="15" name="Chain" tableColumnId="15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BD070A-21B3-4A4C-A250-F10A99889972}" name="Best_Fresh_Shipment_By_Item" displayName="Best_Fresh_Shipment_By_Item" ref="A1:P59" tableType="queryTable" totalsRowShown="0">
  <autoFilter ref="A1:P59" xr:uid="{A7DC3BE5-61DD-4640-9F81-C4608655883B}">
    <filterColumn colId="15">
      <filters>
        <filter val="A"/>
        <filter val="D"/>
      </filters>
    </filterColumn>
  </autoFilter>
  <tableColumns count="16">
    <tableColumn id="1" xr3:uid="{BF1425E8-5999-4C79-8C37-B1708ED20617}" uniqueName="1" name="ShipID" queryTableFieldId="1"/>
    <tableColumn id="2" xr3:uid="{C67559AB-69AB-40D2-A5A2-EDF0DC208BDF}" uniqueName="2" name="StoreID" queryTableFieldId="2"/>
    <tableColumn id="3" xr3:uid="{FB689748-D027-44A3-A0A4-6843F8867A3F}" uniqueName="3" name="ZipCode" queryTableFieldId="3" dataDxfId="25"/>
    <tableColumn id="4" xr3:uid="{9BFD5226-EA2A-4693-A3B3-03EE502D4CF3}" uniqueName="4" name="Item_Number" queryTableFieldId="4"/>
    <tableColumn id="5" xr3:uid="{AF9E3A8B-CC20-456C-B416-5E5EF79C7545}" uniqueName="5" name="Quantity" queryTableFieldId="5"/>
    <tableColumn id="6" xr3:uid="{E6BCBDC6-EF8B-4E36-9F1D-5337A5C52B87}" uniqueName="6" name="Description" queryTableFieldId="6" dataDxfId="24"/>
    <tableColumn id="7" xr3:uid="{8DEB6D92-6F6E-4027-99D3-CC237E0353EB}" uniqueName="7" name="Category" queryTableFieldId="7" dataDxfId="23"/>
    <tableColumn id="8" xr3:uid="{A07711DC-DC61-40D3-845A-481FD7DBBB05}" uniqueName="8" name="Unit" queryTableFieldId="8" dataDxfId="22"/>
    <tableColumn id="9" xr3:uid="{09081E53-A06C-467E-8A2A-0A421A6C2564}" uniqueName="9" name="Container_Size" queryTableFieldId="9"/>
    <tableColumn id="10" xr3:uid="{24BF1BCB-FD4E-4839-BFA8-C1E13A4D34A6}" uniqueName="10" name="Containers/Case" queryTableFieldId="10"/>
    <tableColumn id="11" xr3:uid="{415C6C32-F5EF-478B-8EA0-225C5BCCFE52}" uniqueName="11" name="$/Case" queryTableFieldId="11"/>
    <tableColumn id="12" xr3:uid="{D0228F4B-E0CB-4C9F-9B6A-E294E28A7F5A}" uniqueName="12" name="Prod_Date" queryTableFieldId="12" dataDxfId="21"/>
    <tableColumn id="13" xr3:uid="{BC0B19E7-84C5-42C6-A49F-BD5987A7A2A2}" uniqueName="13" name="Ship_Date" queryTableFieldId="13" dataDxfId="20"/>
    <tableColumn id="14" xr3:uid="{F7DAA9B3-21AD-4459-A777-E38F2EC1E957}" uniqueName="14" name="Shelf_Life" queryTableFieldId="14"/>
    <tableColumn id="15" xr3:uid="{AAD2BF7C-B53B-453B-A456-3E39F03F94F6}" uniqueName="15" name="Chain" queryTableFieldId="15" dataDxfId="19"/>
    <tableColumn id="18" xr3:uid="{017FBFAC-8CAF-45C8-8C4C-C85951116C7A}" uniqueName="18" name="Status" queryTableFieldId="18" dataDxfId="18">
      <calculatedColumnFormula>VLOOKUP(Best_Fresh_Shipment_By_Item[[#This Row],[ShipID]],BFShipData,5,FALSE)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EF160-5FEE-5640-AA94-212061265CA9}" name="Table2" displayName="Table2" ref="A2:X59" totalsRowCount="1">
  <autoFilter ref="A2:X58" xr:uid="{2B6EF160-5FEE-5640-AA94-212061265CA9}"/>
  <tableColumns count="24">
    <tableColumn id="1" xr3:uid="{63D21EDA-A45E-9745-BB34-2CBB5FC57125}" name="ShipID" totalsRowLabel="Total"/>
    <tableColumn id="2" xr3:uid="{9555E3C8-A199-B848-853B-B301980817C0}" name="StoreID"/>
    <tableColumn id="3" xr3:uid="{020E057D-3E35-B941-8316-CDABEC2F3FD0}" name="ZipCode"/>
    <tableColumn id="4" xr3:uid="{728CC9B4-934D-074C-A3AE-598F014C6370}" name="Item_Number"/>
    <tableColumn id="5" xr3:uid="{07684CE8-B073-BB44-96AE-B2359B6C56D0}" name="Quantity"/>
    <tableColumn id="6" xr3:uid="{3D93B79E-4493-9447-965C-8A4A9FB67853}" name="Description"/>
    <tableColumn id="7" xr3:uid="{B53FC665-9FEC-1647-8378-16D1908330F6}" name="Category"/>
    <tableColumn id="8" xr3:uid="{E46B3B3A-2E4A-9941-B24F-9F2B735627E7}" name="Unit"/>
    <tableColumn id="9" xr3:uid="{9D65057B-C2D8-324C-BE8B-5B9F00B2A7FA}" name="Container_Size"/>
    <tableColumn id="10" xr3:uid="{10A19296-DE5E-2D4A-A0C2-566E1C08C253}" name="Containers/Case"/>
    <tableColumn id="11" xr3:uid="{A274C840-362E-0444-BC57-18359758B50C}" name="$/Case"/>
    <tableColumn id="12" xr3:uid="{CC25C524-1847-5E43-8B3A-AB47DBDC8F6C}" name="Prod_Date" dataDxfId="16"/>
    <tableColumn id="13" xr3:uid="{D5823210-AB8D-7A4F-BE33-C1C6BCBD22D6}" name="Ship_Date" dataDxfId="15"/>
    <tableColumn id="14" xr3:uid="{BEE9554B-656B-C647-9892-5C5C901BC02A}" name="Shelf_Life"/>
    <tableColumn id="15" xr3:uid="{F19E847B-D98D-9D46-BAF4-841E7CE0E84B}" name="Chain"/>
    <tableColumn id="16" xr3:uid="{A0C824E7-E1B1-D440-9698-553FAD58BB9F}" name="Status"/>
    <tableColumn id="17" xr3:uid="{D88CE4D7-11A7-484C-A27B-C3DE82445E2F}" name="Remaining Shelf Life">
      <calculatedColumnFormula>N3-(M3-L3)</calculatedColumnFormula>
    </tableColumn>
    <tableColumn id="18" xr3:uid="{15ED3A45-1596-0A44-9213-40DA09B4092B}" name="Shelf Life Status">
      <calculatedColumnFormula>VLOOKUP(Q3,Shelfstatus,2,TRUE)</calculatedColumnFormula>
    </tableColumn>
    <tableColumn id="19" xr3:uid="{D0D56316-31E2-3543-B1F7-ECC20D75C4E8}" name="Wholesale Value" totalsRowFunction="sum" dataDxfId="14" totalsRowDxfId="13">
      <calculatedColumnFormula>E3*K3</calculatedColumnFormula>
    </tableColumn>
    <tableColumn id="20" xr3:uid="{EB25D12F-0322-4541-A055-0A77739ED1FC}" name="Modified Wholesale Value" totalsRowFunction="sum" dataDxfId="12" totalsRowDxfId="11">
      <calculatedColumnFormula>IF(R3="Excellent",S3,+IF(R3="Satisfactory",S3-((ModifyData!$B$18/100)*S3))+IF(R3="Unsatisfactory",S3-((ModifyData!$B$19/100)*S3)))</calculatedColumnFormula>
    </tableColumn>
    <tableColumn id="21" xr3:uid="{03C0C918-8640-2642-B455-32C1AE1B7EB8}" name="Categories">
      <calculatedColumnFormula>IF(G3="C",1,IF(G3="LFC",1,IF(G3="SC",1,IF(G3="LFSC",1,IF(G3="M",2,IF(G3="2M",2,IF(G3="1M",2,IF(G3="SM",2,3))))))))</calculatedColumnFormula>
    </tableColumn>
    <tableColumn id="22" xr3:uid="{D385FC5F-9C86-F649-974C-D6617D389AF6}" name="Markups" dataDxfId="10">
      <calculatedColumnFormula xml:space="preserve">
IF(AND(U3=1,I3&lt;16),0.6,
IF(AND(U3=1,I3&gt;=16),0.4,
IF(AND(U3=2,I3&lt;1),0.5,
IF(AND(U3=2,I3&gt;=1),0.35,
0.75))))</calculatedColumnFormula>
    </tableColumn>
    <tableColumn id="23" xr3:uid="{0732B205-A2EC-364B-8F7A-79DF4ACE1EBA}" name="Forecast Revenue" totalsRowFunction="sum" dataDxfId="9" totalsRowDxfId="8">
      <calculatedColumnFormula>T3+(T3*V3)</calculatedColumnFormula>
    </tableColumn>
    <tableColumn id="24" xr3:uid="{44FBAE21-0620-874D-B1AF-57F411951CCD}" name="Profit" totalsRowFunction="sum" dataDxfId="7" totalsRowDxfId="6">
      <calculatedColumnFormula>W3-T3-(J3*0.1)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1343B7-97B5-9C48-B9C2-287E3EC6476A}" name="Table3" displayName="Table3" ref="B2:F6" totalsRowShown="0" dataDxfId="3" dataCellStyle="Percent">
  <autoFilter ref="B2:F6" xr:uid="{911343B7-97B5-9C48-B9C2-287E3EC6476A}"/>
  <tableColumns count="5">
    <tableColumn id="1" xr3:uid="{D1B286D0-F348-3F49-BCF2-8D85D47051E7}" name="Dairy Vendor"/>
    <tableColumn id="2" xr3:uid="{35D4C377-E10F-374F-8732-46FFC44D3010}" name="Excellent " dataDxfId="2" dataCellStyle="Percent"/>
    <tableColumn id="3" xr3:uid="{5ACE04D6-B29C-F34F-9DB0-D7FDDE3A07CB}" name="Satisfactory " dataDxfId="1" dataCellStyle="Percent"/>
    <tableColumn id="4" xr3:uid="{BFAE20E1-97B7-614D-942E-54CC5570E4B4}" name="Unsatisfactory " dataDxfId="0" dataCellStyle="Percent"/>
    <tableColumn id="5" xr3:uid="{783D52CF-FB37-3948-A79D-726D76D77150}" name="Profit Margin " dataCellStyle="Perce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0C74-819D-4868-82D9-1A678116E0A7}">
  <sheetPr>
    <tabColor rgb="FF942092"/>
  </sheetPr>
  <dimension ref="A1:P59"/>
  <sheetViews>
    <sheetView tabSelected="1" topLeftCell="J1" workbookViewId="0">
      <selection activeCell="P25" sqref="P25"/>
    </sheetView>
  </sheetViews>
  <sheetFormatPr baseColWidth="10" defaultColWidth="8.83203125" defaultRowHeight="15" x14ac:dyDescent="0.2"/>
  <cols>
    <col min="1" max="1" width="9" bestFit="1" customWidth="1"/>
    <col min="2" max="2" width="9.83203125" bestFit="1" customWidth="1"/>
    <col min="3" max="3" width="10.5" bestFit="1" customWidth="1"/>
    <col min="4" max="4" width="15.83203125" bestFit="1" customWidth="1"/>
    <col min="5" max="5" width="11" bestFit="1" customWidth="1"/>
    <col min="6" max="6" width="26.1640625" bestFit="1" customWidth="1"/>
    <col min="7" max="7" width="11.1640625" bestFit="1" customWidth="1"/>
    <col min="8" max="8" width="14.1640625" customWidth="1"/>
    <col min="9" max="9" width="16.6640625" bestFit="1" customWidth="1"/>
    <col min="10" max="10" width="18" bestFit="1" customWidth="1"/>
    <col min="11" max="11" width="9.33203125" bestFit="1" customWidth="1"/>
    <col min="12" max="13" width="13.83203125" bestFit="1" customWidth="1"/>
    <col min="14" max="14" width="12.1640625" bestFit="1" customWidth="1"/>
    <col min="15" max="15" width="14.1640625" customWidth="1"/>
    <col min="16" max="16" width="11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52</v>
      </c>
    </row>
    <row r="2" spans="1:16" x14ac:dyDescent="0.2">
      <c r="A2">
        <v>14955</v>
      </c>
      <c r="B2">
        <v>104</v>
      </c>
      <c r="C2" s="1" t="s">
        <v>15</v>
      </c>
      <c r="D2">
        <v>1017</v>
      </c>
      <c r="E2">
        <v>2</v>
      </c>
      <c r="F2" s="1" t="s">
        <v>16</v>
      </c>
      <c r="G2" s="1" t="s">
        <v>17</v>
      </c>
      <c r="H2" s="1" t="s">
        <v>18</v>
      </c>
      <c r="I2">
        <v>0.5</v>
      </c>
      <c r="J2">
        <v>12</v>
      </c>
      <c r="K2">
        <v>10</v>
      </c>
      <c r="L2" s="2">
        <v>39568</v>
      </c>
      <c r="M2" s="2">
        <v>39569</v>
      </c>
      <c r="N2">
        <v>10</v>
      </c>
      <c r="O2" s="1" t="s">
        <v>19</v>
      </c>
      <c r="P2" t="str">
        <f>VLOOKUP(Best_Fresh_Shipment_By_Item[[#This Row],[ShipID]],BFShipData,5,FALSE)</f>
        <v>A</v>
      </c>
    </row>
    <row r="3" spans="1:16" x14ac:dyDescent="0.2">
      <c r="A3">
        <v>14968</v>
      </c>
      <c r="B3">
        <v>104</v>
      </c>
      <c r="C3" s="1" t="s">
        <v>15</v>
      </c>
      <c r="D3">
        <v>1008</v>
      </c>
      <c r="E3">
        <v>2</v>
      </c>
      <c r="F3" s="1" t="s">
        <v>20</v>
      </c>
      <c r="G3" s="1" t="s">
        <v>21</v>
      </c>
      <c r="H3" s="1" t="s">
        <v>22</v>
      </c>
      <c r="I3">
        <v>8</v>
      </c>
      <c r="J3">
        <v>24</v>
      </c>
      <c r="K3">
        <v>12</v>
      </c>
      <c r="L3" s="2">
        <v>39565</v>
      </c>
      <c r="M3" s="2">
        <v>39569</v>
      </c>
      <c r="N3">
        <v>30</v>
      </c>
      <c r="O3" s="1" t="s">
        <v>19</v>
      </c>
      <c r="P3" t="str">
        <f>VLOOKUP(Best_Fresh_Shipment_By_Item[[#This Row],[ShipID]],BFShipData,5,FALSE)</f>
        <v>A</v>
      </c>
    </row>
    <row r="4" spans="1:16" x14ac:dyDescent="0.2">
      <c r="A4">
        <v>14984</v>
      </c>
      <c r="B4">
        <v>104</v>
      </c>
      <c r="C4" s="1" t="s">
        <v>15</v>
      </c>
      <c r="D4">
        <v>1004</v>
      </c>
      <c r="E4">
        <v>1</v>
      </c>
      <c r="F4" s="1" t="s">
        <v>23</v>
      </c>
      <c r="G4" s="1" t="s">
        <v>24</v>
      </c>
      <c r="H4" s="1" t="s">
        <v>22</v>
      </c>
      <c r="I4">
        <v>32</v>
      </c>
      <c r="J4">
        <v>16</v>
      </c>
      <c r="K4">
        <v>24</v>
      </c>
      <c r="L4" s="2">
        <v>39571</v>
      </c>
      <c r="M4" s="2">
        <v>39572</v>
      </c>
      <c r="N4">
        <v>14</v>
      </c>
      <c r="O4" s="1" t="s">
        <v>19</v>
      </c>
      <c r="P4" t="str">
        <f>VLOOKUP(Best_Fresh_Shipment_By_Item[[#This Row],[ShipID]],BFShipData,5,FALSE)</f>
        <v>A</v>
      </c>
    </row>
    <row r="5" spans="1:16" x14ac:dyDescent="0.2">
      <c r="A5">
        <v>14987</v>
      </c>
      <c r="B5">
        <v>104</v>
      </c>
      <c r="C5" s="1" t="s">
        <v>15</v>
      </c>
      <c r="D5">
        <v>1032</v>
      </c>
      <c r="E5">
        <v>1</v>
      </c>
      <c r="F5" s="1" t="s">
        <v>25</v>
      </c>
      <c r="G5" s="1" t="s">
        <v>26</v>
      </c>
      <c r="H5" s="1" t="s">
        <v>27</v>
      </c>
      <c r="I5">
        <v>1</v>
      </c>
      <c r="J5">
        <v>16</v>
      </c>
      <c r="K5">
        <v>14</v>
      </c>
      <c r="L5" s="2">
        <v>39568</v>
      </c>
      <c r="M5" s="2">
        <v>39572</v>
      </c>
      <c r="N5">
        <v>15</v>
      </c>
      <c r="O5" s="1" t="s">
        <v>19</v>
      </c>
      <c r="P5" t="str">
        <f>VLOOKUP(Best_Fresh_Shipment_By_Item[[#This Row],[ShipID]],BFShipData,5,FALSE)</f>
        <v>A</v>
      </c>
    </row>
    <row r="6" spans="1:16" x14ac:dyDescent="0.2">
      <c r="A6">
        <v>15032</v>
      </c>
      <c r="B6">
        <v>104</v>
      </c>
      <c r="C6" s="1" t="s">
        <v>15</v>
      </c>
      <c r="D6">
        <v>1021</v>
      </c>
      <c r="E6">
        <v>2</v>
      </c>
      <c r="F6" s="1" t="s">
        <v>28</v>
      </c>
      <c r="G6" s="1" t="s">
        <v>29</v>
      </c>
      <c r="H6" s="1" t="s">
        <v>18</v>
      </c>
      <c r="I6">
        <v>1</v>
      </c>
      <c r="J6">
        <v>4</v>
      </c>
      <c r="K6">
        <v>5.75</v>
      </c>
      <c r="L6" s="2">
        <v>39572</v>
      </c>
      <c r="M6" s="2">
        <v>39576</v>
      </c>
      <c r="N6">
        <v>10</v>
      </c>
      <c r="O6" s="1" t="s">
        <v>19</v>
      </c>
      <c r="P6" t="str">
        <f>VLOOKUP(Best_Fresh_Shipment_By_Item[[#This Row],[ShipID]],BFShipData,5,FALSE)</f>
        <v>A</v>
      </c>
    </row>
    <row r="7" spans="1:16" x14ac:dyDescent="0.2">
      <c r="A7">
        <v>15062</v>
      </c>
      <c r="B7">
        <v>104</v>
      </c>
      <c r="C7" s="1" t="s">
        <v>15</v>
      </c>
      <c r="D7">
        <v>1014</v>
      </c>
      <c r="E7">
        <v>1</v>
      </c>
      <c r="F7" s="1" t="s">
        <v>30</v>
      </c>
      <c r="G7" s="1" t="s">
        <v>31</v>
      </c>
      <c r="H7" s="1" t="s">
        <v>18</v>
      </c>
      <c r="I7">
        <v>0.5</v>
      </c>
      <c r="J7">
        <v>12</v>
      </c>
      <c r="K7">
        <v>10</v>
      </c>
      <c r="L7" s="2">
        <v>39574</v>
      </c>
      <c r="M7" s="2">
        <v>39576</v>
      </c>
      <c r="N7">
        <v>12</v>
      </c>
      <c r="O7" s="1" t="s">
        <v>19</v>
      </c>
      <c r="P7" t="str">
        <f>VLOOKUP(Best_Fresh_Shipment_By_Item[[#This Row],[ShipID]],BFShipData,5,FALSE)</f>
        <v>A</v>
      </c>
    </row>
    <row r="8" spans="1:16" x14ac:dyDescent="0.2">
      <c r="A8">
        <v>15105</v>
      </c>
      <c r="B8">
        <v>104</v>
      </c>
      <c r="C8" s="1" t="s">
        <v>15</v>
      </c>
      <c r="D8">
        <v>1008</v>
      </c>
      <c r="E8">
        <v>1</v>
      </c>
      <c r="F8" s="1" t="s">
        <v>20</v>
      </c>
      <c r="G8" s="1" t="s">
        <v>21</v>
      </c>
      <c r="H8" s="1" t="s">
        <v>22</v>
      </c>
      <c r="I8">
        <v>8</v>
      </c>
      <c r="J8">
        <v>24</v>
      </c>
      <c r="K8">
        <v>12</v>
      </c>
      <c r="L8" s="2">
        <v>39575</v>
      </c>
      <c r="M8" s="2">
        <v>39579</v>
      </c>
      <c r="N8">
        <v>30</v>
      </c>
      <c r="O8" s="1" t="s">
        <v>19</v>
      </c>
      <c r="P8" t="str">
        <f>VLOOKUP(Best_Fresh_Shipment_By_Item[[#This Row],[ShipID]],BFShipData,5,FALSE)</f>
        <v>A</v>
      </c>
    </row>
    <row r="9" spans="1:16" x14ac:dyDescent="0.2">
      <c r="A9">
        <v>15120</v>
      </c>
      <c r="B9">
        <v>104</v>
      </c>
      <c r="C9" s="1" t="s">
        <v>15</v>
      </c>
      <c r="D9">
        <v>1026</v>
      </c>
      <c r="E9">
        <v>2</v>
      </c>
      <c r="F9" s="1" t="s">
        <v>32</v>
      </c>
      <c r="G9" s="1" t="s">
        <v>33</v>
      </c>
      <c r="H9" s="1" t="s">
        <v>34</v>
      </c>
      <c r="I9">
        <v>1</v>
      </c>
      <c r="J9">
        <v>16</v>
      </c>
      <c r="K9">
        <v>26</v>
      </c>
      <c r="L9" s="2">
        <v>39582</v>
      </c>
      <c r="M9" s="2">
        <v>39583</v>
      </c>
      <c r="N9">
        <v>60</v>
      </c>
      <c r="O9" s="1" t="s">
        <v>19</v>
      </c>
      <c r="P9" t="str">
        <f>VLOOKUP(Best_Fresh_Shipment_By_Item[[#This Row],[ShipID]],BFShipData,5,FALSE)</f>
        <v>A</v>
      </c>
    </row>
    <row r="10" spans="1:16" x14ac:dyDescent="0.2">
      <c r="A10">
        <v>15121</v>
      </c>
      <c r="B10">
        <v>104</v>
      </c>
      <c r="C10" s="1" t="s">
        <v>15</v>
      </c>
      <c r="D10">
        <v>1024</v>
      </c>
      <c r="E10">
        <v>2</v>
      </c>
      <c r="F10" s="1" t="s">
        <v>35</v>
      </c>
      <c r="G10" s="1" t="s">
        <v>36</v>
      </c>
      <c r="H10" s="1" t="s">
        <v>18</v>
      </c>
      <c r="I10">
        <v>1</v>
      </c>
      <c r="J10">
        <v>4</v>
      </c>
      <c r="K10">
        <v>5.75</v>
      </c>
      <c r="L10" s="2">
        <v>39581</v>
      </c>
      <c r="M10" s="2">
        <v>39583</v>
      </c>
      <c r="N10">
        <v>9</v>
      </c>
      <c r="O10" s="1" t="s">
        <v>19</v>
      </c>
      <c r="P10" t="str">
        <f>VLOOKUP(Best_Fresh_Shipment_By_Item[[#This Row],[ShipID]],BFShipData,5,FALSE)</f>
        <v>A</v>
      </c>
    </row>
    <row r="11" spans="1:16" x14ac:dyDescent="0.2">
      <c r="A11">
        <v>15130</v>
      </c>
      <c r="B11">
        <v>104</v>
      </c>
      <c r="C11" s="1" t="s">
        <v>15</v>
      </c>
      <c r="D11">
        <v>1003</v>
      </c>
      <c r="E11">
        <v>3</v>
      </c>
      <c r="F11" s="1" t="s">
        <v>37</v>
      </c>
      <c r="G11" s="1" t="s">
        <v>24</v>
      </c>
      <c r="H11" s="1" t="s">
        <v>22</v>
      </c>
      <c r="I11">
        <v>16</v>
      </c>
      <c r="J11">
        <v>24</v>
      </c>
      <c r="K11">
        <v>23</v>
      </c>
      <c r="L11" s="2">
        <v>39580</v>
      </c>
      <c r="M11" s="2">
        <v>39583</v>
      </c>
      <c r="N11">
        <v>14</v>
      </c>
      <c r="O11" s="1" t="s">
        <v>19</v>
      </c>
      <c r="P11" t="str">
        <f>VLOOKUP(Best_Fresh_Shipment_By_Item[[#This Row],[ShipID]],BFShipData,5,FALSE)</f>
        <v>A</v>
      </c>
    </row>
    <row r="12" spans="1:16" x14ac:dyDescent="0.2">
      <c r="A12">
        <v>15134</v>
      </c>
      <c r="B12">
        <v>104</v>
      </c>
      <c r="C12" s="1" t="s">
        <v>15</v>
      </c>
      <c r="D12">
        <v>1023</v>
      </c>
      <c r="E12">
        <v>1</v>
      </c>
      <c r="F12" s="1" t="s">
        <v>38</v>
      </c>
      <c r="G12" s="1" t="s">
        <v>36</v>
      </c>
      <c r="H12" s="1" t="s">
        <v>18</v>
      </c>
      <c r="I12">
        <v>0.5</v>
      </c>
      <c r="J12">
        <v>12</v>
      </c>
      <c r="K12">
        <v>10</v>
      </c>
      <c r="L12" s="2">
        <v>39582</v>
      </c>
      <c r="M12" s="2">
        <v>39583</v>
      </c>
      <c r="N12">
        <v>9</v>
      </c>
      <c r="O12" s="1" t="s">
        <v>19</v>
      </c>
      <c r="P12" t="str">
        <f>VLOOKUP(Best_Fresh_Shipment_By_Item[[#This Row],[ShipID]],BFShipData,5,FALSE)</f>
        <v>A</v>
      </c>
    </row>
    <row r="13" spans="1:16" x14ac:dyDescent="0.2">
      <c r="A13">
        <v>15135</v>
      </c>
      <c r="B13">
        <v>104</v>
      </c>
      <c r="C13" s="1" t="s">
        <v>15</v>
      </c>
      <c r="D13">
        <v>1017</v>
      </c>
      <c r="E13">
        <v>3</v>
      </c>
      <c r="F13" s="1" t="s">
        <v>16</v>
      </c>
      <c r="G13" s="1" t="s">
        <v>17</v>
      </c>
      <c r="H13" s="1" t="s">
        <v>18</v>
      </c>
      <c r="I13">
        <v>0.5</v>
      </c>
      <c r="J13">
        <v>12</v>
      </c>
      <c r="K13">
        <v>10</v>
      </c>
      <c r="L13" s="2">
        <v>39581</v>
      </c>
      <c r="M13" s="2">
        <v>39583</v>
      </c>
      <c r="N13">
        <v>10</v>
      </c>
      <c r="O13" s="1" t="s">
        <v>19</v>
      </c>
      <c r="P13" t="str">
        <f>VLOOKUP(Best_Fresh_Shipment_By_Item[[#This Row],[ShipID]],BFShipData,5,FALSE)</f>
        <v>A</v>
      </c>
    </row>
    <row r="14" spans="1:16" x14ac:dyDescent="0.2">
      <c r="A14">
        <v>15154</v>
      </c>
      <c r="B14">
        <v>104</v>
      </c>
      <c r="C14" s="1" t="s">
        <v>15</v>
      </c>
      <c r="D14">
        <v>1017</v>
      </c>
      <c r="E14">
        <v>2</v>
      </c>
      <c r="F14" s="1" t="s">
        <v>16</v>
      </c>
      <c r="G14" s="1" t="s">
        <v>17</v>
      </c>
      <c r="H14" s="1" t="s">
        <v>18</v>
      </c>
      <c r="I14">
        <v>0.5</v>
      </c>
      <c r="J14">
        <v>12</v>
      </c>
      <c r="K14">
        <v>10</v>
      </c>
      <c r="L14" s="2">
        <v>39585</v>
      </c>
      <c r="M14" s="2">
        <v>39586</v>
      </c>
      <c r="N14">
        <v>10</v>
      </c>
      <c r="O14" s="1" t="s">
        <v>19</v>
      </c>
      <c r="P14" t="str">
        <f>VLOOKUP(Best_Fresh_Shipment_By_Item[[#This Row],[ShipID]],BFShipData,5,FALSE)</f>
        <v>A</v>
      </c>
    </row>
    <row r="15" spans="1:16" x14ac:dyDescent="0.2">
      <c r="A15">
        <v>15167</v>
      </c>
      <c r="B15">
        <v>104</v>
      </c>
      <c r="C15" s="1" t="s">
        <v>15</v>
      </c>
      <c r="D15">
        <v>1008</v>
      </c>
      <c r="E15">
        <v>2</v>
      </c>
      <c r="F15" s="1" t="s">
        <v>20</v>
      </c>
      <c r="G15" s="1" t="s">
        <v>21</v>
      </c>
      <c r="H15" s="1" t="s">
        <v>22</v>
      </c>
      <c r="I15">
        <v>8</v>
      </c>
      <c r="J15">
        <v>24</v>
      </c>
      <c r="K15">
        <v>12</v>
      </c>
      <c r="L15" s="2">
        <v>39582</v>
      </c>
      <c r="M15" s="2">
        <v>39586</v>
      </c>
      <c r="N15">
        <v>30</v>
      </c>
      <c r="O15" s="1" t="s">
        <v>19</v>
      </c>
      <c r="P15" t="str">
        <f>VLOOKUP(Best_Fresh_Shipment_By_Item[[#This Row],[ShipID]],BFShipData,5,FALSE)</f>
        <v>A</v>
      </c>
    </row>
    <row r="16" spans="1:16" x14ac:dyDescent="0.2">
      <c r="A16">
        <v>15183</v>
      </c>
      <c r="B16">
        <v>104</v>
      </c>
      <c r="C16" s="1" t="s">
        <v>15</v>
      </c>
      <c r="D16">
        <v>1004</v>
      </c>
      <c r="E16">
        <v>1</v>
      </c>
      <c r="F16" s="1" t="s">
        <v>23</v>
      </c>
      <c r="G16" s="1" t="s">
        <v>24</v>
      </c>
      <c r="H16" s="1" t="s">
        <v>22</v>
      </c>
      <c r="I16">
        <v>32</v>
      </c>
      <c r="J16">
        <v>16</v>
      </c>
      <c r="K16">
        <v>24</v>
      </c>
      <c r="L16" s="2">
        <v>39589</v>
      </c>
      <c r="M16" s="2">
        <v>39590</v>
      </c>
      <c r="N16">
        <v>14</v>
      </c>
      <c r="O16" s="1" t="s">
        <v>19</v>
      </c>
      <c r="P16" t="str">
        <f>VLOOKUP(Best_Fresh_Shipment_By_Item[[#This Row],[ShipID]],BFShipData,5,FALSE)</f>
        <v>A</v>
      </c>
    </row>
    <row r="17" spans="1:16" x14ac:dyDescent="0.2">
      <c r="A17">
        <v>15186</v>
      </c>
      <c r="B17">
        <v>104</v>
      </c>
      <c r="C17" s="1" t="s">
        <v>15</v>
      </c>
      <c r="D17">
        <v>1032</v>
      </c>
      <c r="E17">
        <v>1</v>
      </c>
      <c r="F17" s="1" t="s">
        <v>25</v>
      </c>
      <c r="G17" s="1" t="s">
        <v>26</v>
      </c>
      <c r="H17" s="1" t="s">
        <v>27</v>
      </c>
      <c r="I17">
        <v>1</v>
      </c>
      <c r="J17">
        <v>16</v>
      </c>
      <c r="K17">
        <v>14</v>
      </c>
      <c r="L17" s="2">
        <v>39586</v>
      </c>
      <c r="M17" s="2">
        <v>39590</v>
      </c>
      <c r="N17">
        <v>15</v>
      </c>
      <c r="O17" s="1" t="s">
        <v>19</v>
      </c>
      <c r="P17" t="str">
        <f>VLOOKUP(Best_Fresh_Shipment_By_Item[[#This Row],[ShipID]],BFShipData,5,FALSE)</f>
        <v>A</v>
      </c>
    </row>
    <row r="18" spans="1:16" x14ac:dyDescent="0.2">
      <c r="A18">
        <v>15231</v>
      </c>
      <c r="B18">
        <v>104</v>
      </c>
      <c r="C18" s="1" t="s">
        <v>15</v>
      </c>
      <c r="D18">
        <v>1021</v>
      </c>
      <c r="E18">
        <v>2</v>
      </c>
      <c r="F18" s="1" t="s">
        <v>28</v>
      </c>
      <c r="G18" s="1" t="s">
        <v>29</v>
      </c>
      <c r="H18" s="1" t="s">
        <v>18</v>
      </c>
      <c r="I18">
        <v>1</v>
      </c>
      <c r="J18">
        <v>4</v>
      </c>
      <c r="K18">
        <v>5.75</v>
      </c>
      <c r="L18" s="2">
        <v>39583</v>
      </c>
      <c r="M18" s="2">
        <v>39587</v>
      </c>
      <c r="N18">
        <v>10</v>
      </c>
      <c r="O18" s="1" t="s">
        <v>19</v>
      </c>
      <c r="P18" t="str">
        <f>VLOOKUP(Best_Fresh_Shipment_By_Item[[#This Row],[ShipID]],BFShipData,5,FALSE)</f>
        <v>A</v>
      </c>
    </row>
    <row r="19" spans="1:16" x14ac:dyDescent="0.2">
      <c r="A19">
        <v>15261</v>
      </c>
      <c r="B19">
        <v>104</v>
      </c>
      <c r="C19" s="1" t="s">
        <v>15</v>
      </c>
      <c r="D19">
        <v>1014</v>
      </c>
      <c r="E19">
        <v>1</v>
      </c>
      <c r="F19" s="1" t="s">
        <v>30</v>
      </c>
      <c r="G19" s="1" t="s">
        <v>31</v>
      </c>
      <c r="H19" s="1" t="s">
        <v>18</v>
      </c>
      <c r="I19">
        <v>0.5</v>
      </c>
      <c r="J19">
        <v>12</v>
      </c>
      <c r="K19">
        <v>10</v>
      </c>
      <c r="L19" s="2">
        <v>39583</v>
      </c>
      <c r="M19" s="2">
        <v>39587</v>
      </c>
      <c r="N19">
        <v>12</v>
      </c>
      <c r="O19" s="1" t="s">
        <v>19</v>
      </c>
      <c r="P19" t="str">
        <f>VLOOKUP(Best_Fresh_Shipment_By_Item[[#This Row],[ShipID]],BFShipData,5,FALSE)</f>
        <v>A</v>
      </c>
    </row>
    <row r="20" spans="1:16" x14ac:dyDescent="0.2">
      <c r="A20">
        <v>15304</v>
      </c>
      <c r="B20">
        <v>104</v>
      </c>
      <c r="C20" s="1" t="s">
        <v>15</v>
      </c>
      <c r="D20">
        <v>1008</v>
      </c>
      <c r="E20">
        <v>1</v>
      </c>
      <c r="F20" s="1" t="s">
        <v>20</v>
      </c>
      <c r="G20" s="1" t="s">
        <v>21</v>
      </c>
      <c r="H20" s="1" t="s">
        <v>22</v>
      </c>
      <c r="I20">
        <v>8</v>
      </c>
      <c r="J20">
        <v>24</v>
      </c>
      <c r="K20">
        <v>12</v>
      </c>
      <c r="L20" s="2">
        <v>39586</v>
      </c>
      <c r="M20" s="2">
        <v>39590</v>
      </c>
      <c r="N20">
        <v>30</v>
      </c>
      <c r="O20" s="1" t="s">
        <v>19</v>
      </c>
      <c r="P20" t="str">
        <f>VLOOKUP(Best_Fresh_Shipment_By_Item[[#This Row],[ShipID]],BFShipData,5,FALSE)</f>
        <v>A</v>
      </c>
    </row>
    <row r="21" spans="1:16" x14ac:dyDescent="0.2">
      <c r="A21">
        <v>15319</v>
      </c>
      <c r="B21">
        <v>104</v>
      </c>
      <c r="C21" s="1" t="s">
        <v>15</v>
      </c>
      <c r="D21">
        <v>1026</v>
      </c>
      <c r="E21">
        <v>2</v>
      </c>
      <c r="F21" s="1" t="s">
        <v>32</v>
      </c>
      <c r="G21" s="1" t="s">
        <v>33</v>
      </c>
      <c r="H21" s="1" t="s">
        <v>34</v>
      </c>
      <c r="I21">
        <v>1</v>
      </c>
      <c r="J21">
        <v>16</v>
      </c>
      <c r="K21">
        <v>26</v>
      </c>
      <c r="L21" s="2">
        <v>39591</v>
      </c>
      <c r="M21" s="2">
        <v>39593</v>
      </c>
      <c r="N21">
        <v>60</v>
      </c>
      <c r="O21" s="1" t="s">
        <v>19</v>
      </c>
      <c r="P21" t="str">
        <f>VLOOKUP(Best_Fresh_Shipment_By_Item[[#This Row],[ShipID]],BFShipData,5,FALSE)</f>
        <v>A</v>
      </c>
    </row>
    <row r="22" spans="1:16" x14ac:dyDescent="0.2">
      <c r="A22">
        <v>15320</v>
      </c>
      <c r="B22">
        <v>104</v>
      </c>
      <c r="C22" s="1" t="s">
        <v>15</v>
      </c>
      <c r="D22">
        <v>1024</v>
      </c>
      <c r="E22">
        <v>2</v>
      </c>
      <c r="F22" s="1" t="s">
        <v>35</v>
      </c>
      <c r="G22" s="1" t="s">
        <v>36</v>
      </c>
      <c r="H22" s="1" t="s">
        <v>18</v>
      </c>
      <c r="I22">
        <v>1</v>
      </c>
      <c r="J22">
        <v>4</v>
      </c>
      <c r="K22">
        <v>5.75</v>
      </c>
      <c r="L22" s="2">
        <v>39589</v>
      </c>
      <c r="M22" s="2">
        <v>39593</v>
      </c>
      <c r="N22">
        <v>9</v>
      </c>
      <c r="O22" s="1" t="s">
        <v>19</v>
      </c>
      <c r="P22" t="str">
        <f>VLOOKUP(Best_Fresh_Shipment_By_Item[[#This Row],[ShipID]],BFShipData,5,FALSE)</f>
        <v>A</v>
      </c>
    </row>
    <row r="23" spans="1:16" x14ac:dyDescent="0.2">
      <c r="A23">
        <v>15329</v>
      </c>
      <c r="B23">
        <v>104</v>
      </c>
      <c r="C23" s="1" t="s">
        <v>15</v>
      </c>
      <c r="D23">
        <v>1003</v>
      </c>
      <c r="E23">
        <v>3</v>
      </c>
      <c r="F23" s="1" t="s">
        <v>37</v>
      </c>
      <c r="G23" s="1" t="s">
        <v>24</v>
      </c>
      <c r="H23" s="1" t="s">
        <v>22</v>
      </c>
      <c r="I23">
        <v>16</v>
      </c>
      <c r="J23">
        <v>24</v>
      </c>
      <c r="K23">
        <v>23</v>
      </c>
      <c r="L23" s="2">
        <v>39591</v>
      </c>
      <c r="M23" s="2">
        <v>39593</v>
      </c>
      <c r="N23">
        <v>14</v>
      </c>
      <c r="O23" s="1" t="s">
        <v>19</v>
      </c>
      <c r="P23" t="str">
        <f>VLOOKUP(Best_Fresh_Shipment_By_Item[[#This Row],[ShipID]],BFShipData,5,FALSE)</f>
        <v>A</v>
      </c>
    </row>
    <row r="24" spans="1:16" x14ac:dyDescent="0.2">
      <c r="A24">
        <v>15333</v>
      </c>
      <c r="B24">
        <v>104</v>
      </c>
      <c r="C24" s="1" t="s">
        <v>15</v>
      </c>
      <c r="D24">
        <v>1023</v>
      </c>
      <c r="E24">
        <v>1</v>
      </c>
      <c r="F24" s="1" t="s">
        <v>38</v>
      </c>
      <c r="G24" s="1" t="s">
        <v>36</v>
      </c>
      <c r="H24" s="1" t="s">
        <v>18</v>
      </c>
      <c r="I24">
        <v>0.5</v>
      </c>
      <c r="J24">
        <v>12</v>
      </c>
      <c r="K24">
        <v>10</v>
      </c>
      <c r="L24" s="2">
        <v>39592</v>
      </c>
      <c r="M24" s="2">
        <v>39593</v>
      </c>
      <c r="N24">
        <v>9</v>
      </c>
      <c r="O24" s="1" t="s">
        <v>19</v>
      </c>
      <c r="P24" t="str">
        <f>VLOOKUP(Best_Fresh_Shipment_By_Item[[#This Row],[ShipID]],BFShipData,5,FALSE)</f>
        <v>A</v>
      </c>
    </row>
    <row r="25" spans="1:16" x14ac:dyDescent="0.2">
      <c r="A25">
        <v>15334</v>
      </c>
      <c r="B25">
        <v>104</v>
      </c>
      <c r="C25" s="1" t="s">
        <v>15</v>
      </c>
      <c r="D25">
        <v>1017</v>
      </c>
      <c r="E25">
        <v>3</v>
      </c>
      <c r="F25" s="1" t="s">
        <v>16</v>
      </c>
      <c r="G25" s="1" t="s">
        <v>17</v>
      </c>
      <c r="H25" s="1" t="s">
        <v>18</v>
      </c>
      <c r="I25">
        <v>0.5</v>
      </c>
      <c r="J25">
        <v>12</v>
      </c>
      <c r="K25">
        <v>10</v>
      </c>
      <c r="L25" s="2">
        <v>39591</v>
      </c>
      <c r="M25" s="2">
        <v>39593</v>
      </c>
      <c r="N25">
        <v>10</v>
      </c>
      <c r="O25" s="1" t="s">
        <v>19</v>
      </c>
      <c r="P25" t="str">
        <f>VLOOKUP(Best_Fresh_Shipment_By_Item[[#This Row],[ShipID]],BFShipData,5,FALSE)</f>
        <v>D</v>
      </c>
    </row>
    <row r="26" spans="1:16" x14ac:dyDescent="0.2">
      <c r="A26">
        <v>15353</v>
      </c>
      <c r="B26">
        <v>104</v>
      </c>
      <c r="C26" s="1" t="s">
        <v>15</v>
      </c>
      <c r="D26">
        <v>1017</v>
      </c>
      <c r="E26">
        <v>2</v>
      </c>
      <c r="F26" s="1" t="s">
        <v>16</v>
      </c>
      <c r="G26" s="1" t="s">
        <v>17</v>
      </c>
      <c r="H26" s="1" t="s">
        <v>18</v>
      </c>
      <c r="I26">
        <v>0.5</v>
      </c>
      <c r="J26">
        <v>12</v>
      </c>
      <c r="K26">
        <v>10</v>
      </c>
      <c r="L26" s="2">
        <v>39597</v>
      </c>
      <c r="M26" s="2">
        <v>39598</v>
      </c>
      <c r="N26">
        <v>10</v>
      </c>
      <c r="O26" s="1" t="s">
        <v>19</v>
      </c>
      <c r="P26" t="str">
        <f>VLOOKUP(Best_Fresh_Shipment_By_Item[[#This Row],[ShipID]],BFShipData,5,FALSE)</f>
        <v>A</v>
      </c>
    </row>
    <row r="27" spans="1:16" x14ac:dyDescent="0.2">
      <c r="A27">
        <v>15064</v>
      </c>
      <c r="B27">
        <v>107</v>
      </c>
      <c r="C27" s="1" t="s">
        <v>39</v>
      </c>
      <c r="D27">
        <v>1017</v>
      </c>
      <c r="E27">
        <v>3</v>
      </c>
      <c r="F27" s="1" t="s">
        <v>16</v>
      </c>
      <c r="G27" s="1" t="s">
        <v>17</v>
      </c>
      <c r="H27" s="1" t="s">
        <v>18</v>
      </c>
      <c r="I27">
        <v>0.5</v>
      </c>
      <c r="J27">
        <v>12</v>
      </c>
      <c r="K27">
        <v>10</v>
      </c>
      <c r="L27" s="2">
        <v>39572</v>
      </c>
      <c r="M27" s="2">
        <v>39576</v>
      </c>
      <c r="N27">
        <v>10</v>
      </c>
      <c r="O27" s="1" t="s">
        <v>19</v>
      </c>
      <c r="P27" t="str">
        <f>VLOOKUP(Best_Fresh_Shipment_By_Item[[#This Row],[ShipID]],BFShipData,5,FALSE)</f>
        <v>A</v>
      </c>
    </row>
    <row r="28" spans="1:16" x14ac:dyDescent="0.2">
      <c r="A28">
        <v>15263</v>
      </c>
      <c r="B28">
        <v>107</v>
      </c>
      <c r="C28" s="1" t="s">
        <v>39</v>
      </c>
      <c r="D28">
        <v>1017</v>
      </c>
      <c r="E28">
        <v>3</v>
      </c>
      <c r="F28" s="1" t="s">
        <v>16</v>
      </c>
      <c r="G28" s="1" t="s">
        <v>17</v>
      </c>
      <c r="H28" s="1" t="s">
        <v>18</v>
      </c>
      <c r="I28">
        <v>0.5</v>
      </c>
      <c r="J28">
        <v>12</v>
      </c>
      <c r="K28">
        <v>10</v>
      </c>
      <c r="L28" s="2">
        <v>39585</v>
      </c>
      <c r="M28" s="2">
        <v>39587</v>
      </c>
      <c r="N28">
        <v>10</v>
      </c>
      <c r="O28" s="1" t="s">
        <v>19</v>
      </c>
      <c r="P28" t="str">
        <f>VLOOKUP(Best_Fresh_Shipment_By_Item[[#This Row],[ShipID]],BFShipData,5,FALSE)</f>
        <v>A</v>
      </c>
    </row>
    <row r="29" spans="1:16" x14ac:dyDescent="0.2">
      <c r="A29">
        <v>14965</v>
      </c>
      <c r="B29">
        <v>117</v>
      </c>
      <c r="C29" s="1" t="s">
        <v>15</v>
      </c>
      <c r="D29">
        <v>1023</v>
      </c>
      <c r="E29">
        <v>2</v>
      </c>
      <c r="F29" s="1" t="s">
        <v>38</v>
      </c>
      <c r="G29" s="1" t="s">
        <v>36</v>
      </c>
      <c r="H29" s="1" t="s">
        <v>18</v>
      </c>
      <c r="I29">
        <v>0.5</v>
      </c>
      <c r="J29">
        <v>12</v>
      </c>
      <c r="K29">
        <v>10</v>
      </c>
      <c r="L29" s="2">
        <v>39566</v>
      </c>
      <c r="M29" s="2">
        <v>39569</v>
      </c>
      <c r="N29">
        <v>9</v>
      </c>
      <c r="O29" s="1" t="s">
        <v>19</v>
      </c>
      <c r="P29" t="str">
        <f>VLOOKUP(Best_Fresh_Shipment_By_Item[[#This Row],[ShipID]],BFShipData,5,FALSE)</f>
        <v>A</v>
      </c>
    </row>
    <row r="30" spans="1:16" x14ac:dyDescent="0.2">
      <c r="A30">
        <v>14972</v>
      </c>
      <c r="B30">
        <v>117</v>
      </c>
      <c r="C30" s="1" t="s">
        <v>15</v>
      </c>
      <c r="D30">
        <v>1027</v>
      </c>
      <c r="E30">
        <v>1</v>
      </c>
      <c r="F30" s="1" t="s">
        <v>40</v>
      </c>
      <c r="G30" s="1" t="s">
        <v>33</v>
      </c>
      <c r="H30" s="1" t="s">
        <v>34</v>
      </c>
      <c r="I30">
        <v>0.5</v>
      </c>
      <c r="J30">
        <v>16</v>
      </c>
      <c r="K30">
        <v>20</v>
      </c>
      <c r="L30" s="2">
        <v>39568</v>
      </c>
      <c r="M30" s="2">
        <v>39572</v>
      </c>
      <c r="N30">
        <v>60</v>
      </c>
      <c r="O30" s="1" t="s">
        <v>19</v>
      </c>
      <c r="P30" t="str">
        <f>VLOOKUP(Best_Fresh_Shipment_By_Item[[#This Row],[ShipID]],BFShipData,5,FALSE)</f>
        <v>A</v>
      </c>
    </row>
    <row r="31" spans="1:16" hidden="1" x14ac:dyDescent="0.2">
      <c r="A31">
        <v>14982</v>
      </c>
      <c r="B31">
        <v>117</v>
      </c>
      <c r="C31" s="1" t="s">
        <v>15</v>
      </c>
      <c r="D31">
        <v>1027</v>
      </c>
      <c r="E31">
        <v>1</v>
      </c>
      <c r="F31" s="1" t="s">
        <v>40</v>
      </c>
      <c r="G31" s="1" t="s">
        <v>33</v>
      </c>
      <c r="H31" s="1" t="s">
        <v>34</v>
      </c>
      <c r="I31">
        <v>0.5</v>
      </c>
      <c r="J31">
        <v>16</v>
      </c>
      <c r="K31">
        <v>20</v>
      </c>
      <c r="L31" s="2">
        <v>39571</v>
      </c>
      <c r="M31" s="2">
        <v>39572</v>
      </c>
      <c r="N31">
        <v>60</v>
      </c>
      <c r="O31" s="1" t="s">
        <v>19</v>
      </c>
      <c r="P31" t="str">
        <f>VLOOKUP(Best_Fresh_Shipment_By_Item[[#This Row],[ShipID]],BFShipData,5,FALSE)</f>
        <v>I</v>
      </c>
    </row>
    <row r="32" spans="1:16" x14ac:dyDescent="0.2">
      <c r="A32">
        <v>14995</v>
      </c>
      <c r="B32">
        <v>117</v>
      </c>
      <c r="C32" s="1" t="s">
        <v>15</v>
      </c>
      <c r="D32">
        <v>1011</v>
      </c>
      <c r="E32">
        <v>2</v>
      </c>
      <c r="F32" s="1" t="s">
        <v>41</v>
      </c>
      <c r="G32" s="1" t="s">
        <v>42</v>
      </c>
      <c r="H32" s="1" t="s">
        <v>22</v>
      </c>
      <c r="I32">
        <v>8</v>
      </c>
      <c r="J32">
        <v>24</v>
      </c>
      <c r="K32">
        <v>14</v>
      </c>
      <c r="L32" s="2">
        <v>39571</v>
      </c>
      <c r="M32" s="2">
        <v>39572</v>
      </c>
      <c r="N32">
        <v>30</v>
      </c>
      <c r="O32" s="1" t="s">
        <v>19</v>
      </c>
      <c r="P32" t="str">
        <f>VLOOKUP(Best_Fresh_Shipment_By_Item[[#This Row],[ShipID]],BFShipData,5,FALSE)</f>
        <v>A</v>
      </c>
    </row>
    <row r="33" spans="1:16" x14ac:dyDescent="0.2">
      <c r="A33">
        <v>15033</v>
      </c>
      <c r="B33">
        <v>117</v>
      </c>
      <c r="C33" s="1" t="s">
        <v>15</v>
      </c>
      <c r="D33">
        <v>1021</v>
      </c>
      <c r="E33">
        <v>2</v>
      </c>
      <c r="F33" s="1" t="s">
        <v>28</v>
      </c>
      <c r="G33" s="1" t="s">
        <v>29</v>
      </c>
      <c r="H33" s="1" t="s">
        <v>18</v>
      </c>
      <c r="I33">
        <v>1</v>
      </c>
      <c r="J33">
        <v>4</v>
      </c>
      <c r="K33">
        <v>5.75</v>
      </c>
      <c r="L33" s="2">
        <v>39573</v>
      </c>
      <c r="M33" s="2">
        <v>39576</v>
      </c>
      <c r="N33">
        <v>10</v>
      </c>
      <c r="O33" s="1" t="s">
        <v>19</v>
      </c>
      <c r="P33" t="str">
        <f>VLOOKUP(Best_Fresh_Shipment_By_Item[[#This Row],[ShipID]],BFShipData,5,FALSE)</f>
        <v>A</v>
      </c>
    </row>
    <row r="34" spans="1:16" x14ac:dyDescent="0.2">
      <c r="A34">
        <v>15037</v>
      </c>
      <c r="B34">
        <v>117</v>
      </c>
      <c r="C34" s="1" t="s">
        <v>15</v>
      </c>
      <c r="D34">
        <v>1012</v>
      </c>
      <c r="E34">
        <v>3</v>
      </c>
      <c r="F34" s="1" t="s">
        <v>43</v>
      </c>
      <c r="G34" s="1" t="s">
        <v>42</v>
      </c>
      <c r="H34" s="1" t="s">
        <v>22</v>
      </c>
      <c r="I34">
        <v>16</v>
      </c>
      <c r="J34">
        <v>24</v>
      </c>
      <c r="K34">
        <v>18</v>
      </c>
      <c r="L34" s="2">
        <v>39575</v>
      </c>
      <c r="M34" s="2">
        <v>39576</v>
      </c>
      <c r="N34">
        <v>30</v>
      </c>
      <c r="O34" s="1" t="s">
        <v>19</v>
      </c>
      <c r="P34" t="str">
        <f>VLOOKUP(Best_Fresh_Shipment_By_Item[[#This Row],[ShipID]],BFShipData,5,FALSE)</f>
        <v>A</v>
      </c>
    </row>
    <row r="35" spans="1:16" x14ac:dyDescent="0.2">
      <c r="A35">
        <v>15055</v>
      </c>
      <c r="B35">
        <v>117</v>
      </c>
      <c r="C35" s="1" t="s">
        <v>15</v>
      </c>
      <c r="D35">
        <v>1026</v>
      </c>
      <c r="E35">
        <v>3</v>
      </c>
      <c r="F35" s="1" t="s">
        <v>32</v>
      </c>
      <c r="G35" s="1" t="s">
        <v>33</v>
      </c>
      <c r="H35" s="1" t="s">
        <v>34</v>
      </c>
      <c r="I35">
        <v>1</v>
      </c>
      <c r="J35">
        <v>16</v>
      </c>
      <c r="K35">
        <v>26</v>
      </c>
      <c r="L35" s="2">
        <v>39573</v>
      </c>
      <c r="M35" s="2">
        <v>39576</v>
      </c>
      <c r="N35">
        <v>60</v>
      </c>
      <c r="O35" s="1" t="s">
        <v>19</v>
      </c>
      <c r="P35" t="str">
        <f>VLOOKUP(Best_Fresh_Shipment_By_Item[[#This Row],[ShipID]],BFShipData,5,FALSE)</f>
        <v>A</v>
      </c>
    </row>
    <row r="36" spans="1:16" x14ac:dyDescent="0.2">
      <c r="A36">
        <v>15057</v>
      </c>
      <c r="B36">
        <v>117</v>
      </c>
      <c r="C36" s="1" t="s">
        <v>15</v>
      </c>
      <c r="D36">
        <v>1010</v>
      </c>
      <c r="E36">
        <v>3</v>
      </c>
      <c r="F36" s="1" t="s">
        <v>44</v>
      </c>
      <c r="G36" s="1" t="s">
        <v>21</v>
      </c>
      <c r="H36" s="1" t="s">
        <v>22</v>
      </c>
      <c r="I36">
        <v>32</v>
      </c>
      <c r="J36">
        <v>18</v>
      </c>
      <c r="K36">
        <v>20</v>
      </c>
      <c r="L36" s="2">
        <v>39572</v>
      </c>
      <c r="M36" s="2">
        <v>39576</v>
      </c>
      <c r="N36">
        <v>30</v>
      </c>
      <c r="O36" s="1" t="s">
        <v>19</v>
      </c>
      <c r="P36" t="str">
        <f>VLOOKUP(Best_Fresh_Shipment_By_Item[[#This Row],[ShipID]],BFShipData,5,FALSE)</f>
        <v>A</v>
      </c>
    </row>
    <row r="37" spans="1:16" x14ac:dyDescent="0.2">
      <c r="A37">
        <v>15113</v>
      </c>
      <c r="B37">
        <v>117</v>
      </c>
      <c r="C37" s="1" t="s">
        <v>15</v>
      </c>
      <c r="D37">
        <v>1014</v>
      </c>
      <c r="E37">
        <v>2</v>
      </c>
      <c r="F37" s="1" t="s">
        <v>30</v>
      </c>
      <c r="G37" s="1" t="s">
        <v>31</v>
      </c>
      <c r="H37" s="1" t="s">
        <v>18</v>
      </c>
      <c r="I37">
        <v>0.5</v>
      </c>
      <c r="J37">
        <v>12</v>
      </c>
      <c r="K37">
        <v>10</v>
      </c>
      <c r="L37" s="2">
        <v>39580</v>
      </c>
      <c r="M37" s="2">
        <v>39583</v>
      </c>
      <c r="N37">
        <v>12</v>
      </c>
      <c r="O37" s="1" t="s">
        <v>19</v>
      </c>
      <c r="P37" t="str">
        <f>VLOOKUP(Best_Fresh_Shipment_By_Item[[#This Row],[ShipID]],BFShipData,5,FALSE)</f>
        <v>A</v>
      </c>
    </row>
    <row r="38" spans="1:16" x14ac:dyDescent="0.2">
      <c r="A38">
        <v>15164</v>
      </c>
      <c r="B38">
        <v>117</v>
      </c>
      <c r="C38" s="1" t="s">
        <v>15</v>
      </c>
      <c r="D38">
        <v>1023</v>
      </c>
      <c r="E38">
        <v>2</v>
      </c>
      <c r="F38" s="1" t="s">
        <v>38</v>
      </c>
      <c r="G38" s="1" t="s">
        <v>36</v>
      </c>
      <c r="H38" s="1" t="s">
        <v>18</v>
      </c>
      <c r="I38">
        <v>0.5</v>
      </c>
      <c r="J38">
        <v>12</v>
      </c>
      <c r="K38">
        <v>10</v>
      </c>
      <c r="L38" s="2">
        <v>39585</v>
      </c>
      <c r="M38" s="2">
        <v>39586</v>
      </c>
      <c r="N38">
        <v>9</v>
      </c>
      <c r="O38" s="1" t="s">
        <v>19</v>
      </c>
      <c r="P38" t="str">
        <f>VLOOKUP(Best_Fresh_Shipment_By_Item[[#This Row],[ShipID]],BFShipData,5,FALSE)</f>
        <v>A</v>
      </c>
    </row>
    <row r="39" spans="1:16" x14ac:dyDescent="0.2">
      <c r="A39">
        <v>15171</v>
      </c>
      <c r="B39">
        <v>117</v>
      </c>
      <c r="C39" s="1" t="s">
        <v>15</v>
      </c>
      <c r="D39">
        <v>1027</v>
      </c>
      <c r="E39">
        <v>1</v>
      </c>
      <c r="F39" s="1" t="s">
        <v>40</v>
      </c>
      <c r="G39" s="1" t="s">
        <v>33</v>
      </c>
      <c r="H39" s="1" t="s">
        <v>34</v>
      </c>
      <c r="I39">
        <v>0.5</v>
      </c>
      <c r="J39">
        <v>16</v>
      </c>
      <c r="K39">
        <v>20</v>
      </c>
      <c r="L39" s="2">
        <v>39586</v>
      </c>
      <c r="M39" s="2">
        <v>39590</v>
      </c>
      <c r="N39">
        <v>60</v>
      </c>
      <c r="O39" s="1" t="s">
        <v>19</v>
      </c>
      <c r="P39" t="str">
        <f>VLOOKUP(Best_Fresh_Shipment_By_Item[[#This Row],[ShipID]],BFShipData,5,FALSE)</f>
        <v>A</v>
      </c>
    </row>
    <row r="40" spans="1:16" x14ac:dyDescent="0.2">
      <c r="A40">
        <v>15181</v>
      </c>
      <c r="B40">
        <v>117</v>
      </c>
      <c r="C40" s="1" t="s">
        <v>15</v>
      </c>
      <c r="D40">
        <v>1027</v>
      </c>
      <c r="E40">
        <v>1</v>
      </c>
      <c r="F40" s="1" t="s">
        <v>40</v>
      </c>
      <c r="G40" s="1" t="s">
        <v>33</v>
      </c>
      <c r="H40" s="1" t="s">
        <v>34</v>
      </c>
      <c r="I40">
        <v>0.5</v>
      </c>
      <c r="J40">
        <v>16</v>
      </c>
      <c r="K40">
        <v>20</v>
      </c>
      <c r="L40" s="2">
        <v>39588</v>
      </c>
      <c r="M40" s="2">
        <v>39590</v>
      </c>
      <c r="N40">
        <v>60</v>
      </c>
      <c r="O40" s="1" t="s">
        <v>19</v>
      </c>
      <c r="P40" t="str">
        <f>VLOOKUP(Best_Fresh_Shipment_By_Item[[#This Row],[ShipID]],BFShipData,5,FALSE)</f>
        <v>A</v>
      </c>
    </row>
    <row r="41" spans="1:16" x14ac:dyDescent="0.2">
      <c r="A41">
        <v>15194</v>
      </c>
      <c r="B41">
        <v>117</v>
      </c>
      <c r="C41" s="1" t="s">
        <v>15</v>
      </c>
      <c r="D41">
        <v>1011</v>
      </c>
      <c r="E41">
        <v>2</v>
      </c>
      <c r="F41" s="1" t="s">
        <v>41</v>
      </c>
      <c r="G41" s="1" t="s">
        <v>42</v>
      </c>
      <c r="H41" s="1" t="s">
        <v>22</v>
      </c>
      <c r="I41">
        <v>8</v>
      </c>
      <c r="J41">
        <v>24</v>
      </c>
      <c r="K41">
        <v>14</v>
      </c>
      <c r="L41" s="2">
        <v>39588</v>
      </c>
      <c r="M41" s="2">
        <v>39590</v>
      </c>
      <c r="N41">
        <v>30</v>
      </c>
      <c r="O41" s="1" t="s">
        <v>19</v>
      </c>
      <c r="P41" t="str">
        <f>VLOOKUP(Best_Fresh_Shipment_By_Item[[#This Row],[ShipID]],BFShipData,5,FALSE)</f>
        <v>A</v>
      </c>
    </row>
    <row r="42" spans="1:16" x14ac:dyDescent="0.2">
      <c r="A42">
        <v>15232</v>
      </c>
      <c r="B42">
        <v>117</v>
      </c>
      <c r="C42" s="1" t="s">
        <v>15</v>
      </c>
      <c r="D42">
        <v>1021</v>
      </c>
      <c r="E42">
        <v>2</v>
      </c>
      <c r="F42" s="1" t="s">
        <v>28</v>
      </c>
      <c r="G42" s="1" t="s">
        <v>29</v>
      </c>
      <c r="H42" s="1" t="s">
        <v>18</v>
      </c>
      <c r="I42">
        <v>1</v>
      </c>
      <c r="J42">
        <v>4</v>
      </c>
      <c r="K42">
        <v>5.75</v>
      </c>
      <c r="L42" s="2">
        <v>39585</v>
      </c>
      <c r="M42" s="2">
        <v>39587</v>
      </c>
      <c r="N42">
        <v>10</v>
      </c>
      <c r="O42" s="1" t="s">
        <v>19</v>
      </c>
      <c r="P42" t="str">
        <f>VLOOKUP(Best_Fresh_Shipment_By_Item[[#This Row],[ShipID]],BFShipData,5,FALSE)</f>
        <v>A</v>
      </c>
    </row>
    <row r="43" spans="1:16" x14ac:dyDescent="0.2">
      <c r="A43">
        <v>15236</v>
      </c>
      <c r="B43">
        <v>117</v>
      </c>
      <c r="C43" s="1" t="s">
        <v>15</v>
      </c>
      <c r="D43">
        <v>1012</v>
      </c>
      <c r="E43">
        <v>3</v>
      </c>
      <c r="F43" s="1" t="s">
        <v>43</v>
      </c>
      <c r="G43" s="1" t="s">
        <v>42</v>
      </c>
      <c r="H43" s="1" t="s">
        <v>22</v>
      </c>
      <c r="I43">
        <v>16</v>
      </c>
      <c r="J43">
        <v>24</v>
      </c>
      <c r="K43">
        <v>18</v>
      </c>
      <c r="L43" s="2">
        <v>39585</v>
      </c>
      <c r="M43" s="2">
        <v>39587</v>
      </c>
      <c r="N43">
        <v>30</v>
      </c>
      <c r="O43" s="1" t="s">
        <v>19</v>
      </c>
      <c r="P43" t="str">
        <f>VLOOKUP(Best_Fresh_Shipment_By_Item[[#This Row],[ShipID]],BFShipData,5,FALSE)</f>
        <v>A</v>
      </c>
    </row>
    <row r="44" spans="1:16" x14ac:dyDescent="0.2">
      <c r="A44">
        <v>15254</v>
      </c>
      <c r="B44">
        <v>117</v>
      </c>
      <c r="C44" s="1" t="s">
        <v>15</v>
      </c>
      <c r="D44">
        <v>1026</v>
      </c>
      <c r="E44">
        <v>3</v>
      </c>
      <c r="F44" s="1" t="s">
        <v>32</v>
      </c>
      <c r="G44" s="1" t="s">
        <v>33</v>
      </c>
      <c r="H44" s="1" t="s">
        <v>34</v>
      </c>
      <c r="I44">
        <v>1</v>
      </c>
      <c r="J44">
        <v>16</v>
      </c>
      <c r="K44">
        <v>26</v>
      </c>
      <c r="L44" s="2">
        <v>39585</v>
      </c>
      <c r="M44" s="2">
        <v>39587</v>
      </c>
      <c r="N44">
        <v>60</v>
      </c>
      <c r="O44" s="1" t="s">
        <v>19</v>
      </c>
      <c r="P44" t="str">
        <f>VLOOKUP(Best_Fresh_Shipment_By_Item[[#This Row],[ShipID]],BFShipData,5,FALSE)</f>
        <v>A</v>
      </c>
    </row>
    <row r="45" spans="1:16" x14ac:dyDescent="0.2">
      <c r="A45">
        <v>15256</v>
      </c>
      <c r="B45">
        <v>117</v>
      </c>
      <c r="C45" s="1" t="s">
        <v>15</v>
      </c>
      <c r="D45">
        <v>1010</v>
      </c>
      <c r="E45">
        <v>3</v>
      </c>
      <c r="F45" s="1" t="s">
        <v>44</v>
      </c>
      <c r="G45" s="1" t="s">
        <v>21</v>
      </c>
      <c r="H45" s="1" t="s">
        <v>22</v>
      </c>
      <c r="I45">
        <v>32</v>
      </c>
      <c r="J45">
        <v>18</v>
      </c>
      <c r="K45">
        <v>20</v>
      </c>
      <c r="L45" s="2">
        <v>39584</v>
      </c>
      <c r="M45" s="2">
        <v>39587</v>
      </c>
      <c r="N45">
        <v>30</v>
      </c>
      <c r="O45" s="1" t="s">
        <v>19</v>
      </c>
      <c r="P45" t="str">
        <f>VLOOKUP(Best_Fresh_Shipment_By_Item[[#This Row],[ShipID]],BFShipData,5,FALSE)</f>
        <v>A</v>
      </c>
    </row>
    <row r="46" spans="1:16" x14ac:dyDescent="0.2">
      <c r="A46">
        <v>15312</v>
      </c>
      <c r="B46">
        <v>117</v>
      </c>
      <c r="C46" s="1" t="s">
        <v>15</v>
      </c>
      <c r="D46">
        <v>1014</v>
      </c>
      <c r="E46">
        <v>2</v>
      </c>
      <c r="F46" s="1" t="s">
        <v>30</v>
      </c>
      <c r="G46" s="1" t="s">
        <v>31</v>
      </c>
      <c r="H46" s="1" t="s">
        <v>18</v>
      </c>
      <c r="I46">
        <v>0.5</v>
      </c>
      <c r="J46">
        <v>12</v>
      </c>
      <c r="K46">
        <v>10</v>
      </c>
      <c r="L46" s="2">
        <v>39592</v>
      </c>
      <c r="M46" s="2">
        <v>39593</v>
      </c>
      <c r="N46">
        <v>12</v>
      </c>
      <c r="O46" s="1" t="s">
        <v>19</v>
      </c>
      <c r="P46" t="str">
        <f>VLOOKUP(Best_Fresh_Shipment_By_Item[[#This Row],[ShipID]],BFShipData,5,FALSE)</f>
        <v>A</v>
      </c>
    </row>
    <row r="47" spans="1:16" x14ac:dyDescent="0.2">
      <c r="A47">
        <v>15363</v>
      </c>
      <c r="B47">
        <v>117</v>
      </c>
      <c r="C47" s="1" t="s">
        <v>15</v>
      </c>
      <c r="D47">
        <v>1023</v>
      </c>
      <c r="E47">
        <v>2</v>
      </c>
      <c r="F47" s="1" t="s">
        <v>38</v>
      </c>
      <c r="G47" s="1" t="s">
        <v>36</v>
      </c>
      <c r="H47" s="1" t="s">
        <v>18</v>
      </c>
      <c r="I47">
        <v>0.5</v>
      </c>
      <c r="J47">
        <v>12</v>
      </c>
      <c r="K47">
        <v>10</v>
      </c>
      <c r="L47" s="2">
        <v>39597</v>
      </c>
      <c r="M47" s="2">
        <v>39598</v>
      </c>
      <c r="N47">
        <v>9</v>
      </c>
      <c r="O47" s="1" t="s">
        <v>19</v>
      </c>
      <c r="P47" t="str">
        <f>VLOOKUP(Best_Fresh_Shipment_By_Item[[#This Row],[ShipID]],BFShipData,5,FALSE)</f>
        <v>A</v>
      </c>
    </row>
    <row r="48" spans="1:16" x14ac:dyDescent="0.2">
      <c r="A48">
        <v>14963</v>
      </c>
      <c r="B48">
        <v>126</v>
      </c>
      <c r="C48" s="1" t="s">
        <v>45</v>
      </c>
      <c r="D48">
        <v>1028</v>
      </c>
      <c r="E48">
        <v>1</v>
      </c>
      <c r="F48" s="1" t="s">
        <v>46</v>
      </c>
      <c r="G48" s="1" t="s">
        <v>47</v>
      </c>
      <c r="H48" s="1" t="s">
        <v>34</v>
      </c>
      <c r="I48">
        <v>0.5</v>
      </c>
      <c r="J48">
        <v>20</v>
      </c>
      <c r="K48">
        <v>20.5</v>
      </c>
      <c r="L48" s="2">
        <v>39568</v>
      </c>
      <c r="M48" s="2">
        <v>39569</v>
      </c>
      <c r="N48">
        <v>60</v>
      </c>
      <c r="O48" s="1" t="s">
        <v>19</v>
      </c>
      <c r="P48" t="str">
        <f>VLOOKUP(Best_Fresh_Shipment_By_Item[[#This Row],[ShipID]],BFShipData,5,FALSE)</f>
        <v>A</v>
      </c>
    </row>
    <row r="49" spans="1:16" x14ac:dyDescent="0.2">
      <c r="A49">
        <v>14966</v>
      </c>
      <c r="B49">
        <v>126</v>
      </c>
      <c r="C49" s="1" t="s">
        <v>45</v>
      </c>
      <c r="D49">
        <v>1020</v>
      </c>
      <c r="E49">
        <v>3</v>
      </c>
      <c r="F49" s="1" t="s">
        <v>48</v>
      </c>
      <c r="G49" s="1" t="s">
        <v>29</v>
      </c>
      <c r="H49" s="1" t="s">
        <v>18</v>
      </c>
      <c r="I49">
        <v>0.5</v>
      </c>
      <c r="J49">
        <v>12</v>
      </c>
      <c r="K49">
        <v>10</v>
      </c>
      <c r="L49" s="2">
        <v>39568</v>
      </c>
      <c r="M49" s="2">
        <v>39569</v>
      </c>
      <c r="N49">
        <v>10</v>
      </c>
      <c r="O49" s="1" t="s">
        <v>19</v>
      </c>
      <c r="P49" t="str">
        <f>VLOOKUP(Best_Fresh_Shipment_By_Item[[#This Row],[ShipID]],BFShipData,5,FALSE)</f>
        <v>A</v>
      </c>
    </row>
    <row r="50" spans="1:16" x14ac:dyDescent="0.2">
      <c r="A50">
        <v>14981</v>
      </c>
      <c r="B50">
        <v>126</v>
      </c>
      <c r="C50" s="1" t="s">
        <v>45</v>
      </c>
      <c r="D50">
        <v>1021</v>
      </c>
      <c r="E50">
        <v>2</v>
      </c>
      <c r="F50" s="1" t="s">
        <v>28</v>
      </c>
      <c r="G50" s="1" t="s">
        <v>29</v>
      </c>
      <c r="H50" s="1" t="s">
        <v>18</v>
      </c>
      <c r="I50">
        <v>1</v>
      </c>
      <c r="J50">
        <v>4</v>
      </c>
      <c r="K50">
        <v>5.75</v>
      </c>
      <c r="L50" s="2">
        <v>39571</v>
      </c>
      <c r="M50" s="2">
        <v>39572</v>
      </c>
      <c r="N50">
        <v>10</v>
      </c>
      <c r="O50" s="1" t="s">
        <v>19</v>
      </c>
      <c r="P50" t="str">
        <f>VLOOKUP(Best_Fresh_Shipment_By_Item[[#This Row],[ShipID]],BFShipData,5,FALSE)</f>
        <v>A</v>
      </c>
    </row>
    <row r="51" spans="1:16" x14ac:dyDescent="0.2">
      <c r="A51">
        <v>14997</v>
      </c>
      <c r="B51">
        <v>126</v>
      </c>
      <c r="C51" s="1" t="s">
        <v>45</v>
      </c>
      <c r="D51">
        <v>1015</v>
      </c>
      <c r="E51">
        <v>2</v>
      </c>
      <c r="F51" s="1" t="s">
        <v>49</v>
      </c>
      <c r="G51" s="1" t="s">
        <v>31</v>
      </c>
      <c r="H51" s="1" t="s">
        <v>18</v>
      </c>
      <c r="I51">
        <v>1</v>
      </c>
      <c r="J51">
        <v>4</v>
      </c>
      <c r="K51">
        <v>5.75</v>
      </c>
      <c r="L51" s="2">
        <v>39573</v>
      </c>
      <c r="M51" s="2">
        <v>39576</v>
      </c>
      <c r="N51">
        <v>12</v>
      </c>
      <c r="O51" s="1" t="s">
        <v>19</v>
      </c>
      <c r="P51" t="str">
        <f>VLOOKUP(Best_Fresh_Shipment_By_Item[[#This Row],[ShipID]],BFShipData,5,FALSE)</f>
        <v>A</v>
      </c>
    </row>
    <row r="52" spans="1:16" x14ac:dyDescent="0.2">
      <c r="A52">
        <v>15149</v>
      </c>
      <c r="B52">
        <v>126</v>
      </c>
      <c r="C52" s="1" t="s">
        <v>45</v>
      </c>
      <c r="D52">
        <v>1026</v>
      </c>
      <c r="E52">
        <v>2</v>
      </c>
      <c r="F52" s="1" t="s">
        <v>32</v>
      </c>
      <c r="G52" s="1" t="s">
        <v>33</v>
      </c>
      <c r="H52" s="1" t="s">
        <v>34</v>
      </c>
      <c r="I52">
        <v>1</v>
      </c>
      <c r="J52">
        <v>16</v>
      </c>
      <c r="K52">
        <v>26</v>
      </c>
      <c r="L52" s="2">
        <v>39583</v>
      </c>
      <c r="M52" s="2">
        <v>39586</v>
      </c>
      <c r="N52">
        <v>60</v>
      </c>
      <c r="O52" s="1" t="s">
        <v>19</v>
      </c>
      <c r="P52" t="str">
        <f>VLOOKUP(Best_Fresh_Shipment_By_Item[[#This Row],[ShipID]],BFShipData,5,FALSE)</f>
        <v>A</v>
      </c>
    </row>
    <row r="53" spans="1:16" x14ac:dyDescent="0.2">
      <c r="A53">
        <v>15162</v>
      </c>
      <c r="B53">
        <v>126</v>
      </c>
      <c r="C53" s="1" t="s">
        <v>45</v>
      </c>
      <c r="D53">
        <v>1028</v>
      </c>
      <c r="E53">
        <v>1</v>
      </c>
      <c r="F53" s="1" t="s">
        <v>46</v>
      </c>
      <c r="G53" s="1" t="s">
        <v>47</v>
      </c>
      <c r="H53" s="1" t="s">
        <v>34</v>
      </c>
      <c r="I53">
        <v>0.5</v>
      </c>
      <c r="J53">
        <v>20</v>
      </c>
      <c r="K53">
        <v>20.5</v>
      </c>
      <c r="L53" s="2">
        <v>39582</v>
      </c>
      <c r="M53" s="2">
        <v>39586</v>
      </c>
      <c r="N53">
        <v>60</v>
      </c>
      <c r="O53" s="1" t="s">
        <v>19</v>
      </c>
      <c r="P53" t="str">
        <f>VLOOKUP(Best_Fresh_Shipment_By_Item[[#This Row],[ShipID]],BFShipData,5,FALSE)</f>
        <v>A</v>
      </c>
    </row>
    <row r="54" spans="1:16" x14ac:dyDescent="0.2">
      <c r="A54">
        <v>15165</v>
      </c>
      <c r="B54">
        <v>126</v>
      </c>
      <c r="C54" s="1" t="s">
        <v>45</v>
      </c>
      <c r="D54">
        <v>1020</v>
      </c>
      <c r="E54">
        <v>3</v>
      </c>
      <c r="F54" s="1" t="s">
        <v>48</v>
      </c>
      <c r="G54" s="1" t="s">
        <v>29</v>
      </c>
      <c r="H54" s="1" t="s">
        <v>18</v>
      </c>
      <c r="I54">
        <v>0.5</v>
      </c>
      <c r="J54">
        <v>12</v>
      </c>
      <c r="K54">
        <v>10</v>
      </c>
      <c r="L54" s="2">
        <v>39585</v>
      </c>
      <c r="M54" s="2">
        <v>39586</v>
      </c>
      <c r="N54">
        <v>10</v>
      </c>
      <c r="O54" s="1" t="s">
        <v>19</v>
      </c>
      <c r="P54" t="str">
        <f>VLOOKUP(Best_Fresh_Shipment_By_Item[[#This Row],[ShipID]],BFShipData,5,FALSE)</f>
        <v>A</v>
      </c>
    </row>
    <row r="55" spans="1:16" x14ac:dyDescent="0.2">
      <c r="A55">
        <v>15180</v>
      </c>
      <c r="B55">
        <v>126</v>
      </c>
      <c r="C55" s="1" t="s">
        <v>45</v>
      </c>
      <c r="D55">
        <v>1021</v>
      </c>
      <c r="E55">
        <v>2</v>
      </c>
      <c r="F55" s="1" t="s">
        <v>28</v>
      </c>
      <c r="G55" s="1" t="s">
        <v>29</v>
      </c>
      <c r="H55" s="1" t="s">
        <v>18</v>
      </c>
      <c r="I55">
        <v>1</v>
      </c>
      <c r="J55">
        <v>4</v>
      </c>
      <c r="K55">
        <v>5.75</v>
      </c>
      <c r="L55" s="2">
        <v>39588</v>
      </c>
      <c r="M55" s="2">
        <v>39590</v>
      </c>
      <c r="N55">
        <v>10</v>
      </c>
      <c r="O55" s="1" t="s">
        <v>19</v>
      </c>
      <c r="P55" t="str">
        <f>VLOOKUP(Best_Fresh_Shipment_By_Item[[#This Row],[ShipID]],BFShipData,5,FALSE)</f>
        <v>A</v>
      </c>
    </row>
    <row r="56" spans="1:16" x14ac:dyDescent="0.2">
      <c r="A56">
        <v>15196</v>
      </c>
      <c r="B56">
        <v>126</v>
      </c>
      <c r="C56" s="1" t="s">
        <v>45</v>
      </c>
      <c r="D56">
        <v>1015</v>
      </c>
      <c r="E56">
        <v>2</v>
      </c>
      <c r="F56" s="1" t="s">
        <v>49</v>
      </c>
      <c r="G56" s="1" t="s">
        <v>31</v>
      </c>
      <c r="H56" s="1" t="s">
        <v>18</v>
      </c>
      <c r="I56">
        <v>1</v>
      </c>
      <c r="J56">
        <v>4</v>
      </c>
      <c r="K56">
        <v>5.75</v>
      </c>
      <c r="L56" s="2">
        <v>39582</v>
      </c>
      <c r="M56" s="2">
        <v>39584</v>
      </c>
      <c r="N56">
        <v>12</v>
      </c>
      <c r="O56" s="1" t="s">
        <v>19</v>
      </c>
      <c r="P56" t="str">
        <f>VLOOKUP(Best_Fresh_Shipment_By_Item[[#This Row],[ShipID]],BFShipData,5,FALSE)</f>
        <v>A</v>
      </c>
    </row>
    <row r="57" spans="1:16" x14ac:dyDescent="0.2">
      <c r="A57">
        <v>15348</v>
      </c>
      <c r="B57">
        <v>126</v>
      </c>
      <c r="C57" s="1" t="s">
        <v>45</v>
      </c>
      <c r="D57">
        <v>1026</v>
      </c>
      <c r="E57">
        <v>2</v>
      </c>
      <c r="F57" s="1" t="s">
        <v>32</v>
      </c>
      <c r="G57" s="1" t="s">
        <v>33</v>
      </c>
      <c r="H57" s="1" t="s">
        <v>34</v>
      </c>
      <c r="I57">
        <v>1</v>
      </c>
      <c r="J57">
        <v>16</v>
      </c>
      <c r="K57">
        <v>26</v>
      </c>
      <c r="L57" s="2">
        <v>39596</v>
      </c>
      <c r="M57" s="2">
        <v>39598</v>
      </c>
      <c r="N57">
        <v>60</v>
      </c>
      <c r="O57" s="1" t="s">
        <v>19</v>
      </c>
      <c r="P57" t="str">
        <f>VLOOKUP(Best_Fresh_Shipment_By_Item[[#This Row],[ShipID]],BFShipData,5,FALSE)</f>
        <v>A</v>
      </c>
    </row>
    <row r="58" spans="1:16" hidden="1" x14ac:dyDescent="0.2">
      <c r="A58">
        <v>15361</v>
      </c>
      <c r="B58">
        <v>126</v>
      </c>
      <c r="C58" s="1" t="s">
        <v>45</v>
      </c>
      <c r="D58">
        <v>1028</v>
      </c>
      <c r="E58">
        <v>1</v>
      </c>
      <c r="F58" s="1" t="s">
        <v>46</v>
      </c>
      <c r="G58" s="1" t="s">
        <v>47</v>
      </c>
      <c r="H58" s="1" t="s">
        <v>34</v>
      </c>
      <c r="I58">
        <v>0.5</v>
      </c>
      <c r="J58">
        <v>20</v>
      </c>
      <c r="K58">
        <v>20.5</v>
      </c>
      <c r="L58" s="2">
        <v>39597</v>
      </c>
      <c r="M58" s="2">
        <v>39598</v>
      </c>
      <c r="N58">
        <v>60</v>
      </c>
      <c r="O58" s="1" t="s">
        <v>19</v>
      </c>
      <c r="P58" t="e">
        <f>VLOOKUP(Best_Fresh_Shipment_By_Item[[#This Row],[ShipID]],BFShipData,5,FALSE)</f>
        <v>#N/A</v>
      </c>
    </row>
    <row r="59" spans="1:16" x14ac:dyDescent="0.2">
      <c r="A59">
        <v>15364</v>
      </c>
      <c r="B59">
        <v>126</v>
      </c>
      <c r="C59" s="1" t="s">
        <v>45</v>
      </c>
      <c r="D59">
        <v>1020</v>
      </c>
      <c r="E59">
        <v>3</v>
      </c>
      <c r="F59" s="1" t="s">
        <v>48</v>
      </c>
      <c r="G59" s="1" t="s">
        <v>29</v>
      </c>
      <c r="H59" s="1" t="s">
        <v>18</v>
      </c>
      <c r="I59">
        <v>0.5</v>
      </c>
      <c r="J59">
        <v>12</v>
      </c>
      <c r="K59">
        <v>10</v>
      </c>
      <c r="L59" s="2">
        <v>39595</v>
      </c>
      <c r="M59" s="2">
        <v>39598</v>
      </c>
      <c r="N59">
        <v>10</v>
      </c>
      <c r="O59" s="1" t="s">
        <v>19</v>
      </c>
      <c r="P59" t="str">
        <f>VLOOKUP(Best_Fresh_Shipment_By_Item[[#This Row],[ShipID]],BFShipData,5,FALSE)</f>
        <v>A</v>
      </c>
    </row>
  </sheetData>
  <conditionalFormatting sqref="P2:P59">
    <cfRule type="containsText" dxfId="26" priority="1" operator="containsText" text="D">
      <formula>NOT(ISERROR(SEARCH("D",P2)))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FD59-F005-4108-B101-2AA0BF857C88}">
  <sheetPr>
    <tabColor rgb="FFFF0000"/>
  </sheetPr>
  <dimension ref="A1:AB59"/>
  <sheetViews>
    <sheetView topLeftCell="P1" zoomScaleNormal="100" workbookViewId="0">
      <selection activeCell="AE21" sqref="AE21"/>
    </sheetView>
  </sheetViews>
  <sheetFormatPr baseColWidth="10" defaultColWidth="8.83203125" defaultRowHeight="15" x14ac:dyDescent="0.2"/>
  <cols>
    <col min="4" max="4" width="18.5" customWidth="1"/>
    <col min="6" max="6" width="18.5" customWidth="1"/>
    <col min="9" max="9" width="15.6640625" customWidth="1"/>
    <col min="10" max="10" width="12.83203125" customWidth="1"/>
    <col min="12" max="12" width="22.33203125" customWidth="1"/>
    <col min="13" max="13" width="21.5" customWidth="1"/>
    <col min="14" max="14" width="16.5" customWidth="1"/>
    <col min="15" max="15" width="15.83203125" customWidth="1"/>
    <col min="17" max="17" width="21" customWidth="1"/>
    <col min="18" max="18" width="13.1640625" customWidth="1"/>
    <col min="19" max="19" width="15.6640625" customWidth="1"/>
    <col min="20" max="20" width="23.1640625" customWidth="1"/>
    <col min="21" max="21" width="12.33203125" customWidth="1"/>
    <col min="22" max="22" width="10.6640625" customWidth="1"/>
    <col min="23" max="23" width="13.6640625" customWidth="1"/>
    <col min="25" max="25" width="14.83203125" customWidth="1"/>
    <col min="26" max="26" width="16.6640625" customWidth="1"/>
    <col min="27" max="27" width="14.5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52</v>
      </c>
      <c r="Q1" t="s">
        <v>56</v>
      </c>
      <c r="R1" t="s">
        <v>57</v>
      </c>
      <c r="S1" t="s">
        <v>72</v>
      </c>
      <c r="T1" t="s">
        <v>93</v>
      </c>
      <c r="U1" t="s">
        <v>73</v>
      </c>
      <c r="V1" t="s">
        <v>90</v>
      </c>
      <c r="W1" t="s">
        <v>91</v>
      </c>
      <c r="X1" t="s">
        <v>92</v>
      </c>
      <c r="Y1" t="s">
        <v>99</v>
      </c>
      <c r="Z1" s="3" t="s">
        <v>101</v>
      </c>
      <c r="AA1" s="3" t="s">
        <v>100</v>
      </c>
      <c r="AB1" s="3"/>
    </row>
    <row r="2" spans="1:28" x14ac:dyDescent="0.2">
      <c r="A2">
        <v>14955</v>
      </c>
      <c r="B2">
        <v>104</v>
      </c>
      <c r="C2" s="1" t="s">
        <v>15</v>
      </c>
      <c r="D2">
        <v>1017</v>
      </c>
      <c r="E2">
        <v>2</v>
      </c>
      <c r="F2" s="1" t="s">
        <v>16</v>
      </c>
      <c r="G2" s="1" t="s">
        <v>17</v>
      </c>
      <c r="H2" s="1" t="s">
        <v>18</v>
      </c>
      <c r="I2">
        <v>0.5</v>
      </c>
      <c r="J2">
        <v>12</v>
      </c>
      <c r="K2">
        <v>10</v>
      </c>
      <c r="L2" s="2">
        <v>39568</v>
      </c>
      <c r="M2" s="2">
        <v>39569</v>
      </c>
      <c r="N2">
        <v>10</v>
      </c>
      <c r="O2" s="1" t="s">
        <v>19</v>
      </c>
      <c r="P2" t="s">
        <v>53</v>
      </c>
      <c r="Q2">
        <f>N2-(M2-L2)</f>
        <v>9</v>
      </c>
      <c r="R2" t="str">
        <f t="shared" ref="R2:R33" si="0">VLOOKUP(Q2,Shelfstatus,2,TRUE)</f>
        <v>Excellent</v>
      </c>
      <c r="S2" s="30">
        <f>E2*K2</f>
        <v>20</v>
      </c>
      <c r="T2" s="36">
        <f>IF(R2="Excellent",S2,+IF(R2="Satisfactory",S2-((ModifyData!$B$18/100)*S2))+IF(R2="Unsatisfactory",S2-((ModifyData!$B$19/100)*S2)))</f>
        <v>20</v>
      </c>
      <c r="U2">
        <f>IF(G2="C",1,IF(G2="LFC",1,IF(G2="SC",1,IF(G2="LFSC",1,IF(G2="M",2,IF(G2="2M",2,IF(G2="1M",2,IF(G2="SM",2,3))))))))</f>
        <v>2</v>
      </c>
      <c r="V2" s="15">
        <f xml:space="preserve">
IF(AND(U2=1,I2&lt;16),0.6,
IF(AND(U2=1,I2&gt;=16),0.4,
IF(AND(U2=2,I2&lt;1),0.5,
IF(AND(U2=2,I2&gt;=1),0.35,
0.75))))</f>
        <v>0.5</v>
      </c>
      <c r="W2" s="30">
        <f>T2+(T2*V2)</f>
        <v>30</v>
      </c>
      <c r="X2" s="16">
        <f>W2-T2-(J2*0.1)</f>
        <v>8.8000000000000007</v>
      </c>
      <c r="Y2" s="8">
        <f xml:space="preserve">
IF(AND(U2=1,I2&lt;16),0.6,
IF(AND(U2=1,I2&gt;=16),0.4,
IF(AND(U2=2,I2&lt;1),0.5,IF(AND(U2=2,I2&gt;=1),0.35,
0.75))))</f>
        <v>0.5</v>
      </c>
      <c r="Z2" s="35">
        <f>T2+(T2*Y2)</f>
        <v>30</v>
      </c>
      <c r="AA2" s="38">
        <f>Z2-T2-(J2*0.1)</f>
        <v>8.8000000000000007</v>
      </c>
      <c r="AB2" s="3"/>
    </row>
    <row r="3" spans="1:28" x14ac:dyDescent="0.2">
      <c r="A3">
        <v>14968</v>
      </c>
      <c r="B3">
        <v>104</v>
      </c>
      <c r="C3" s="1" t="s">
        <v>15</v>
      </c>
      <c r="D3">
        <v>1008</v>
      </c>
      <c r="E3">
        <v>2</v>
      </c>
      <c r="F3" s="1" t="s">
        <v>20</v>
      </c>
      <c r="G3" s="1" t="s">
        <v>21</v>
      </c>
      <c r="H3" s="1" t="s">
        <v>22</v>
      </c>
      <c r="I3">
        <v>8</v>
      </c>
      <c r="J3">
        <v>24</v>
      </c>
      <c r="K3">
        <v>12</v>
      </c>
      <c r="L3" s="2">
        <v>39565</v>
      </c>
      <c r="M3" s="2">
        <v>39569</v>
      </c>
      <c r="N3">
        <v>30</v>
      </c>
      <c r="O3" s="1" t="s">
        <v>19</v>
      </c>
      <c r="P3" t="s">
        <v>53</v>
      </c>
      <c r="Q3">
        <f t="shared" ref="Q3:Q57" si="1">N3-(M3-L3)</f>
        <v>26</v>
      </c>
      <c r="R3" t="str">
        <f t="shared" si="0"/>
        <v>Excellent</v>
      </c>
      <c r="S3" s="30">
        <f t="shared" ref="S3:S57" si="2">E3*K3</f>
        <v>24</v>
      </c>
      <c r="T3" s="36">
        <f>IF(R3="Excellent",S3,+IF(R3="Satisfactory",S3-((ModifyData!$B$18/100)*S3))+IF(R3="Unsatisfactory",S3-((ModifyData!$B$19/100)*S3)))</f>
        <v>24</v>
      </c>
      <c r="U3">
        <f t="shared" ref="U3:U57" si="3">IF(G3="C",1,IF(G3="LFC",1,IF(G3="SC",1,IF(G3="LFSC",1,IF(G3="M",2,IF(G3="2M",2,IF(G3="1M",2,IF(G3="SM",2,3))))))))</f>
        <v>1</v>
      </c>
      <c r="V3" s="15">
        <f t="shared" ref="V3:V57" si="4" xml:space="preserve">
IF(AND(U3=1,I3&lt;16),0.6,
IF(AND(U3=1,I3&gt;=16),0.4,
IF(AND(U3=2,I3&lt;1),0.5,
IF(AND(U3=2,I3&gt;=1),0.35,
0.75))))</f>
        <v>0.6</v>
      </c>
      <c r="W3" s="30">
        <f t="shared" ref="W3:W57" si="5">T3+(T3*V3)</f>
        <v>38.4</v>
      </c>
      <c r="X3" s="16">
        <f t="shared" ref="X3:X57" si="6">W3-T3-(J3*0.1)</f>
        <v>11.999999999999998</v>
      </c>
      <c r="Y3" s="8">
        <f t="shared" ref="Y3:Y57" si="7" xml:space="preserve">
IF(AND(U3=1,I3&lt;16),0.6,
IF(AND(U3=1,I3&gt;=16),0.4,
IF(AND(U3=2,I3&lt;1),0.5,IF(AND(U3=2,I3&gt;=1),0.35,
0.75))))</f>
        <v>0.6</v>
      </c>
      <c r="Z3" s="35">
        <f t="shared" ref="Z3:Z57" si="8">T3+(T3*Y3)</f>
        <v>38.4</v>
      </c>
      <c r="AA3" s="38">
        <f t="shared" ref="AA3:AA57" si="9">Z3-T3-(J3*0.1)</f>
        <v>11.999999999999998</v>
      </c>
      <c r="AB3" s="3"/>
    </row>
    <row r="4" spans="1:28" x14ac:dyDescent="0.2">
      <c r="A4">
        <v>14984</v>
      </c>
      <c r="B4">
        <v>104</v>
      </c>
      <c r="C4" s="1" t="s">
        <v>15</v>
      </c>
      <c r="D4">
        <v>1004</v>
      </c>
      <c r="E4">
        <v>1</v>
      </c>
      <c r="F4" s="1" t="s">
        <v>23</v>
      </c>
      <c r="G4" s="1" t="s">
        <v>24</v>
      </c>
      <c r="H4" s="1" t="s">
        <v>22</v>
      </c>
      <c r="I4">
        <v>32</v>
      </c>
      <c r="J4">
        <v>16</v>
      </c>
      <c r="K4">
        <v>24</v>
      </c>
      <c r="L4" s="2">
        <v>39571</v>
      </c>
      <c r="M4" s="2">
        <v>39572</v>
      </c>
      <c r="N4">
        <v>14</v>
      </c>
      <c r="O4" s="1" t="s">
        <v>19</v>
      </c>
      <c r="P4" t="s">
        <v>53</v>
      </c>
      <c r="Q4">
        <f t="shared" si="1"/>
        <v>13</v>
      </c>
      <c r="R4" t="str">
        <f t="shared" si="0"/>
        <v>Excellent</v>
      </c>
      <c r="S4" s="30">
        <f t="shared" si="2"/>
        <v>24</v>
      </c>
      <c r="T4" s="36">
        <f>IF(R4="Excellent",S4,+IF(R4="Satisfactory",S4-((ModifyData!$B$18/100)*S4))+IF(R4="Unsatisfactory",S4-((ModifyData!$B$19/100)*S4)))</f>
        <v>24</v>
      </c>
      <c r="U4">
        <f t="shared" si="3"/>
        <v>1</v>
      </c>
      <c r="V4" s="15">
        <f t="shared" si="4"/>
        <v>0.4</v>
      </c>
      <c r="W4" s="30">
        <f t="shared" si="5"/>
        <v>33.6</v>
      </c>
      <c r="X4" s="16">
        <f t="shared" si="6"/>
        <v>8.0000000000000018</v>
      </c>
      <c r="Y4" s="8">
        <f t="shared" si="7"/>
        <v>0.4</v>
      </c>
      <c r="Z4" s="35">
        <f t="shared" si="8"/>
        <v>33.6</v>
      </c>
      <c r="AA4" s="38">
        <f t="shared" si="9"/>
        <v>8.0000000000000018</v>
      </c>
      <c r="AB4" s="3"/>
    </row>
    <row r="5" spans="1:28" x14ac:dyDescent="0.2">
      <c r="A5">
        <v>14987</v>
      </c>
      <c r="B5">
        <v>104</v>
      </c>
      <c r="C5" s="1" t="s">
        <v>15</v>
      </c>
      <c r="D5">
        <v>1032</v>
      </c>
      <c r="E5">
        <v>1</v>
      </c>
      <c r="F5" s="1" t="s">
        <v>25</v>
      </c>
      <c r="G5" s="1" t="s">
        <v>26</v>
      </c>
      <c r="H5" s="1" t="s">
        <v>27</v>
      </c>
      <c r="I5">
        <v>1</v>
      </c>
      <c r="J5">
        <v>16</v>
      </c>
      <c r="K5">
        <v>14</v>
      </c>
      <c r="L5" s="2">
        <v>39568</v>
      </c>
      <c r="M5" s="2">
        <v>39572</v>
      </c>
      <c r="N5">
        <v>15</v>
      </c>
      <c r="O5" s="1" t="s">
        <v>19</v>
      </c>
      <c r="P5" t="s">
        <v>53</v>
      </c>
      <c r="Q5">
        <f t="shared" si="1"/>
        <v>11</v>
      </c>
      <c r="R5" t="str">
        <f t="shared" si="0"/>
        <v>Excellent</v>
      </c>
      <c r="S5" s="30">
        <f t="shared" si="2"/>
        <v>14</v>
      </c>
      <c r="T5" s="36">
        <f>IF(R5="Excellent",S5,+IF(R5="Satisfactory",S5-((ModifyData!$B$18/100)*S5))+IF(R5="Unsatisfactory",S5-((ModifyData!$B$19/100)*S5)))</f>
        <v>14</v>
      </c>
      <c r="U5">
        <f t="shared" si="3"/>
        <v>3</v>
      </c>
      <c r="V5" s="15">
        <f t="shared" si="4"/>
        <v>0.75</v>
      </c>
      <c r="W5" s="30">
        <f t="shared" si="5"/>
        <v>24.5</v>
      </c>
      <c r="X5" s="16">
        <f t="shared" si="6"/>
        <v>8.9</v>
      </c>
      <c r="Y5" s="8">
        <f t="shared" si="7"/>
        <v>0.75</v>
      </c>
      <c r="Z5" s="35">
        <f t="shared" si="8"/>
        <v>24.5</v>
      </c>
      <c r="AA5" s="38">
        <f t="shared" si="9"/>
        <v>8.9</v>
      </c>
    </row>
    <row r="6" spans="1:28" x14ac:dyDescent="0.2">
      <c r="A6">
        <v>15032</v>
      </c>
      <c r="B6">
        <v>104</v>
      </c>
      <c r="C6" s="1" t="s">
        <v>15</v>
      </c>
      <c r="D6">
        <v>1021</v>
      </c>
      <c r="E6">
        <v>2</v>
      </c>
      <c r="F6" s="1" t="s">
        <v>28</v>
      </c>
      <c r="G6" s="1" t="s">
        <v>29</v>
      </c>
      <c r="H6" s="1" t="s">
        <v>18</v>
      </c>
      <c r="I6">
        <v>1</v>
      </c>
      <c r="J6">
        <v>4</v>
      </c>
      <c r="K6">
        <v>5.75</v>
      </c>
      <c r="L6" s="2">
        <v>39572</v>
      </c>
      <c r="M6" s="2">
        <v>39576</v>
      </c>
      <c r="N6">
        <v>10</v>
      </c>
      <c r="O6" s="1" t="s">
        <v>19</v>
      </c>
      <c r="P6" t="s">
        <v>53</v>
      </c>
      <c r="Q6">
        <f t="shared" si="1"/>
        <v>6</v>
      </c>
      <c r="R6" t="str">
        <f t="shared" si="0"/>
        <v>Satisfactory</v>
      </c>
      <c r="S6" s="30">
        <f t="shared" si="2"/>
        <v>11.5</v>
      </c>
      <c r="T6" s="36">
        <f>IF(R6="Excellent",S6,+IF(R6="Satisfactory",S6-((ModifyData!$B$18/100)*S6))+IF(R6="Unsatisfactory",S6-((ModifyData!$B$19/100)*S6)))</f>
        <v>9.7750000000000004</v>
      </c>
      <c r="U6">
        <f t="shared" si="3"/>
        <v>2</v>
      </c>
      <c r="V6" s="15">
        <f t="shared" si="4"/>
        <v>0.35</v>
      </c>
      <c r="W6" s="30">
        <f t="shared" si="5"/>
        <v>13.196250000000001</v>
      </c>
      <c r="X6" s="16">
        <f t="shared" si="6"/>
        <v>3.0212500000000007</v>
      </c>
      <c r="Y6" s="8">
        <f t="shared" si="7"/>
        <v>0.35</v>
      </c>
      <c r="Z6" s="35">
        <f t="shared" si="8"/>
        <v>13.196250000000001</v>
      </c>
      <c r="AA6" s="38">
        <f t="shared" si="9"/>
        <v>3.0212500000000007</v>
      </c>
    </row>
    <row r="7" spans="1:28" x14ac:dyDescent="0.2">
      <c r="A7">
        <v>15062</v>
      </c>
      <c r="B7">
        <v>104</v>
      </c>
      <c r="C7" s="1" t="s">
        <v>15</v>
      </c>
      <c r="D7">
        <v>1014</v>
      </c>
      <c r="E7">
        <v>1</v>
      </c>
      <c r="F7" s="1" t="s">
        <v>30</v>
      </c>
      <c r="G7" s="1" t="s">
        <v>31</v>
      </c>
      <c r="H7" s="1" t="s">
        <v>18</v>
      </c>
      <c r="I7">
        <v>0.5</v>
      </c>
      <c r="J7">
        <v>12</v>
      </c>
      <c r="K7">
        <v>10</v>
      </c>
      <c r="L7" s="2">
        <v>39574</v>
      </c>
      <c r="M7" s="2">
        <v>39576</v>
      </c>
      <c r="N7">
        <v>12</v>
      </c>
      <c r="O7" s="1" t="s">
        <v>19</v>
      </c>
      <c r="P7" t="s">
        <v>53</v>
      </c>
      <c r="Q7">
        <f t="shared" si="1"/>
        <v>10</v>
      </c>
      <c r="R7" t="str">
        <f t="shared" si="0"/>
        <v>Excellent</v>
      </c>
      <c r="S7" s="30">
        <f t="shared" si="2"/>
        <v>10</v>
      </c>
      <c r="T7" s="36">
        <f>IF(R7="Excellent",S7,+IF(R7="Satisfactory",S7-((ModifyData!$B$18/100)*S7))+IF(R7="Unsatisfactory",S7-((ModifyData!$B$19/100)*S7)))</f>
        <v>10</v>
      </c>
      <c r="U7">
        <f t="shared" si="3"/>
        <v>2</v>
      </c>
      <c r="V7" s="15">
        <f t="shared" si="4"/>
        <v>0.5</v>
      </c>
      <c r="W7" s="30">
        <f t="shared" si="5"/>
        <v>15</v>
      </c>
      <c r="X7" s="16">
        <f t="shared" si="6"/>
        <v>3.8</v>
      </c>
      <c r="Y7" s="8">
        <f t="shared" si="7"/>
        <v>0.5</v>
      </c>
      <c r="Z7" s="35">
        <f t="shared" si="8"/>
        <v>15</v>
      </c>
      <c r="AA7" s="38">
        <f t="shared" si="9"/>
        <v>3.8</v>
      </c>
    </row>
    <row r="8" spans="1:28" x14ac:dyDescent="0.2">
      <c r="A8">
        <v>15105</v>
      </c>
      <c r="B8">
        <v>104</v>
      </c>
      <c r="C8" s="1" t="s">
        <v>15</v>
      </c>
      <c r="D8">
        <v>1008</v>
      </c>
      <c r="E8">
        <v>1</v>
      </c>
      <c r="F8" s="1" t="s">
        <v>20</v>
      </c>
      <c r="G8" s="1" t="s">
        <v>21</v>
      </c>
      <c r="H8" s="1" t="s">
        <v>22</v>
      </c>
      <c r="I8">
        <v>8</v>
      </c>
      <c r="J8">
        <v>24</v>
      </c>
      <c r="K8">
        <v>12</v>
      </c>
      <c r="L8" s="2">
        <v>39575</v>
      </c>
      <c r="M8" s="2">
        <v>39579</v>
      </c>
      <c r="N8">
        <v>30</v>
      </c>
      <c r="O8" s="1" t="s">
        <v>19</v>
      </c>
      <c r="P8" t="s">
        <v>53</v>
      </c>
      <c r="Q8">
        <f t="shared" si="1"/>
        <v>26</v>
      </c>
      <c r="R8" t="str">
        <f t="shared" si="0"/>
        <v>Excellent</v>
      </c>
      <c r="S8" s="30">
        <f t="shared" si="2"/>
        <v>12</v>
      </c>
      <c r="T8" s="36">
        <f>IF(R8="Excellent",S8,+IF(R8="Satisfactory",S8-((ModifyData!$B$18/100)*S8))+IF(R8="Unsatisfactory",S8-((ModifyData!$B$19/100)*S8)))</f>
        <v>12</v>
      </c>
      <c r="U8">
        <f t="shared" si="3"/>
        <v>1</v>
      </c>
      <c r="V8" s="15">
        <f t="shared" si="4"/>
        <v>0.6</v>
      </c>
      <c r="W8" s="30">
        <f t="shared" si="5"/>
        <v>19.2</v>
      </c>
      <c r="X8" s="16">
        <f t="shared" si="6"/>
        <v>4.7999999999999989</v>
      </c>
      <c r="Y8" s="8">
        <f t="shared" si="7"/>
        <v>0.6</v>
      </c>
      <c r="Z8" s="35">
        <f t="shared" si="8"/>
        <v>19.2</v>
      </c>
      <c r="AA8" s="38">
        <f t="shared" si="9"/>
        <v>4.7999999999999989</v>
      </c>
    </row>
    <row r="9" spans="1:28" x14ac:dyDescent="0.2">
      <c r="A9">
        <v>15120</v>
      </c>
      <c r="B9">
        <v>104</v>
      </c>
      <c r="C9" s="1" t="s">
        <v>15</v>
      </c>
      <c r="D9">
        <v>1026</v>
      </c>
      <c r="E9">
        <v>2</v>
      </c>
      <c r="F9" s="1" t="s">
        <v>32</v>
      </c>
      <c r="G9" s="1" t="s">
        <v>33</v>
      </c>
      <c r="H9" s="1" t="s">
        <v>34</v>
      </c>
      <c r="I9">
        <v>1</v>
      </c>
      <c r="J9">
        <v>16</v>
      </c>
      <c r="K9">
        <v>26</v>
      </c>
      <c r="L9" s="2">
        <v>39582</v>
      </c>
      <c r="M9" s="2">
        <v>39583</v>
      </c>
      <c r="N9">
        <v>60</v>
      </c>
      <c r="O9" s="1" t="s">
        <v>19</v>
      </c>
      <c r="P9" t="s">
        <v>53</v>
      </c>
      <c r="Q9">
        <f t="shared" si="1"/>
        <v>59</v>
      </c>
      <c r="R9" t="str">
        <f t="shared" si="0"/>
        <v>Excellent</v>
      </c>
      <c r="S9" s="30">
        <f t="shared" si="2"/>
        <v>52</v>
      </c>
      <c r="T9" s="36">
        <f>IF(R9="Excellent",S9,+IF(R9="Satisfactory",S9-((ModifyData!$B$18/100)*S9))+IF(R9="Unsatisfactory",S9-((ModifyData!$B$19/100)*S9)))</f>
        <v>52</v>
      </c>
      <c r="U9">
        <f t="shared" si="3"/>
        <v>3</v>
      </c>
      <c r="V9" s="15">
        <f t="shared" si="4"/>
        <v>0.75</v>
      </c>
      <c r="W9" s="30">
        <f t="shared" si="5"/>
        <v>91</v>
      </c>
      <c r="X9" s="16">
        <f t="shared" si="6"/>
        <v>37.4</v>
      </c>
      <c r="Y9" s="8">
        <f t="shared" si="7"/>
        <v>0.75</v>
      </c>
      <c r="Z9" s="35">
        <f t="shared" si="8"/>
        <v>91</v>
      </c>
      <c r="AA9" s="38">
        <f t="shared" si="9"/>
        <v>37.4</v>
      </c>
    </row>
    <row r="10" spans="1:28" x14ac:dyDescent="0.2">
      <c r="A10">
        <v>15121</v>
      </c>
      <c r="B10">
        <v>104</v>
      </c>
      <c r="C10" s="1" t="s">
        <v>15</v>
      </c>
      <c r="D10">
        <v>1024</v>
      </c>
      <c r="E10">
        <v>2</v>
      </c>
      <c r="F10" s="1" t="s">
        <v>35</v>
      </c>
      <c r="G10" s="1" t="s">
        <v>36</v>
      </c>
      <c r="H10" s="1" t="s">
        <v>18</v>
      </c>
      <c r="I10">
        <v>1</v>
      </c>
      <c r="J10">
        <v>4</v>
      </c>
      <c r="K10">
        <v>5.75</v>
      </c>
      <c r="L10" s="2">
        <v>39581</v>
      </c>
      <c r="M10" s="2">
        <v>39583</v>
      </c>
      <c r="N10">
        <v>9</v>
      </c>
      <c r="O10" s="1" t="s">
        <v>19</v>
      </c>
      <c r="P10" t="s">
        <v>53</v>
      </c>
      <c r="Q10">
        <f t="shared" si="1"/>
        <v>7</v>
      </c>
      <c r="R10" t="str">
        <f t="shared" si="0"/>
        <v>Excellent</v>
      </c>
      <c r="S10" s="30">
        <f t="shared" si="2"/>
        <v>11.5</v>
      </c>
      <c r="T10" s="36">
        <f>IF(R10="Excellent",S10,+IF(R10="Satisfactory",S10-((ModifyData!$B$18/100)*S10))+IF(R10="Unsatisfactory",S10-((ModifyData!$B$19/100)*S10)))</f>
        <v>11.5</v>
      </c>
      <c r="U10">
        <f t="shared" si="3"/>
        <v>2</v>
      </c>
      <c r="V10" s="15">
        <f t="shared" si="4"/>
        <v>0.35</v>
      </c>
      <c r="W10" s="30">
        <f t="shared" si="5"/>
        <v>15.524999999999999</v>
      </c>
      <c r="X10" s="16">
        <f t="shared" si="6"/>
        <v>3.6249999999999987</v>
      </c>
      <c r="Y10" s="8">
        <f t="shared" si="7"/>
        <v>0.35</v>
      </c>
      <c r="Z10" s="35">
        <f t="shared" si="8"/>
        <v>15.524999999999999</v>
      </c>
      <c r="AA10" s="38">
        <f t="shared" si="9"/>
        <v>3.6249999999999987</v>
      </c>
    </row>
    <row r="11" spans="1:28" x14ac:dyDescent="0.2">
      <c r="A11">
        <v>15130</v>
      </c>
      <c r="B11">
        <v>104</v>
      </c>
      <c r="C11" s="1" t="s">
        <v>15</v>
      </c>
      <c r="D11">
        <v>1003</v>
      </c>
      <c r="E11">
        <v>3</v>
      </c>
      <c r="F11" s="1" t="s">
        <v>37</v>
      </c>
      <c r="G11" s="1" t="s">
        <v>24</v>
      </c>
      <c r="H11" s="1" t="s">
        <v>22</v>
      </c>
      <c r="I11">
        <v>16</v>
      </c>
      <c r="J11">
        <v>24</v>
      </c>
      <c r="K11">
        <v>23</v>
      </c>
      <c r="L11" s="2">
        <v>39580</v>
      </c>
      <c r="M11" s="2">
        <v>39583</v>
      </c>
      <c r="N11">
        <v>14</v>
      </c>
      <c r="O11" s="1" t="s">
        <v>19</v>
      </c>
      <c r="P11" t="s">
        <v>53</v>
      </c>
      <c r="Q11">
        <f t="shared" si="1"/>
        <v>11</v>
      </c>
      <c r="R11" t="str">
        <f t="shared" si="0"/>
        <v>Excellent</v>
      </c>
      <c r="S11" s="30">
        <f t="shared" si="2"/>
        <v>69</v>
      </c>
      <c r="T11" s="36">
        <f>IF(R11="Excellent",S11,+IF(R11="Satisfactory",S11-((ModifyData!$B$18/100)*S11))+IF(R11="Unsatisfactory",S11-((ModifyData!$B$19/100)*S11)))</f>
        <v>69</v>
      </c>
      <c r="U11">
        <f t="shared" si="3"/>
        <v>1</v>
      </c>
      <c r="V11" s="15">
        <f t="shared" si="4"/>
        <v>0.4</v>
      </c>
      <c r="W11" s="30">
        <f t="shared" si="5"/>
        <v>96.6</v>
      </c>
      <c r="X11" s="16">
        <f t="shared" si="6"/>
        <v>25.199999999999996</v>
      </c>
      <c r="Y11" s="8">
        <f t="shared" si="7"/>
        <v>0.4</v>
      </c>
      <c r="Z11" s="35">
        <f t="shared" si="8"/>
        <v>96.6</v>
      </c>
      <c r="AA11" s="38">
        <f t="shared" si="9"/>
        <v>25.199999999999996</v>
      </c>
    </row>
    <row r="12" spans="1:28" x14ac:dyDescent="0.2">
      <c r="A12">
        <v>15134</v>
      </c>
      <c r="B12">
        <v>104</v>
      </c>
      <c r="C12" s="1" t="s">
        <v>15</v>
      </c>
      <c r="D12">
        <v>1023</v>
      </c>
      <c r="E12">
        <v>1</v>
      </c>
      <c r="F12" s="1" t="s">
        <v>38</v>
      </c>
      <c r="G12" s="1" t="s">
        <v>36</v>
      </c>
      <c r="H12" s="1" t="s">
        <v>18</v>
      </c>
      <c r="I12">
        <v>0.5</v>
      </c>
      <c r="J12">
        <v>12</v>
      </c>
      <c r="K12">
        <v>10</v>
      </c>
      <c r="L12" s="2">
        <v>39582</v>
      </c>
      <c r="M12" s="2">
        <v>39583</v>
      </c>
      <c r="N12">
        <v>9</v>
      </c>
      <c r="O12" s="1" t="s">
        <v>19</v>
      </c>
      <c r="P12" t="s">
        <v>53</v>
      </c>
      <c r="Q12">
        <f t="shared" si="1"/>
        <v>8</v>
      </c>
      <c r="R12" t="str">
        <f t="shared" si="0"/>
        <v>Excellent</v>
      </c>
      <c r="S12" s="30">
        <f t="shared" si="2"/>
        <v>10</v>
      </c>
      <c r="T12" s="36">
        <f>IF(R12="Excellent",S12,+IF(R12="Satisfactory",S12-((ModifyData!$B$18/100)*S12))+IF(R12="Unsatisfactory",S12-((ModifyData!$B$19/100)*S12)))</f>
        <v>10</v>
      </c>
      <c r="U12">
        <f t="shared" si="3"/>
        <v>2</v>
      </c>
      <c r="V12" s="15">
        <f t="shared" si="4"/>
        <v>0.5</v>
      </c>
      <c r="W12" s="30">
        <f t="shared" si="5"/>
        <v>15</v>
      </c>
      <c r="X12" s="16">
        <f t="shared" si="6"/>
        <v>3.8</v>
      </c>
      <c r="Y12" s="8">
        <f t="shared" si="7"/>
        <v>0.5</v>
      </c>
      <c r="Z12" s="35">
        <f t="shared" si="8"/>
        <v>15</v>
      </c>
      <c r="AA12" s="38">
        <f t="shared" si="9"/>
        <v>3.8</v>
      </c>
    </row>
    <row r="13" spans="1:28" x14ac:dyDescent="0.2">
      <c r="A13">
        <v>15135</v>
      </c>
      <c r="B13">
        <v>104</v>
      </c>
      <c r="C13" s="1" t="s">
        <v>15</v>
      </c>
      <c r="D13">
        <v>1017</v>
      </c>
      <c r="E13">
        <v>3</v>
      </c>
      <c r="F13" s="1" t="s">
        <v>16</v>
      </c>
      <c r="G13" s="1" t="s">
        <v>17</v>
      </c>
      <c r="H13" s="1" t="s">
        <v>18</v>
      </c>
      <c r="I13">
        <v>0.5</v>
      </c>
      <c r="J13">
        <v>12</v>
      </c>
      <c r="K13">
        <v>10</v>
      </c>
      <c r="L13" s="2">
        <v>39581</v>
      </c>
      <c r="M13" s="2">
        <v>39583</v>
      </c>
      <c r="N13">
        <v>10</v>
      </c>
      <c r="O13" s="1" t="s">
        <v>19</v>
      </c>
      <c r="P13" t="s">
        <v>53</v>
      </c>
      <c r="Q13">
        <f t="shared" si="1"/>
        <v>8</v>
      </c>
      <c r="R13" t="str">
        <f t="shared" si="0"/>
        <v>Excellent</v>
      </c>
      <c r="S13" s="30">
        <f t="shared" si="2"/>
        <v>30</v>
      </c>
      <c r="T13" s="36">
        <f>IF(R13="Excellent",S13,+IF(R13="Satisfactory",S13-((ModifyData!$B$18/100)*S13))+IF(R13="Unsatisfactory",S13-((ModifyData!$B$19/100)*S13)))</f>
        <v>30</v>
      </c>
      <c r="U13">
        <f t="shared" si="3"/>
        <v>2</v>
      </c>
      <c r="V13" s="15">
        <f t="shared" si="4"/>
        <v>0.5</v>
      </c>
      <c r="W13" s="30">
        <f t="shared" si="5"/>
        <v>45</v>
      </c>
      <c r="X13" s="16">
        <f t="shared" si="6"/>
        <v>13.8</v>
      </c>
      <c r="Y13" s="8">
        <f t="shared" si="7"/>
        <v>0.5</v>
      </c>
      <c r="Z13" s="35">
        <f t="shared" si="8"/>
        <v>45</v>
      </c>
      <c r="AA13" s="38">
        <f t="shared" si="9"/>
        <v>13.8</v>
      </c>
    </row>
    <row r="14" spans="1:28" x14ac:dyDescent="0.2">
      <c r="A14">
        <v>15154</v>
      </c>
      <c r="B14">
        <v>104</v>
      </c>
      <c r="C14" s="1" t="s">
        <v>15</v>
      </c>
      <c r="D14">
        <v>1017</v>
      </c>
      <c r="E14">
        <v>2</v>
      </c>
      <c r="F14" s="1" t="s">
        <v>16</v>
      </c>
      <c r="G14" s="1" t="s">
        <v>17</v>
      </c>
      <c r="H14" s="1" t="s">
        <v>18</v>
      </c>
      <c r="I14">
        <v>0.5</v>
      </c>
      <c r="J14">
        <v>12</v>
      </c>
      <c r="K14">
        <v>10</v>
      </c>
      <c r="L14" s="2">
        <v>39585</v>
      </c>
      <c r="M14" s="2">
        <v>39586</v>
      </c>
      <c r="N14">
        <v>10</v>
      </c>
      <c r="O14" s="1" t="s">
        <v>19</v>
      </c>
      <c r="P14" t="s">
        <v>53</v>
      </c>
      <c r="Q14">
        <f t="shared" si="1"/>
        <v>9</v>
      </c>
      <c r="R14" t="str">
        <f t="shared" si="0"/>
        <v>Excellent</v>
      </c>
      <c r="S14" s="30">
        <f t="shared" si="2"/>
        <v>20</v>
      </c>
      <c r="T14" s="36">
        <f>IF(R14="Excellent",S14,+IF(R14="Satisfactory",S14-((ModifyData!$B$18/100)*S14))+IF(R14="Unsatisfactory",S14-((ModifyData!$B$19/100)*S14)))</f>
        <v>20</v>
      </c>
      <c r="U14">
        <f t="shared" si="3"/>
        <v>2</v>
      </c>
      <c r="V14" s="15">
        <f t="shared" si="4"/>
        <v>0.5</v>
      </c>
      <c r="W14" s="30">
        <f t="shared" si="5"/>
        <v>30</v>
      </c>
      <c r="X14" s="16">
        <f t="shared" si="6"/>
        <v>8.8000000000000007</v>
      </c>
      <c r="Y14" s="8">
        <f t="shared" si="7"/>
        <v>0.5</v>
      </c>
      <c r="Z14" s="35">
        <f t="shared" si="8"/>
        <v>30</v>
      </c>
      <c r="AA14" s="38">
        <f t="shared" si="9"/>
        <v>8.8000000000000007</v>
      </c>
    </row>
    <row r="15" spans="1:28" x14ac:dyDescent="0.2">
      <c r="A15">
        <v>15167</v>
      </c>
      <c r="B15">
        <v>104</v>
      </c>
      <c r="C15" s="1" t="s">
        <v>15</v>
      </c>
      <c r="D15">
        <v>1008</v>
      </c>
      <c r="E15">
        <v>2</v>
      </c>
      <c r="F15" s="1" t="s">
        <v>20</v>
      </c>
      <c r="G15" s="1" t="s">
        <v>21</v>
      </c>
      <c r="H15" s="1" t="s">
        <v>22</v>
      </c>
      <c r="I15">
        <v>8</v>
      </c>
      <c r="J15">
        <v>24</v>
      </c>
      <c r="K15">
        <v>12</v>
      </c>
      <c r="L15" s="2">
        <v>39582</v>
      </c>
      <c r="M15" s="2">
        <v>39586</v>
      </c>
      <c r="N15">
        <v>30</v>
      </c>
      <c r="O15" s="1" t="s">
        <v>19</v>
      </c>
      <c r="P15" t="s">
        <v>53</v>
      </c>
      <c r="Q15">
        <f t="shared" si="1"/>
        <v>26</v>
      </c>
      <c r="R15" t="str">
        <f t="shared" si="0"/>
        <v>Excellent</v>
      </c>
      <c r="S15" s="30">
        <f t="shared" si="2"/>
        <v>24</v>
      </c>
      <c r="T15" s="36">
        <f>IF(R15="Excellent",S15,+IF(R15="Satisfactory",S15-((ModifyData!$B$18/100)*S15))+IF(R15="Unsatisfactory",S15-((ModifyData!$B$19/100)*S15)))</f>
        <v>24</v>
      </c>
      <c r="U15">
        <f t="shared" si="3"/>
        <v>1</v>
      </c>
      <c r="V15" s="15">
        <f t="shared" si="4"/>
        <v>0.6</v>
      </c>
      <c r="W15" s="30">
        <f t="shared" si="5"/>
        <v>38.4</v>
      </c>
      <c r="X15" s="16">
        <f t="shared" si="6"/>
        <v>11.999999999999998</v>
      </c>
      <c r="Y15" s="8">
        <f t="shared" si="7"/>
        <v>0.6</v>
      </c>
      <c r="Z15" s="35">
        <f t="shared" si="8"/>
        <v>38.4</v>
      </c>
      <c r="AA15" s="38">
        <f t="shared" si="9"/>
        <v>11.999999999999998</v>
      </c>
    </row>
    <row r="16" spans="1:28" x14ac:dyDescent="0.2">
      <c r="A16">
        <v>15183</v>
      </c>
      <c r="B16">
        <v>104</v>
      </c>
      <c r="C16" s="1" t="s">
        <v>15</v>
      </c>
      <c r="D16">
        <v>1004</v>
      </c>
      <c r="E16">
        <v>1</v>
      </c>
      <c r="F16" s="1" t="s">
        <v>23</v>
      </c>
      <c r="G16" s="1" t="s">
        <v>24</v>
      </c>
      <c r="H16" s="1" t="s">
        <v>22</v>
      </c>
      <c r="I16">
        <v>32</v>
      </c>
      <c r="J16">
        <v>16</v>
      </c>
      <c r="K16">
        <v>24</v>
      </c>
      <c r="L16" s="2">
        <v>39589</v>
      </c>
      <c r="M16" s="2">
        <v>39590</v>
      </c>
      <c r="N16">
        <v>14</v>
      </c>
      <c r="O16" s="1" t="s">
        <v>19</v>
      </c>
      <c r="P16" t="s">
        <v>53</v>
      </c>
      <c r="Q16">
        <f t="shared" si="1"/>
        <v>13</v>
      </c>
      <c r="R16" t="str">
        <f t="shared" si="0"/>
        <v>Excellent</v>
      </c>
      <c r="S16" s="30">
        <f t="shared" si="2"/>
        <v>24</v>
      </c>
      <c r="T16" s="36">
        <f>IF(R16="Excellent",S16,+IF(R16="Satisfactory",S16-((ModifyData!$B$18/100)*S16))+IF(R16="Unsatisfactory",S16-((ModifyData!$B$19/100)*S16)))</f>
        <v>24</v>
      </c>
      <c r="U16">
        <f t="shared" si="3"/>
        <v>1</v>
      </c>
      <c r="V16" s="15">
        <f t="shared" si="4"/>
        <v>0.4</v>
      </c>
      <c r="W16" s="30">
        <f t="shared" si="5"/>
        <v>33.6</v>
      </c>
      <c r="X16" s="16">
        <f t="shared" si="6"/>
        <v>8.0000000000000018</v>
      </c>
      <c r="Y16" s="8">
        <f t="shared" si="7"/>
        <v>0.4</v>
      </c>
      <c r="Z16" s="35">
        <f t="shared" si="8"/>
        <v>33.6</v>
      </c>
      <c r="AA16" s="38">
        <f t="shared" si="9"/>
        <v>8.0000000000000018</v>
      </c>
    </row>
    <row r="17" spans="1:27" x14ac:dyDescent="0.2">
      <c r="A17">
        <v>15186</v>
      </c>
      <c r="B17">
        <v>104</v>
      </c>
      <c r="C17" s="1" t="s">
        <v>15</v>
      </c>
      <c r="D17">
        <v>1032</v>
      </c>
      <c r="E17">
        <v>1</v>
      </c>
      <c r="F17" s="1" t="s">
        <v>25</v>
      </c>
      <c r="G17" s="1" t="s">
        <v>26</v>
      </c>
      <c r="H17" s="1" t="s">
        <v>27</v>
      </c>
      <c r="I17">
        <v>1</v>
      </c>
      <c r="J17">
        <v>16</v>
      </c>
      <c r="K17">
        <v>14</v>
      </c>
      <c r="L17" s="2">
        <v>39586</v>
      </c>
      <c r="M17" s="2">
        <v>39590</v>
      </c>
      <c r="N17">
        <v>15</v>
      </c>
      <c r="O17" s="1" t="s">
        <v>19</v>
      </c>
      <c r="P17" t="s">
        <v>53</v>
      </c>
      <c r="Q17">
        <f t="shared" si="1"/>
        <v>11</v>
      </c>
      <c r="R17" t="str">
        <f t="shared" si="0"/>
        <v>Excellent</v>
      </c>
      <c r="S17" s="30">
        <f t="shared" si="2"/>
        <v>14</v>
      </c>
      <c r="T17" s="36">
        <f>IF(R17="Excellent",S17,+IF(R17="Satisfactory",S17-((ModifyData!$B$18/100)*S17))+IF(R17="Unsatisfactory",S17-((ModifyData!$B$19/100)*S17)))</f>
        <v>14</v>
      </c>
      <c r="U17">
        <f t="shared" si="3"/>
        <v>3</v>
      </c>
      <c r="V17" s="15">
        <f t="shared" si="4"/>
        <v>0.75</v>
      </c>
      <c r="W17" s="30">
        <f t="shared" si="5"/>
        <v>24.5</v>
      </c>
      <c r="X17" s="16">
        <f t="shared" si="6"/>
        <v>8.9</v>
      </c>
      <c r="Y17" s="8">
        <f t="shared" si="7"/>
        <v>0.75</v>
      </c>
      <c r="Z17" s="35">
        <f t="shared" si="8"/>
        <v>24.5</v>
      </c>
      <c r="AA17" s="38">
        <f t="shared" si="9"/>
        <v>8.9</v>
      </c>
    </row>
    <row r="18" spans="1:27" x14ac:dyDescent="0.2">
      <c r="A18">
        <v>15231</v>
      </c>
      <c r="B18">
        <v>104</v>
      </c>
      <c r="C18" s="1" t="s">
        <v>15</v>
      </c>
      <c r="D18">
        <v>1021</v>
      </c>
      <c r="E18">
        <v>2</v>
      </c>
      <c r="F18" s="1" t="s">
        <v>28</v>
      </c>
      <c r="G18" s="1" t="s">
        <v>29</v>
      </c>
      <c r="H18" s="1" t="s">
        <v>18</v>
      </c>
      <c r="I18">
        <v>1</v>
      </c>
      <c r="J18">
        <v>4</v>
      </c>
      <c r="K18">
        <v>5.75</v>
      </c>
      <c r="L18" s="2">
        <v>39583</v>
      </c>
      <c r="M18" s="2">
        <v>39587</v>
      </c>
      <c r="N18">
        <v>10</v>
      </c>
      <c r="O18" s="1" t="s">
        <v>19</v>
      </c>
      <c r="P18" t="s">
        <v>53</v>
      </c>
      <c r="Q18">
        <f t="shared" si="1"/>
        <v>6</v>
      </c>
      <c r="R18" t="str">
        <f t="shared" si="0"/>
        <v>Satisfactory</v>
      </c>
      <c r="S18" s="30">
        <f t="shared" si="2"/>
        <v>11.5</v>
      </c>
      <c r="T18" s="36">
        <f>IF(R18="Excellent",S18,+IF(R18="Satisfactory",S18-((ModifyData!$B$18/100)*S18))+IF(R18="Unsatisfactory",S18-((ModifyData!$B$19/100)*S18)))</f>
        <v>9.7750000000000004</v>
      </c>
      <c r="U18">
        <f t="shared" si="3"/>
        <v>2</v>
      </c>
      <c r="V18" s="15">
        <f t="shared" si="4"/>
        <v>0.35</v>
      </c>
      <c r="W18" s="30">
        <f t="shared" si="5"/>
        <v>13.196250000000001</v>
      </c>
      <c r="X18" s="16">
        <f t="shared" si="6"/>
        <v>3.0212500000000007</v>
      </c>
      <c r="Y18" s="8">
        <f t="shared" si="7"/>
        <v>0.35</v>
      </c>
      <c r="Z18" s="35">
        <f t="shared" si="8"/>
        <v>13.196250000000001</v>
      </c>
      <c r="AA18" s="38">
        <f t="shared" si="9"/>
        <v>3.0212500000000007</v>
      </c>
    </row>
    <row r="19" spans="1:27" x14ac:dyDescent="0.2">
      <c r="A19">
        <v>15261</v>
      </c>
      <c r="B19">
        <v>104</v>
      </c>
      <c r="C19" s="1" t="s">
        <v>15</v>
      </c>
      <c r="D19">
        <v>1014</v>
      </c>
      <c r="E19">
        <v>1</v>
      </c>
      <c r="F19" s="1" t="s">
        <v>30</v>
      </c>
      <c r="G19" s="1" t="s">
        <v>31</v>
      </c>
      <c r="H19" s="1" t="s">
        <v>18</v>
      </c>
      <c r="I19">
        <v>0.5</v>
      </c>
      <c r="J19">
        <v>12</v>
      </c>
      <c r="K19">
        <v>10</v>
      </c>
      <c r="L19" s="2">
        <v>39583</v>
      </c>
      <c r="M19" s="2">
        <v>39587</v>
      </c>
      <c r="N19">
        <v>12</v>
      </c>
      <c r="O19" s="1" t="s">
        <v>19</v>
      </c>
      <c r="P19" t="s">
        <v>53</v>
      </c>
      <c r="Q19">
        <f t="shared" si="1"/>
        <v>8</v>
      </c>
      <c r="R19" t="str">
        <f t="shared" si="0"/>
        <v>Excellent</v>
      </c>
      <c r="S19" s="30">
        <f t="shared" si="2"/>
        <v>10</v>
      </c>
      <c r="T19" s="36">
        <f>IF(R19="Excellent",S19,+IF(R19="Satisfactory",S19-((ModifyData!$B$18/100)*S19))+IF(R19="Unsatisfactory",S19-((ModifyData!$B$19/100)*S19)))</f>
        <v>10</v>
      </c>
      <c r="U19">
        <f t="shared" si="3"/>
        <v>2</v>
      </c>
      <c r="V19" s="15">
        <f t="shared" si="4"/>
        <v>0.5</v>
      </c>
      <c r="W19" s="30">
        <f t="shared" si="5"/>
        <v>15</v>
      </c>
      <c r="X19" s="16">
        <f t="shared" si="6"/>
        <v>3.8</v>
      </c>
      <c r="Y19" s="8">
        <f t="shared" si="7"/>
        <v>0.5</v>
      </c>
      <c r="Z19" s="35">
        <f t="shared" si="8"/>
        <v>15</v>
      </c>
      <c r="AA19" s="38">
        <f t="shared" si="9"/>
        <v>3.8</v>
      </c>
    </row>
    <row r="20" spans="1:27" x14ac:dyDescent="0.2">
      <c r="A20">
        <v>15304</v>
      </c>
      <c r="B20">
        <v>104</v>
      </c>
      <c r="C20" s="1" t="s">
        <v>15</v>
      </c>
      <c r="D20">
        <v>1008</v>
      </c>
      <c r="E20">
        <v>1</v>
      </c>
      <c r="F20" s="1" t="s">
        <v>20</v>
      </c>
      <c r="G20" s="1" t="s">
        <v>21</v>
      </c>
      <c r="H20" s="1" t="s">
        <v>22</v>
      </c>
      <c r="I20">
        <v>8</v>
      </c>
      <c r="J20">
        <v>24</v>
      </c>
      <c r="K20">
        <v>12</v>
      </c>
      <c r="L20" s="2">
        <v>39586</v>
      </c>
      <c r="M20" s="2">
        <v>39590</v>
      </c>
      <c r="N20">
        <v>30</v>
      </c>
      <c r="O20" s="1" t="s">
        <v>19</v>
      </c>
      <c r="P20" t="s">
        <v>53</v>
      </c>
      <c r="Q20">
        <f t="shared" si="1"/>
        <v>26</v>
      </c>
      <c r="R20" t="str">
        <f t="shared" si="0"/>
        <v>Excellent</v>
      </c>
      <c r="S20" s="30">
        <f t="shared" si="2"/>
        <v>12</v>
      </c>
      <c r="T20" s="36">
        <f>IF(R20="Excellent",S20,+IF(R20="Satisfactory",S20-((ModifyData!$B$18/100)*S20))+IF(R20="Unsatisfactory",S20-((ModifyData!$B$19/100)*S20)))</f>
        <v>12</v>
      </c>
      <c r="U20">
        <f t="shared" si="3"/>
        <v>1</v>
      </c>
      <c r="V20" s="15">
        <f t="shared" si="4"/>
        <v>0.6</v>
      </c>
      <c r="W20" s="30">
        <f t="shared" si="5"/>
        <v>19.2</v>
      </c>
      <c r="X20" s="16">
        <f t="shared" si="6"/>
        <v>4.7999999999999989</v>
      </c>
      <c r="Y20" s="8">
        <f t="shared" si="7"/>
        <v>0.6</v>
      </c>
      <c r="Z20" s="35">
        <f t="shared" si="8"/>
        <v>19.2</v>
      </c>
      <c r="AA20" s="38">
        <f t="shared" si="9"/>
        <v>4.7999999999999989</v>
      </c>
    </row>
    <row r="21" spans="1:27" x14ac:dyDescent="0.2">
      <c r="A21">
        <v>15319</v>
      </c>
      <c r="B21">
        <v>104</v>
      </c>
      <c r="C21" s="1" t="s">
        <v>15</v>
      </c>
      <c r="D21">
        <v>1026</v>
      </c>
      <c r="E21">
        <v>2</v>
      </c>
      <c r="F21" s="1" t="s">
        <v>32</v>
      </c>
      <c r="G21" s="1" t="s">
        <v>33</v>
      </c>
      <c r="H21" s="1" t="s">
        <v>34</v>
      </c>
      <c r="I21">
        <v>1</v>
      </c>
      <c r="J21">
        <v>16</v>
      </c>
      <c r="K21">
        <v>26</v>
      </c>
      <c r="L21" s="2">
        <v>39591</v>
      </c>
      <c r="M21" s="2">
        <v>39593</v>
      </c>
      <c r="N21">
        <v>60</v>
      </c>
      <c r="O21" s="1" t="s">
        <v>19</v>
      </c>
      <c r="P21" t="s">
        <v>53</v>
      </c>
      <c r="Q21">
        <f t="shared" si="1"/>
        <v>58</v>
      </c>
      <c r="R21" t="str">
        <f t="shared" si="0"/>
        <v>Excellent</v>
      </c>
      <c r="S21" s="30">
        <f t="shared" si="2"/>
        <v>52</v>
      </c>
      <c r="T21" s="36">
        <f>IF(R21="Excellent",S21,+IF(R21="Satisfactory",S21-((ModifyData!$B$18/100)*S21))+IF(R21="Unsatisfactory",S21-((ModifyData!$B$19/100)*S21)))</f>
        <v>52</v>
      </c>
      <c r="U21">
        <f t="shared" si="3"/>
        <v>3</v>
      </c>
      <c r="V21" s="15">
        <f t="shared" si="4"/>
        <v>0.75</v>
      </c>
      <c r="W21" s="30">
        <f t="shared" si="5"/>
        <v>91</v>
      </c>
      <c r="X21" s="16">
        <f t="shared" si="6"/>
        <v>37.4</v>
      </c>
      <c r="Y21" s="8">
        <f t="shared" si="7"/>
        <v>0.75</v>
      </c>
      <c r="Z21" s="35">
        <f t="shared" si="8"/>
        <v>91</v>
      </c>
      <c r="AA21" s="38">
        <f t="shared" si="9"/>
        <v>37.4</v>
      </c>
    </row>
    <row r="22" spans="1:27" x14ac:dyDescent="0.2">
      <c r="A22">
        <v>15320</v>
      </c>
      <c r="B22">
        <v>104</v>
      </c>
      <c r="C22" s="1" t="s">
        <v>15</v>
      </c>
      <c r="D22">
        <v>1024</v>
      </c>
      <c r="E22">
        <v>2</v>
      </c>
      <c r="F22" s="1" t="s">
        <v>35</v>
      </c>
      <c r="G22" s="1" t="s">
        <v>36</v>
      </c>
      <c r="H22" s="1" t="s">
        <v>18</v>
      </c>
      <c r="I22">
        <v>1</v>
      </c>
      <c r="J22">
        <v>4</v>
      </c>
      <c r="K22">
        <v>5.75</v>
      </c>
      <c r="L22" s="2">
        <v>39589</v>
      </c>
      <c r="M22" s="2">
        <v>39593</v>
      </c>
      <c r="N22">
        <v>9</v>
      </c>
      <c r="O22" s="1" t="s">
        <v>19</v>
      </c>
      <c r="P22" t="s">
        <v>53</v>
      </c>
      <c r="Q22">
        <f t="shared" si="1"/>
        <v>5</v>
      </c>
      <c r="R22" t="str">
        <f t="shared" si="0"/>
        <v>Satisfactory</v>
      </c>
      <c r="S22" s="30">
        <f t="shared" si="2"/>
        <v>11.5</v>
      </c>
      <c r="T22" s="36">
        <f>IF(R22="Excellent",S22,+IF(R22="Satisfactory",S22-((ModifyData!$B$18/100)*S22))+IF(R22="Unsatisfactory",S22-((ModifyData!$B$19/100)*S22)))</f>
        <v>9.7750000000000004</v>
      </c>
      <c r="U22">
        <f t="shared" si="3"/>
        <v>2</v>
      </c>
      <c r="V22" s="15">
        <f t="shared" si="4"/>
        <v>0.35</v>
      </c>
      <c r="W22" s="30">
        <f t="shared" si="5"/>
        <v>13.196250000000001</v>
      </c>
      <c r="X22" s="16">
        <f t="shared" si="6"/>
        <v>3.0212500000000007</v>
      </c>
      <c r="Y22" s="8">
        <f t="shared" si="7"/>
        <v>0.35</v>
      </c>
      <c r="Z22" s="35">
        <f t="shared" si="8"/>
        <v>13.196250000000001</v>
      </c>
      <c r="AA22" s="38">
        <f t="shared" si="9"/>
        <v>3.0212500000000007</v>
      </c>
    </row>
    <row r="23" spans="1:27" x14ac:dyDescent="0.2">
      <c r="A23">
        <v>15329</v>
      </c>
      <c r="B23">
        <v>104</v>
      </c>
      <c r="C23" s="1" t="s">
        <v>15</v>
      </c>
      <c r="D23">
        <v>1003</v>
      </c>
      <c r="E23">
        <v>3</v>
      </c>
      <c r="F23" s="1" t="s">
        <v>37</v>
      </c>
      <c r="G23" s="1" t="s">
        <v>24</v>
      </c>
      <c r="H23" s="1" t="s">
        <v>22</v>
      </c>
      <c r="I23">
        <v>16</v>
      </c>
      <c r="J23">
        <v>24</v>
      </c>
      <c r="K23">
        <v>23</v>
      </c>
      <c r="L23" s="2">
        <v>39591</v>
      </c>
      <c r="M23" s="2">
        <v>39593</v>
      </c>
      <c r="N23">
        <v>14</v>
      </c>
      <c r="O23" s="1" t="s">
        <v>19</v>
      </c>
      <c r="P23" t="s">
        <v>53</v>
      </c>
      <c r="Q23">
        <f t="shared" si="1"/>
        <v>12</v>
      </c>
      <c r="R23" t="str">
        <f t="shared" si="0"/>
        <v>Excellent</v>
      </c>
      <c r="S23" s="30">
        <f t="shared" si="2"/>
        <v>69</v>
      </c>
      <c r="T23" s="36">
        <f>IF(R23="Excellent",S23,+IF(R23="Satisfactory",S23-((ModifyData!$B$18/100)*S23))+IF(R23="Unsatisfactory",S23-((ModifyData!$B$19/100)*S23)))</f>
        <v>69</v>
      </c>
      <c r="U23">
        <f t="shared" si="3"/>
        <v>1</v>
      </c>
      <c r="V23" s="15">
        <f t="shared" si="4"/>
        <v>0.4</v>
      </c>
      <c r="W23" s="30">
        <f t="shared" si="5"/>
        <v>96.6</v>
      </c>
      <c r="X23" s="16">
        <f t="shared" si="6"/>
        <v>25.199999999999996</v>
      </c>
      <c r="Y23" s="8">
        <f t="shared" si="7"/>
        <v>0.4</v>
      </c>
      <c r="Z23" s="35">
        <f t="shared" si="8"/>
        <v>96.6</v>
      </c>
      <c r="AA23" s="38">
        <f t="shared" si="9"/>
        <v>25.199999999999996</v>
      </c>
    </row>
    <row r="24" spans="1:27" x14ac:dyDescent="0.2">
      <c r="A24">
        <v>15333</v>
      </c>
      <c r="B24">
        <v>104</v>
      </c>
      <c r="C24" s="1" t="s">
        <v>15</v>
      </c>
      <c r="D24">
        <v>1023</v>
      </c>
      <c r="E24">
        <v>1</v>
      </c>
      <c r="F24" s="1" t="s">
        <v>38</v>
      </c>
      <c r="G24" s="1" t="s">
        <v>36</v>
      </c>
      <c r="H24" s="1" t="s">
        <v>18</v>
      </c>
      <c r="I24">
        <v>0.5</v>
      </c>
      <c r="J24">
        <v>12</v>
      </c>
      <c r="K24">
        <v>10</v>
      </c>
      <c r="L24" s="2">
        <v>39592</v>
      </c>
      <c r="M24" s="2">
        <v>39593</v>
      </c>
      <c r="N24">
        <v>9</v>
      </c>
      <c r="O24" s="1" t="s">
        <v>19</v>
      </c>
      <c r="P24" t="s">
        <v>53</v>
      </c>
      <c r="Q24">
        <f t="shared" si="1"/>
        <v>8</v>
      </c>
      <c r="R24" t="str">
        <f t="shared" si="0"/>
        <v>Excellent</v>
      </c>
      <c r="S24" s="30">
        <f t="shared" si="2"/>
        <v>10</v>
      </c>
      <c r="T24" s="36">
        <f>IF(R24="Excellent",S24,+IF(R24="Satisfactory",S24-((ModifyData!$B$18/100)*S24))+IF(R24="Unsatisfactory",S24-((ModifyData!$B$19/100)*S24)))</f>
        <v>10</v>
      </c>
      <c r="U24">
        <f t="shared" si="3"/>
        <v>2</v>
      </c>
      <c r="V24" s="15">
        <f t="shared" si="4"/>
        <v>0.5</v>
      </c>
      <c r="W24" s="30">
        <f t="shared" si="5"/>
        <v>15</v>
      </c>
      <c r="X24" s="16">
        <f t="shared" si="6"/>
        <v>3.8</v>
      </c>
      <c r="Y24" s="8">
        <f t="shared" si="7"/>
        <v>0.5</v>
      </c>
      <c r="Z24" s="35">
        <f t="shared" si="8"/>
        <v>15</v>
      </c>
      <c r="AA24" s="38">
        <f t="shared" si="9"/>
        <v>3.8</v>
      </c>
    </row>
    <row r="25" spans="1:27" x14ac:dyDescent="0.2">
      <c r="A25">
        <v>15334</v>
      </c>
      <c r="B25">
        <v>104</v>
      </c>
      <c r="C25" s="1" t="s">
        <v>15</v>
      </c>
      <c r="D25">
        <v>1017</v>
      </c>
      <c r="E25">
        <v>3</v>
      </c>
      <c r="F25" s="1" t="s">
        <v>16</v>
      </c>
      <c r="G25" s="1" t="s">
        <v>17</v>
      </c>
      <c r="H25" s="1" t="s">
        <v>18</v>
      </c>
      <c r="I25">
        <v>0.5</v>
      </c>
      <c r="J25">
        <v>12</v>
      </c>
      <c r="K25">
        <v>10</v>
      </c>
      <c r="L25" s="2">
        <v>39591</v>
      </c>
      <c r="M25" s="2">
        <v>39593</v>
      </c>
      <c r="N25">
        <v>10</v>
      </c>
      <c r="O25" s="1" t="s">
        <v>19</v>
      </c>
      <c r="P25" t="s">
        <v>54</v>
      </c>
      <c r="Q25">
        <f t="shared" si="1"/>
        <v>8</v>
      </c>
      <c r="R25" t="str">
        <f t="shared" si="0"/>
        <v>Excellent</v>
      </c>
      <c r="S25" s="30">
        <f t="shared" si="2"/>
        <v>30</v>
      </c>
      <c r="T25" s="36">
        <f>IF(R25="Excellent",S25,+IF(R25="Satisfactory",S25-((ModifyData!$B$18/100)*S25))+IF(R25="Unsatisfactory",S25-((ModifyData!$B$19/100)*S25)))</f>
        <v>30</v>
      </c>
      <c r="U25">
        <f t="shared" si="3"/>
        <v>2</v>
      </c>
      <c r="V25" s="15">
        <f t="shared" si="4"/>
        <v>0.5</v>
      </c>
      <c r="W25" s="30">
        <f t="shared" si="5"/>
        <v>45</v>
      </c>
      <c r="X25" s="16">
        <f t="shared" si="6"/>
        <v>13.8</v>
      </c>
      <c r="Y25" s="8">
        <f t="shared" si="7"/>
        <v>0.5</v>
      </c>
      <c r="Z25" s="35">
        <f t="shared" si="8"/>
        <v>45</v>
      </c>
      <c r="AA25" s="38">
        <f t="shared" si="9"/>
        <v>13.8</v>
      </c>
    </row>
    <row r="26" spans="1:27" x14ac:dyDescent="0.2">
      <c r="A26">
        <v>15353</v>
      </c>
      <c r="B26">
        <v>104</v>
      </c>
      <c r="C26" s="1" t="s">
        <v>15</v>
      </c>
      <c r="D26">
        <v>1017</v>
      </c>
      <c r="E26">
        <v>2</v>
      </c>
      <c r="F26" s="1" t="s">
        <v>16</v>
      </c>
      <c r="G26" s="1" t="s">
        <v>17</v>
      </c>
      <c r="H26" s="1" t="s">
        <v>18</v>
      </c>
      <c r="I26">
        <v>0.5</v>
      </c>
      <c r="J26">
        <v>12</v>
      </c>
      <c r="K26">
        <v>10</v>
      </c>
      <c r="L26" s="2">
        <v>39597</v>
      </c>
      <c r="M26" s="2">
        <v>39598</v>
      </c>
      <c r="N26">
        <v>10</v>
      </c>
      <c r="O26" s="1" t="s">
        <v>19</v>
      </c>
      <c r="P26" t="s">
        <v>53</v>
      </c>
      <c r="Q26">
        <f t="shared" si="1"/>
        <v>9</v>
      </c>
      <c r="R26" t="str">
        <f t="shared" si="0"/>
        <v>Excellent</v>
      </c>
      <c r="S26" s="30">
        <f t="shared" si="2"/>
        <v>20</v>
      </c>
      <c r="T26" s="36">
        <f>IF(R26="Excellent",S26,+IF(R26="Satisfactory",S26-((ModifyData!$B$18/100)*S26))+IF(R26="Unsatisfactory",S26-((ModifyData!$B$19/100)*S26)))</f>
        <v>20</v>
      </c>
      <c r="U26">
        <f t="shared" si="3"/>
        <v>2</v>
      </c>
      <c r="V26" s="15">
        <f t="shared" si="4"/>
        <v>0.5</v>
      </c>
      <c r="W26" s="30">
        <f t="shared" si="5"/>
        <v>30</v>
      </c>
      <c r="X26" s="16">
        <f t="shared" si="6"/>
        <v>8.8000000000000007</v>
      </c>
      <c r="Y26" s="8">
        <f t="shared" si="7"/>
        <v>0.5</v>
      </c>
      <c r="Z26" s="35">
        <f t="shared" si="8"/>
        <v>30</v>
      </c>
      <c r="AA26" s="38">
        <f t="shared" si="9"/>
        <v>8.8000000000000007</v>
      </c>
    </row>
    <row r="27" spans="1:27" x14ac:dyDescent="0.2">
      <c r="A27">
        <v>15064</v>
      </c>
      <c r="B27">
        <v>107</v>
      </c>
      <c r="C27" s="1" t="s">
        <v>39</v>
      </c>
      <c r="D27">
        <v>1017</v>
      </c>
      <c r="E27">
        <v>3</v>
      </c>
      <c r="F27" s="1" t="s">
        <v>16</v>
      </c>
      <c r="G27" s="1" t="s">
        <v>17</v>
      </c>
      <c r="H27" s="1" t="s">
        <v>18</v>
      </c>
      <c r="I27">
        <v>0.5</v>
      </c>
      <c r="J27">
        <v>12</v>
      </c>
      <c r="K27">
        <v>10</v>
      </c>
      <c r="L27" s="2">
        <v>39572</v>
      </c>
      <c r="M27" s="2">
        <v>39576</v>
      </c>
      <c r="N27">
        <v>10</v>
      </c>
      <c r="O27" s="1" t="s">
        <v>19</v>
      </c>
      <c r="P27" t="s">
        <v>53</v>
      </c>
      <c r="Q27">
        <f t="shared" si="1"/>
        <v>6</v>
      </c>
      <c r="R27" t="str">
        <f t="shared" si="0"/>
        <v>Satisfactory</v>
      </c>
      <c r="S27" s="30">
        <f t="shared" si="2"/>
        <v>30</v>
      </c>
      <c r="T27" s="36">
        <f>IF(R27="Excellent",S27,+IF(R27="Satisfactory",S27-((ModifyData!$B$18/100)*S27))+IF(R27="Unsatisfactory",S27-((ModifyData!$B$19/100)*S27)))</f>
        <v>25.5</v>
      </c>
      <c r="U27">
        <f t="shared" si="3"/>
        <v>2</v>
      </c>
      <c r="V27" s="15">
        <f t="shared" si="4"/>
        <v>0.5</v>
      </c>
      <c r="W27" s="30">
        <f t="shared" si="5"/>
        <v>38.25</v>
      </c>
      <c r="X27" s="16">
        <f t="shared" si="6"/>
        <v>11.55</v>
      </c>
      <c r="Y27" s="8">
        <f t="shared" si="7"/>
        <v>0.5</v>
      </c>
      <c r="Z27" s="35">
        <f t="shared" si="8"/>
        <v>38.25</v>
      </c>
      <c r="AA27" s="38">
        <f t="shared" si="9"/>
        <v>11.55</v>
      </c>
    </row>
    <row r="28" spans="1:27" x14ac:dyDescent="0.2">
      <c r="A28">
        <v>15263</v>
      </c>
      <c r="B28">
        <v>107</v>
      </c>
      <c r="C28" s="1" t="s">
        <v>39</v>
      </c>
      <c r="D28">
        <v>1017</v>
      </c>
      <c r="E28">
        <v>3</v>
      </c>
      <c r="F28" s="1" t="s">
        <v>16</v>
      </c>
      <c r="G28" s="1" t="s">
        <v>17</v>
      </c>
      <c r="H28" s="1" t="s">
        <v>18</v>
      </c>
      <c r="I28">
        <v>0.5</v>
      </c>
      <c r="J28">
        <v>12</v>
      </c>
      <c r="K28">
        <v>10</v>
      </c>
      <c r="L28" s="2">
        <v>39585</v>
      </c>
      <c r="M28" s="2">
        <v>39587</v>
      </c>
      <c r="N28">
        <v>10</v>
      </c>
      <c r="O28" s="1" t="s">
        <v>19</v>
      </c>
      <c r="P28" t="s">
        <v>53</v>
      </c>
      <c r="Q28">
        <f t="shared" si="1"/>
        <v>8</v>
      </c>
      <c r="R28" t="str">
        <f t="shared" si="0"/>
        <v>Excellent</v>
      </c>
      <c r="S28" s="30">
        <f t="shared" si="2"/>
        <v>30</v>
      </c>
      <c r="T28" s="36">
        <f>IF(R28="Excellent",S28,+IF(R28="Satisfactory",S28-((ModifyData!$B$18/100)*S28))+IF(R28="Unsatisfactory",S28-((ModifyData!$B$19/100)*S28)))</f>
        <v>30</v>
      </c>
      <c r="U28">
        <f t="shared" si="3"/>
        <v>2</v>
      </c>
      <c r="V28" s="15">
        <f t="shared" si="4"/>
        <v>0.5</v>
      </c>
      <c r="W28" s="30">
        <f t="shared" si="5"/>
        <v>45</v>
      </c>
      <c r="X28" s="16">
        <f t="shared" si="6"/>
        <v>13.8</v>
      </c>
      <c r="Y28" s="8">
        <f t="shared" si="7"/>
        <v>0.5</v>
      </c>
      <c r="Z28" s="35">
        <f t="shared" si="8"/>
        <v>45</v>
      </c>
      <c r="AA28" s="38">
        <f t="shared" si="9"/>
        <v>13.8</v>
      </c>
    </row>
    <row r="29" spans="1:27" x14ac:dyDescent="0.2">
      <c r="A29">
        <v>14965</v>
      </c>
      <c r="B29">
        <v>117</v>
      </c>
      <c r="C29" s="1" t="s">
        <v>15</v>
      </c>
      <c r="D29">
        <v>1023</v>
      </c>
      <c r="E29">
        <v>2</v>
      </c>
      <c r="F29" s="1" t="s">
        <v>38</v>
      </c>
      <c r="G29" s="1" t="s">
        <v>36</v>
      </c>
      <c r="H29" s="1" t="s">
        <v>18</v>
      </c>
      <c r="I29">
        <v>0.5</v>
      </c>
      <c r="J29">
        <v>12</v>
      </c>
      <c r="K29">
        <v>10</v>
      </c>
      <c r="L29" s="2">
        <v>39566</v>
      </c>
      <c r="M29" s="2">
        <v>39569</v>
      </c>
      <c r="N29">
        <v>9</v>
      </c>
      <c r="O29" s="1" t="s">
        <v>19</v>
      </c>
      <c r="P29" t="s">
        <v>53</v>
      </c>
      <c r="Q29">
        <f t="shared" si="1"/>
        <v>6</v>
      </c>
      <c r="R29" t="str">
        <f t="shared" si="0"/>
        <v>Satisfactory</v>
      </c>
      <c r="S29" s="30">
        <f t="shared" si="2"/>
        <v>20</v>
      </c>
      <c r="T29" s="36">
        <f>IF(R29="Excellent",S29,+IF(R29="Satisfactory",S29-((ModifyData!$B$18/100)*S29))+IF(R29="Unsatisfactory",S29-((ModifyData!$B$19/100)*S29)))</f>
        <v>17</v>
      </c>
      <c r="U29">
        <f t="shared" si="3"/>
        <v>2</v>
      </c>
      <c r="V29" s="15">
        <f t="shared" si="4"/>
        <v>0.5</v>
      </c>
      <c r="W29" s="30">
        <f t="shared" si="5"/>
        <v>25.5</v>
      </c>
      <c r="X29" s="16">
        <f t="shared" si="6"/>
        <v>7.3</v>
      </c>
      <c r="Y29" s="8">
        <f t="shared" si="7"/>
        <v>0.5</v>
      </c>
      <c r="Z29" s="35">
        <f t="shared" si="8"/>
        <v>25.5</v>
      </c>
      <c r="AA29" s="38">
        <f t="shared" si="9"/>
        <v>7.3</v>
      </c>
    </row>
    <row r="30" spans="1:27" x14ac:dyDescent="0.2">
      <c r="A30">
        <v>14972</v>
      </c>
      <c r="B30">
        <v>117</v>
      </c>
      <c r="C30" s="1" t="s">
        <v>15</v>
      </c>
      <c r="D30">
        <v>1027</v>
      </c>
      <c r="E30">
        <v>1</v>
      </c>
      <c r="F30" s="1" t="s">
        <v>40</v>
      </c>
      <c r="G30" s="1" t="s">
        <v>33</v>
      </c>
      <c r="H30" s="1" t="s">
        <v>34</v>
      </c>
      <c r="I30">
        <v>0.5</v>
      </c>
      <c r="J30">
        <v>16</v>
      </c>
      <c r="K30">
        <v>20</v>
      </c>
      <c r="L30" s="2">
        <v>39568</v>
      </c>
      <c r="M30" s="2">
        <v>39572</v>
      </c>
      <c r="N30">
        <v>60</v>
      </c>
      <c r="O30" s="1" t="s">
        <v>19</v>
      </c>
      <c r="P30" t="s">
        <v>53</v>
      </c>
      <c r="Q30">
        <f t="shared" si="1"/>
        <v>56</v>
      </c>
      <c r="R30" t="str">
        <f t="shared" si="0"/>
        <v>Excellent</v>
      </c>
      <c r="S30" s="30">
        <f t="shared" si="2"/>
        <v>20</v>
      </c>
      <c r="T30" s="36">
        <f>IF(R30="Excellent",S30,+IF(R30="Satisfactory",S30-((ModifyData!$B$18/100)*S30))+IF(R30="Unsatisfactory",S30-((ModifyData!$B$19/100)*S30)))</f>
        <v>20</v>
      </c>
      <c r="U30">
        <f t="shared" si="3"/>
        <v>3</v>
      </c>
      <c r="V30" s="15">
        <f t="shared" si="4"/>
        <v>0.75</v>
      </c>
      <c r="W30" s="30">
        <f t="shared" si="5"/>
        <v>35</v>
      </c>
      <c r="X30" s="16">
        <f t="shared" si="6"/>
        <v>13.4</v>
      </c>
      <c r="Y30" s="8">
        <f t="shared" si="7"/>
        <v>0.75</v>
      </c>
      <c r="Z30" s="35">
        <f t="shared" si="8"/>
        <v>35</v>
      </c>
      <c r="AA30" s="38">
        <f t="shared" si="9"/>
        <v>13.4</v>
      </c>
    </row>
    <row r="31" spans="1:27" x14ac:dyDescent="0.2">
      <c r="A31">
        <v>14995</v>
      </c>
      <c r="B31">
        <v>117</v>
      </c>
      <c r="C31" s="1" t="s">
        <v>15</v>
      </c>
      <c r="D31">
        <v>1011</v>
      </c>
      <c r="E31">
        <v>2</v>
      </c>
      <c r="F31" s="1" t="s">
        <v>41</v>
      </c>
      <c r="G31" s="1" t="s">
        <v>42</v>
      </c>
      <c r="H31" s="1" t="s">
        <v>22</v>
      </c>
      <c r="I31">
        <v>8</v>
      </c>
      <c r="J31">
        <v>24</v>
      </c>
      <c r="K31">
        <v>14</v>
      </c>
      <c r="L31" s="2">
        <v>39571</v>
      </c>
      <c r="M31" s="2">
        <v>39572</v>
      </c>
      <c r="N31">
        <v>30</v>
      </c>
      <c r="O31" s="1" t="s">
        <v>19</v>
      </c>
      <c r="P31" t="s">
        <v>53</v>
      </c>
      <c r="Q31">
        <f t="shared" si="1"/>
        <v>29</v>
      </c>
      <c r="R31" t="str">
        <f t="shared" si="0"/>
        <v>Excellent</v>
      </c>
      <c r="S31" s="30">
        <f t="shared" si="2"/>
        <v>28</v>
      </c>
      <c r="T31" s="36">
        <f>IF(R31="Excellent",S31,+IF(R31="Satisfactory",S31-((ModifyData!$B$18/100)*S31))+IF(R31="Unsatisfactory",S31-((ModifyData!$B$19/100)*S31)))</f>
        <v>28</v>
      </c>
      <c r="U31">
        <f t="shared" si="3"/>
        <v>1</v>
      </c>
      <c r="V31" s="15">
        <f t="shared" si="4"/>
        <v>0.6</v>
      </c>
      <c r="W31" s="30">
        <f t="shared" si="5"/>
        <v>44.8</v>
      </c>
      <c r="X31" s="16">
        <f t="shared" si="6"/>
        <v>14.399999999999997</v>
      </c>
      <c r="Y31" s="8">
        <f t="shared" si="7"/>
        <v>0.6</v>
      </c>
      <c r="Z31" s="35">
        <f t="shared" si="8"/>
        <v>44.8</v>
      </c>
      <c r="AA31" s="38">
        <f t="shared" si="9"/>
        <v>14.399999999999997</v>
      </c>
    </row>
    <row r="32" spans="1:27" x14ac:dyDescent="0.2">
      <c r="A32">
        <v>15033</v>
      </c>
      <c r="B32">
        <v>117</v>
      </c>
      <c r="C32" s="1" t="s">
        <v>15</v>
      </c>
      <c r="D32">
        <v>1021</v>
      </c>
      <c r="E32">
        <v>2</v>
      </c>
      <c r="F32" s="1" t="s">
        <v>28</v>
      </c>
      <c r="G32" s="1" t="s">
        <v>29</v>
      </c>
      <c r="H32" s="1" t="s">
        <v>18</v>
      </c>
      <c r="I32">
        <v>1</v>
      </c>
      <c r="J32">
        <v>4</v>
      </c>
      <c r="K32">
        <v>5.75</v>
      </c>
      <c r="L32" s="2">
        <v>39573</v>
      </c>
      <c r="M32" s="2">
        <v>39576</v>
      </c>
      <c r="N32">
        <v>10</v>
      </c>
      <c r="O32" s="1" t="s">
        <v>19</v>
      </c>
      <c r="P32" t="s">
        <v>53</v>
      </c>
      <c r="Q32">
        <f t="shared" si="1"/>
        <v>7</v>
      </c>
      <c r="R32" t="str">
        <f t="shared" si="0"/>
        <v>Excellent</v>
      </c>
      <c r="S32" s="30">
        <f t="shared" si="2"/>
        <v>11.5</v>
      </c>
      <c r="T32" s="36">
        <f>IF(R32="Excellent",S32,+IF(R32="Satisfactory",S32-((ModifyData!$B$18/100)*S32))+IF(R32="Unsatisfactory",S32-((ModifyData!$B$19/100)*S32)))</f>
        <v>11.5</v>
      </c>
      <c r="U32">
        <f t="shared" si="3"/>
        <v>2</v>
      </c>
      <c r="V32" s="15">
        <f t="shared" si="4"/>
        <v>0.35</v>
      </c>
      <c r="W32" s="30">
        <f t="shared" si="5"/>
        <v>15.524999999999999</v>
      </c>
      <c r="X32" s="16">
        <f t="shared" si="6"/>
        <v>3.6249999999999987</v>
      </c>
      <c r="Y32" s="8">
        <f t="shared" si="7"/>
        <v>0.35</v>
      </c>
      <c r="Z32" s="35">
        <f t="shared" si="8"/>
        <v>15.524999999999999</v>
      </c>
      <c r="AA32" s="38">
        <f t="shared" si="9"/>
        <v>3.6249999999999987</v>
      </c>
    </row>
    <row r="33" spans="1:27" x14ac:dyDescent="0.2">
      <c r="A33">
        <v>15037</v>
      </c>
      <c r="B33">
        <v>117</v>
      </c>
      <c r="C33" s="1" t="s">
        <v>15</v>
      </c>
      <c r="D33">
        <v>1012</v>
      </c>
      <c r="E33">
        <v>3</v>
      </c>
      <c r="F33" s="1" t="s">
        <v>43</v>
      </c>
      <c r="G33" s="1" t="s">
        <v>42</v>
      </c>
      <c r="H33" s="1" t="s">
        <v>22</v>
      </c>
      <c r="I33">
        <v>16</v>
      </c>
      <c r="J33">
        <v>24</v>
      </c>
      <c r="K33">
        <v>18</v>
      </c>
      <c r="L33" s="2">
        <v>39575</v>
      </c>
      <c r="M33" s="2">
        <v>39576</v>
      </c>
      <c r="N33">
        <v>30</v>
      </c>
      <c r="O33" s="1" t="s">
        <v>19</v>
      </c>
      <c r="P33" t="s">
        <v>53</v>
      </c>
      <c r="Q33">
        <f t="shared" si="1"/>
        <v>29</v>
      </c>
      <c r="R33" t="str">
        <f t="shared" si="0"/>
        <v>Excellent</v>
      </c>
      <c r="S33" s="30">
        <f t="shared" si="2"/>
        <v>54</v>
      </c>
      <c r="T33" s="36">
        <f>IF(R33="Excellent",S33,+IF(R33="Satisfactory",S33-((ModifyData!$B$18/100)*S33))+IF(R33="Unsatisfactory",S33-((ModifyData!$B$19/100)*S33)))</f>
        <v>54</v>
      </c>
      <c r="U33">
        <f t="shared" si="3"/>
        <v>1</v>
      </c>
      <c r="V33" s="15">
        <f t="shared" si="4"/>
        <v>0.4</v>
      </c>
      <c r="W33" s="30">
        <f t="shared" si="5"/>
        <v>75.599999999999994</v>
      </c>
      <c r="X33" s="16">
        <f t="shared" si="6"/>
        <v>19.199999999999996</v>
      </c>
      <c r="Y33" s="8">
        <f t="shared" si="7"/>
        <v>0.4</v>
      </c>
      <c r="Z33" s="35">
        <f t="shared" si="8"/>
        <v>75.599999999999994</v>
      </c>
      <c r="AA33" s="38">
        <f t="shared" si="9"/>
        <v>19.199999999999996</v>
      </c>
    </row>
    <row r="34" spans="1:27" x14ac:dyDescent="0.2">
      <c r="A34">
        <v>15055</v>
      </c>
      <c r="B34">
        <v>117</v>
      </c>
      <c r="C34" s="1" t="s">
        <v>15</v>
      </c>
      <c r="D34">
        <v>1026</v>
      </c>
      <c r="E34">
        <v>3</v>
      </c>
      <c r="F34" s="1" t="s">
        <v>32</v>
      </c>
      <c r="G34" s="1" t="s">
        <v>33</v>
      </c>
      <c r="H34" s="1" t="s">
        <v>34</v>
      </c>
      <c r="I34">
        <v>1</v>
      </c>
      <c r="J34">
        <v>16</v>
      </c>
      <c r="K34">
        <v>26</v>
      </c>
      <c r="L34" s="2">
        <v>39573</v>
      </c>
      <c r="M34" s="2">
        <v>39576</v>
      </c>
      <c r="N34">
        <v>60</v>
      </c>
      <c r="O34" s="1" t="s">
        <v>19</v>
      </c>
      <c r="P34" t="s">
        <v>53</v>
      </c>
      <c r="Q34">
        <f t="shared" si="1"/>
        <v>57</v>
      </c>
      <c r="R34" t="str">
        <f t="shared" ref="R34:R57" si="10">VLOOKUP(Q34,Shelfstatus,2,TRUE)</f>
        <v>Excellent</v>
      </c>
      <c r="S34" s="30">
        <f t="shared" si="2"/>
        <v>78</v>
      </c>
      <c r="T34" s="36">
        <f>IF(R34="Excellent",S34,+IF(R34="Satisfactory",S34-((ModifyData!$B$18/100)*S34))+IF(R34="Unsatisfactory",S34-((ModifyData!$B$19/100)*S34)))</f>
        <v>78</v>
      </c>
      <c r="U34">
        <f t="shared" si="3"/>
        <v>3</v>
      </c>
      <c r="V34" s="15">
        <f t="shared" si="4"/>
        <v>0.75</v>
      </c>
      <c r="W34" s="30">
        <f t="shared" si="5"/>
        <v>136.5</v>
      </c>
      <c r="X34" s="16">
        <f t="shared" si="6"/>
        <v>56.9</v>
      </c>
      <c r="Y34" s="8">
        <f t="shared" si="7"/>
        <v>0.75</v>
      </c>
      <c r="Z34" s="35">
        <f t="shared" si="8"/>
        <v>136.5</v>
      </c>
      <c r="AA34" s="38">
        <f t="shared" si="9"/>
        <v>56.9</v>
      </c>
    </row>
    <row r="35" spans="1:27" x14ac:dyDescent="0.2">
      <c r="A35">
        <v>15057</v>
      </c>
      <c r="B35">
        <v>117</v>
      </c>
      <c r="C35" s="1" t="s">
        <v>15</v>
      </c>
      <c r="D35">
        <v>1010</v>
      </c>
      <c r="E35">
        <v>3</v>
      </c>
      <c r="F35" s="1" t="s">
        <v>44</v>
      </c>
      <c r="G35" s="1" t="s">
        <v>21</v>
      </c>
      <c r="H35" s="1" t="s">
        <v>22</v>
      </c>
      <c r="I35">
        <v>32</v>
      </c>
      <c r="J35">
        <v>18</v>
      </c>
      <c r="K35">
        <v>20</v>
      </c>
      <c r="L35" s="2">
        <v>39572</v>
      </c>
      <c r="M35" s="2">
        <v>39576</v>
      </c>
      <c r="N35">
        <v>30</v>
      </c>
      <c r="O35" s="1" t="s">
        <v>19</v>
      </c>
      <c r="P35" t="s">
        <v>53</v>
      </c>
      <c r="Q35">
        <f t="shared" si="1"/>
        <v>26</v>
      </c>
      <c r="R35" t="str">
        <f t="shared" si="10"/>
        <v>Excellent</v>
      </c>
      <c r="S35" s="30">
        <f t="shared" si="2"/>
        <v>60</v>
      </c>
      <c r="T35" s="36">
        <f>IF(R35="Excellent",S35,+IF(R35="Satisfactory",S35-((ModifyData!$B$18/100)*S35))+IF(R35="Unsatisfactory",S35-((ModifyData!$B$19/100)*S35)))</f>
        <v>60</v>
      </c>
      <c r="U35">
        <f t="shared" si="3"/>
        <v>1</v>
      </c>
      <c r="V35" s="15">
        <f t="shared" si="4"/>
        <v>0.4</v>
      </c>
      <c r="W35" s="30">
        <f t="shared" si="5"/>
        <v>84</v>
      </c>
      <c r="X35" s="16">
        <f t="shared" si="6"/>
        <v>22.2</v>
      </c>
      <c r="Y35" s="8">
        <f t="shared" si="7"/>
        <v>0.4</v>
      </c>
      <c r="Z35" s="35">
        <f t="shared" si="8"/>
        <v>84</v>
      </c>
      <c r="AA35" s="38">
        <f t="shared" si="9"/>
        <v>22.2</v>
      </c>
    </row>
    <row r="36" spans="1:27" x14ac:dyDescent="0.2">
      <c r="A36">
        <v>15113</v>
      </c>
      <c r="B36">
        <v>117</v>
      </c>
      <c r="C36" s="1" t="s">
        <v>15</v>
      </c>
      <c r="D36">
        <v>1014</v>
      </c>
      <c r="E36">
        <v>2</v>
      </c>
      <c r="F36" s="1" t="s">
        <v>30</v>
      </c>
      <c r="G36" s="1" t="s">
        <v>31</v>
      </c>
      <c r="H36" s="1" t="s">
        <v>18</v>
      </c>
      <c r="I36">
        <v>0.5</v>
      </c>
      <c r="J36">
        <v>12</v>
      </c>
      <c r="K36">
        <v>10</v>
      </c>
      <c r="L36" s="2">
        <v>39580</v>
      </c>
      <c r="M36" s="2">
        <v>39583</v>
      </c>
      <c r="N36">
        <v>12</v>
      </c>
      <c r="O36" s="1" t="s">
        <v>19</v>
      </c>
      <c r="P36" t="s">
        <v>53</v>
      </c>
      <c r="Q36">
        <f t="shared" si="1"/>
        <v>9</v>
      </c>
      <c r="R36" t="str">
        <f t="shared" si="10"/>
        <v>Excellent</v>
      </c>
      <c r="S36" s="30">
        <f t="shared" si="2"/>
        <v>20</v>
      </c>
      <c r="T36" s="36">
        <f>IF(R36="Excellent",S36,+IF(R36="Satisfactory",S36-((ModifyData!$B$18/100)*S36))+IF(R36="Unsatisfactory",S36-((ModifyData!$B$19/100)*S36)))</f>
        <v>20</v>
      </c>
      <c r="U36">
        <f t="shared" si="3"/>
        <v>2</v>
      </c>
      <c r="V36" s="15">
        <f t="shared" si="4"/>
        <v>0.5</v>
      </c>
      <c r="W36" s="30">
        <f t="shared" si="5"/>
        <v>30</v>
      </c>
      <c r="X36" s="16">
        <f t="shared" si="6"/>
        <v>8.8000000000000007</v>
      </c>
      <c r="Y36" s="8">
        <f t="shared" si="7"/>
        <v>0.5</v>
      </c>
      <c r="Z36" s="35">
        <f t="shared" si="8"/>
        <v>30</v>
      </c>
      <c r="AA36" s="38">
        <f t="shared" si="9"/>
        <v>8.8000000000000007</v>
      </c>
    </row>
    <row r="37" spans="1:27" x14ac:dyDescent="0.2">
      <c r="A37">
        <v>15164</v>
      </c>
      <c r="B37">
        <v>117</v>
      </c>
      <c r="C37" s="1" t="s">
        <v>15</v>
      </c>
      <c r="D37">
        <v>1023</v>
      </c>
      <c r="E37">
        <v>2</v>
      </c>
      <c r="F37" s="1" t="s">
        <v>38</v>
      </c>
      <c r="G37" s="1" t="s">
        <v>36</v>
      </c>
      <c r="H37" s="1" t="s">
        <v>18</v>
      </c>
      <c r="I37">
        <v>0.5</v>
      </c>
      <c r="J37">
        <v>12</v>
      </c>
      <c r="K37">
        <v>10</v>
      </c>
      <c r="L37" s="2">
        <v>39585</v>
      </c>
      <c r="M37" s="2">
        <v>39586</v>
      </c>
      <c r="N37">
        <v>9</v>
      </c>
      <c r="O37" s="1" t="s">
        <v>19</v>
      </c>
      <c r="P37" t="s">
        <v>53</v>
      </c>
      <c r="Q37">
        <f t="shared" si="1"/>
        <v>8</v>
      </c>
      <c r="R37" t="str">
        <f t="shared" si="10"/>
        <v>Excellent</v>
      </c>
      <c r="S37" s="30">
        <f t="shared" si="2"/>
        <v>20</v>
      </c>
      <c r="T37" s="36">
        <f>IF(R37="Excellent",S37,+IF(R37="Satisfactory",S37-((ModifyData!$B$18/100)*S37))+IF(R37="Unsatisfactory",S37-((ModifyData!$B$19/100)*S37)))</f>
        <v>20</v>
      </c>
      <c r="U37">
        <f t="shared" si="3"/>
        <v>2</v>
      </c>
      <c r="V37" s="15">
        <f t="shared" si="4"/>
        <v>0.5</v>
      </c>
      <c r="W37" s="30">
        <f t="shared" si="5"/>
        <v>30</v>
      </c>
      <c r="X37" s="16">
        <f t="shared" si="6"/>
        <v>8.8000000000000007</v>
      </c>
      <c r="Y37" s="8">
        <f t="shared" si="7"/>
        <v>0.5</v>
      </c>
      <c r="Z37" s="35">
        <f t="shared" si="8"/>
        <v>30</v>
      </c>
      <c r="AA37" s="38">
        <f t="shared" si="9"/>
        <v>8.8000000000000007</v>
      </c>
    </row>
    <row r="38" spans="1:27" x14ac:dyDescent="0.2">
      <c r="A38">
        <v>15171</v>
      </c>
      <c r="B38">
        <v>117</v>
      </c>
      <c r="C38" s="1" t="s">
        <v>15</v>
      </c>
      <c r="D38">
        <v>1027</v>
      </c>
      <c r="E38">
        <v>1</v>
      </c>
      <c r="F38" s="1" t="s">
        <v>40</v>
      </c>
      <c r="G38" s="1" t="s">
        <v>33</v>
      </c>
      <c r="H38" s="1" t="s">
        <v>34</v>
      </c>
      <c r="I38">
        <v>0.5</v>
      </c>
      <c r="J38">
        <v>16</v>
      </c>
      <c r="K38">
        <v>20</v>
      </c>
      <c r="L38" s="2">
        <v>39586</v>
      </c>
      <c r="M38" s="2">
        <v>39590</v>
      </c>
      <c r="N38">
        <v>60</v>
      </c>
      <c r="O38" s="1" t="s">
        <v>19</v>
      </c>
      <c r="P38" t="s">
        <v>53</v>
      </c>
      <c r="Q38">
        <f t="shared" si="1"/>
        <v>56</v>
      </c>
      <c r="R38" t="str">
        <f t="shared" si="10"/>
        <v>Excellent</v>
      </c>
      <c r="S38" s="30">
        <f t="shared" si="2"/>
        <v>20</v>
      </c>
      <c r="T38" s="36">
        <f>IF(R38="Excellent",S38,+IF(R38="Satisfactory",S38-((ModifyData!$B$18/100)*S38))+IF(R38="Unsatisfactory",S38-((ModifyData!$B$19/100)*S38)))</f>
        <v>20</v>
      </c>
      <c r="U38">
        <f t="shared" si="3"/>
        <v>3</v>
      </c>
      <c r="V38" s="15">
        <f t="shared" si="4"/>
        <v>0.75</v>
      </c>
      <c r="W38" s="30">
        <f t="shared" si="5"/>
        <v>35</v>
      </c>
      <c r="X38" s="16">
        <f t="shared" si="6"/>
        <v>13.4</v>
      </c>
      <c r="Y38" s="8">
        <f t="shared" si="7"/>
        <v>0.75</v>
      </c>
      <c r="Z38" s="35">
        <f t="shared" si="8"/>
        <v>35</v>
      </c>
      <c r="AA38" s="38">
        <f t="shared" si="9"/>
        <v>13.4</v>
      </c>
    </row>
    <row r="39" spans="1:27" x14ac:dyDescent="0.2">
      <c r="A39">
        <v>15181</v>
      </c>
      <c r="B39">
        <v>117</v>
      </c>
      <c r="C39" s="1" t="s">
        <v>15</v>
      </c>
      <c r="D39">
        <v>1027</v>
      </c>
      <c r="E39">
        <v>1</v>
      </c>
      <c r="F39" s="1" t="s">
        <v>40</v>
      </c>
      <c r="G39" s="1" t="s">
        <v>33</v>
      </c>
      <c r="H39" s="1" t="s">
        <v>34</v>
      </c>
      <c r="I39">
        <v>0.5</v>
      </c>
      <c r="J39">
        <v>16</v>
      </c>
      <c r="K39">
        <v>20</v>
      </c>
      <c r="L39" s="2">
        <v>39588</v>
      </c>
      <c r="M39" s="2">
        <v>39590</v>
      </c>
      <c r="N39">
        <v>60</v>
      </c>
      <c r="O39" s="1" t="s">
        <v>19</v>
      </c>
      <c r="P39" t="s">
        <v>53</v>
      </c>
      <c r="Q39">
        <f t="shared" si="1"/>
        <v>58</v>
      </c>
      <c r="R39" t="str">
        <f t="shared" si="10"/>
        <v>Excellent</v>
      </c>
      <c r="S39" s="30">
        <f t="shared" si="2"/>
        <v>20</v>
      </c>
      <c r="T39" s="36">
        <f>IF(R39="Excellent",S39,+IF(R39="Satisfactory",S39-((ModifyData!$B$18/100)*S39))+IF(R39="Unsatisfactory",S39-((ModifyData!$B$19/100)*S39)))</f>
        <v>20</v>
      </c>
      <c r="U39">
        <f t="shared" si="3"/>
        <v>3</v>
      </c>
      <c r="V39" s="15">
        <f t="shared" si="4"/>
        <v>0.75</v>
      </c>
      <c r="W39" s="30">
        <f t="shared" si="5"/>
        <v>35</v>
      </c>
      <c r="X39" s="16">
        <f t="shared" si="6"/>
        <v>13.4</v>
      </c>
      <c r="Y39" s="8">
        <f t="shared" si="7"/>
        <v>0.75</v>
      </c>
      <c r="Z39" s="35">
        <f t="shared" si="8"/>
        <v>35</v>
      </c>
      <c r="AA39" s="38">
        <f t="shared" si="9"/>
        <v>13.4</v>
      </c>
    </row>
    <row r="40" spans="1:27" x14ac:dyDescent="0.2">
      <c r="A40">
        <v>15194</v>
      </c>
      <c r="B40">
        <v>117</v>
      </c>
      <c r="C40" s="1" t="s">
        <v>15</v>
      </c>
      <c r="D40">
        <v>1011</v>
      </c>
      <c r="E40">
        <v>2</v>
      </c>
      <c r="F40" s="1" t="s">
        <v>41</v>
      </c>
      <c r="G40" s="1" t="s">
        <v>42</v>
      </c>
      <c r="H40" s="1" t="s">
        <v>22</v>
      </c>
      <c r="I40">
        <v>8</v>
      </c>
      <c r="J40">
        <v>24</v>
      </c>
      <c r="K40">
        <v>14</v>
      </c>
      <c r="L40" s="2">
        <v>39588</v>
      </c>
      <c r="M40" s="2">
        <v>39590</v>
      </c>
      <c r="N40">
        <v>30</v>
      </c>
      <c r="O40" s="1" t="s">
        <v>19</v>
      </c>
      <c r="P40" t="s">
        <v>53</v>
      </c>
      <c r="Q40">
        <f t="shared" si="1"/>
        <v>28</v>
      </c>
      <c r="R40" t="str">
        <f t="shared" si="10"/>
        <v>Excellent</v>
      </c>
      <c r="S40" s="30">
        <f t="shared" si="2"/>
        <v>28</v>
      </c>
      <c r="T40" s="36">
        <f>IF(R40="Excellent",S40,+IF(R40="Satisfactory",S40-((ModifyData!$B$18/100)*S40))+IF(R40="Unsatisfactory",S40-((ModifyData!$B$19/100)*S40)))</f>
        <v>28</v>
      </c>
      <c r="U40">
        <f t="shared" si="3"/>
        <v>1</v>
      </c>
      <c r="V40" s="15">
        <f xml:space="preserve">
IF(AND(U40=1,I40&lt;16),0.6,
IF(AND(U40=1,I40&gt;=16),0.4,
IF(AND(U40=2,I40&lt;1),0.5,
IF(AND(U40=2,I40&gt;=1),0.35,
0.75))))</f>
        <v>0.6</v>
      </c>
      <c r="W40" s="30">
        <f t="shared" si="5"/>
        <v>44.8</v>
      </c>
      <c r="X40" s="16">
        <f t="shared" si="6"/>
        <v>14.399999999999997</v>
      </c>
      <c r="Y40" s="8">
        <f t="shared" si="7"/>
        <v>0.6</v>
      </c>
      <c r="Z40" s="35">
        <f t="shared" si="8"/>
        <v>44.8</v>
      </c>
      <c r="AA40" s="38">
        <f t="shared" si="9"/>
        <v>14.399999999999997</v>
      </c>
    </row>
    <row r="41" spans="1:27" x14ac:dyDescent="0.2">
      <c r="A41">
        <v>15232</v>
      </c>
      <c r="B41">
        <v>117</v>
      </c>
      <c r="C41" s="1" t="s">
        <v>15</v>
      </c>
      <c r="D41">
        <v>1021</v>
      </c>
      <c r="E41">
        <v>2</v>
      </c>
      <c r="F41" s="1" t="s">
        <v>28</v>
      </c>
      <c r="G41" s="1" t="s">
        <v>29</v>
      </c>
      <c r="H41" s="1" t="s">
        <v>18</v>
      </c>
      <c r="I41">
        <v>1</v>
      </c>
      <c r="J41">
        <v>4</v>
      </c>
      <c r="K41">
        <v>5.75</v>
      </c>
      <c r="L41" s="2">
        <v>39585</v>
      </c>
      <c r="M41" s="2">
        <v>39587</v>
      </c>
      <c r="N41">
        <v>10</v>
      </c>
      <c r="O41" s="1" t="s">
        <v>19</v>
      </c>
      <c r="P41" t="s">
        <v>53</v>
      </c>
      <c r="Q41">
        <f t="shared" si="1"/>
        <v>8</v>
      </c>
      <c r="R41" t="str">
        <f t="shared" si="10"/>
        <v>Excellent</v>
      </c>
      <c r="S41" s="30">
        <f t="shared" si="2"/>
        <v>11.5</v>
      </c>
      <c r="T41" s="36">
        <f>IF(R41="Excellent",S41,+IF(R41="Satisfactory",S41-((ModifyData!$B$18/100)*S41))+IF(R41="Unsatisfactory",S41-((ModifyData!$B$19/100)*S41)))</f>
        <v>11.5</v>
      </c>
      <c r="U41">
        <f t="shared" si="3"/>
        <v>2</v>
      </c>
      <c r="V41" s="15">
        <f t="shared" si="4"/>
        <v>0.35</v>
      </c>
      <c r="W41" s="30">
        <f t="shared" si="5"/>
        <v>15.524999999999999</v>
      </c>
      <c r="X41" s="16">
        <f t="shared" si="6"/>
        <v>3.6249999999999987</v>
      </c>
      <c r="Y41" s="8">
        <f t="shared" si="7"/>
        <v>0.35</v>
      </c>
      <c r="Z41" s="35">
        <f t="shared" si="8"/>
        <v>15.524999999999999</v>
      </c>
      <c r="AA41" s="38">
        <f t="shared" si="9"/>
        <v>3.6249999999999987</v>
      </c>
    </row>
    <row r="42" spans="1:27" x14ac:dyDescent="0.2">
      <c r="A42">
        <v>15236</v>
      </c>
      <c r="B42">
        <v>117</v>
      </c>
      <c r="C42" s="1" t="s">
        <v>15</v>
      </c>
      <c r="D42">
        <v>1012</v>
      </c>
      <c r="E42">
        <v>3</v>
      </c>
      <c r="F42" s="1" t="s">
        <v>43</v>
      </c>
      <c r="G42" s="1" t="s">
        <v>42</v>
      </c>
      <c r="H42" s="1" t="s">
        <v>22</v>
      </c>
      <c r="I42">
        <v>16</v>
      </c>
      <c r="J42">
        <v>24</v>
      </c>
      <c r="K42">
        <v>18</v>
      </c>
      <c r="L42" s="2">
        <v>39585</v>
      </c>
      <c r="M42" s="2">
        <v>39587</v>
      </c>
      <c r="N42">
        <v>30</v>
      </c>
      <c r="O42" s="1" t="s">
        <v>19</v>
      </c>
      <c r="P42" t="s">
        <v>53</v>
      </c>
      <c r="Q42">
        <f t="shared" si="1"/>
        <v>28</v>
      </c>
      <c r="R42" t="str">
        <f t="shared" si="10"/>
        <v>Excellent</v>
      </c>
      <c r="S42" s="30">
        <f t="shared" si="2"/>
        <v>54</v>
      </c>
      <c r="T42" s="36">
        <f>IF(R42="Excellent",S42,+IF(R42="Satisfactory",S42-((ModifyData!$B$18/100)*S42))+IF(R42="Unsatisfactory",S42-((ModifyData!$B$19/100)*S42)))</f>
        <v>54</v>
      </c>
      <c r="U42">
        <f t="shared" si="3"/>
        <v>1</v>
      </c>
      <c r="V42" s="15">
        <f t="shared" si="4"/>
        <v>0.4</v>
      </c>
      <c r="W42" s="30">
        <f t="shared" si="5"/>
        <v>75.599999999999994</v>
      </c>
      <c r="X42" s="16">
        <f t="shared" si="6"/>
        <v>19.199999999999996</v>
      </c>
      <c r="Y42" s="8">
        <f t="shared" si="7"/>
        <v>0.4</v>
      </c>
      <c r="Z42" s="35">
        <f t="shared" si="8"/>
        <v>75.599999999999994</v>
      </c>
      <c r="AA42" s="38">
        <f t="shared" si="9"/>
        <v>19.199999999999996</v>
      </c>
    </row>
    <row r="43" spans="1:27" x14ac:dyDescent="0.2">
      <c r="A43">
        <v>15254</v>
      </c>
      <c r="B43">
        <v>117</v>
      </c>
      <c r="C43" s="1" t="s">
        <v>15</v>
      </c>
      <c r="D43">
        <v>1026</v>
      </c>
      <c r="E43">
        <v>3</v>
      </c>
      <c r="F43" s="1" t="s">
        <v>32</v>
      </c>
      <c r="G43" s="1" t="s">
        <v>33</v>
      </c>
      <c r="H43" s="1" t="s">
        <v>34</v>
      </c>
      <c r="I43">
        <v>1</v>
      </c>
      <c r="J43">
        <v>16</v>
      </c>
      <c r="K43">
        <v>26</v>
      </c>
      <c r="L43" s="2">
        <v>39585</v>
      </c>
      <c r="M43" s="2">
        <v>39587</v>
      </c>
      <c r="N43">
        <v>60</v>
      </c>
      <c r="O43" s="1" t="s">
        <v>19</v>
      </c>
      <c r="P43" t="s">
        <v>53</v>
      </c>
      <c r="Q43">
        <f t="shared" si="1"/>
        <v>58</v>
      </c>
      <c r="R43" t="str">
        <f t="shared" si="10"/>
        <v>Excellent</v>
      </c>
      <c r="S43" s="30">
        <f t="shared" si="2"/>
        <v>78</v>
      </c>
      <c r="T43" s="36">
        <f>IF(R43="Excellent",S43,+IF(R43="Satisfactory",S43-((ModifyData!$B$18/100)*S43))+IF(R43="Unsatisfactory",S43-((ModifyData!$B$19/100)*S43)))</f>
        <v>78</v>
      </c>
      <c r="U43">
        <f t="shared" si="3"/>
        <v>3</v>
      </c>
      <c r="V43" s="15">
        <f t="shared" si="4"/>
        <v>0.75</v>
      </c>
      <c r="W43" s="30">
        <f t="shared" si="5"/>
        <v>136.5</v>
      </c>
      <c r="X43" s="16">
        <f t="shared" si="6"/>
        <v>56.9</v>
      </c>
      <c r="Y43" s="8">
        <f t="shared" si="7"/>
        <v>0.75</v>
      </c>
      <c r="Z43" s="35">
        <f t="shared" si="8"/>
        <v>136.5</v>
      </c>
      <c r="AA43" s="38">
        <f t="shared" si="9"/>
        <v>56.9</v>
      </c>
    </row>
    <row r="44" spans="1:27" x14ac:dyDescent="0.2">
      <c r="A44">
        <v>15256</v>
      </c>
      <c r="B44">
        <v>117</v>
      </c>
      <c r="C44" s="1" t="s">
        <v>15</v>
      </c>
      <c r="D44">
        <v>1010</v>
      </c>
      <c r="E44">
        <v>3</v>
      </c>
      <c r="F44" s="1" t="s">
        <v>44</v>
      </c>
      <c r="G44" s="1" t="s">
        <v>21</v>
      </c>
      <c r="H44" s="1" t="s">
        <v>22</v>
      </c>
      <c r="I44">
        <v>32</v>
      </c>
      <c r="J44">
        <v>18</v>
      </c>
      <c r="K44">
        <v>20</v>
      </c>
      <c r="L44" s="2">
        <v>39584</v>
      </c>
      <c r="M44" s="2">
        <v>39587</v>
      </c>
      <c r="N44">
        <v>30</v>
      </c>
      <c r="O44" s="1" t="s">
        <v>19</v>
      </c>
      <c r="P44" t="s">
        <v>53</v>
      </c>
      <c r="Q44">
        <f t="shared" si="1"/>
        <v>27</v>
      </c>
      <c r="R44" t="str">
        <f t="shared" si="10"/>
        <v>Excellent</v>
      </c>
      <c r="S44" s="30">
        <f t="shared" si="2"/>
        <v>60</v>
      </c>
      <c r="T44" s="36">
        <f>IF(R44="Excellent",S44,+IF(R44="Satisfactory",S44-((ModifyData!$B$18/100)*S44))+IF(R44="Unsatisfactory",S44-((ModifyData!$B$19/100)*S44)))</f>
        <v>60</v>
      </c>
      <c r="U44">
        <f t="shared" si="3"/>
        <v>1</v>
      </c>
      <c r="V44" s="15">
        <f t="shared" si="4"/>
        <v>0.4</v>
      </c>
      <c r="W44" s="30">
        <f t="shared" si="5"/>
        <v>84</v>
      </c>
      <c r="X44" s="16">
        <f t="shared" si="6"/>
        <v>22.2</v>
      </c>
      <c r="Y44" s="8">
        <f t="shared" si="7"/>
        <v>0.4</v>
      </c>
      <c r="Z44" s="35">
        <f t="shared" si="8"/>
        <v>84</v>
      </c>
      <c r="AA44" s="38">
        <f t="shared" si="9"/>
        <v>22.2</v>
      </c>
    </row>
    <row r="45" spans="1:27" x14ac:dyDescent="0.2">
      <c r="A45">
        <v>15312</v>
      </c>
      <c r="B45">
        <v>117</v>
      </c>
      <c r="C45" s="1" t="s">
        <v>15</v>
      </c>
      <c r="D45">
        <v>1014</v>
      </c>
      <c r="E45">
        <v>2</v>
      </c>
      <c r="F45" s="1" t="s">
        <v>30</v>
      </c>
      <c r="G45" s="1" t="s">
        <v>31</v>
      </c>
      <c r="H45" s="1" t="s">
        <v>18</v>
      </c>
      <c r="I45">
        <v>0.5</v>
      </c>
      <c r="J45">
        <v>12</v>
      </c>
      <c r="K45">
        <v>10</v>
      </c>
      <c r="L45" s="2">
        <v>39592</v>
      </c>
      <c r="M45" s="2">
        <v>39593</v>
      </c>
      <c r="N45">
        <v>12</v>
      </c>
      <c r="O45" s="1" t="s">
        <v>19</v>
      </c>
      <c r="P45" t="s">
        <v>53</v>
      </c>
      <c r="Q45">
        <f t="shared" si="1"/>
        <v>11</v>
      </c>
      <c r="R45" t="str">
        <f t="shared" si="10"/>
        <v>Excellent</v>
      </c>
      <c r="S45" s="30">
        <f t="shared" si="2"/>
        <v>20</v>
      </c>
      <c r="T45" s="36">
        <f>IF(R45="Excellent",S45,+IF(R45="Satisfactory",S45-((ModifyData!$B$18/100)*S45))+IF(R45="Unsatisfactory",S45-((ModifyData!$B$19/100)*S45)))</f>
        <v>20</v>
      </c>
      <c r="U45">
        <f t="shared" si="3"/>
        <v>2</v>
      </c>
      <c r="V45" s="15">
        <f t="shared" si="4"/>
        <v>0.5</v>
      </c>
      <c r="W45" s="30">
        <f t="shared" si="5"/>
        <v>30</v>
      </c>
      <c r="X45" s="16">
        <f t="shared" si="6"/>
        <v>8.8000000000000007</v>
      </c>
      <c r="Y45" s="8">
        <f t="shared" si="7"/>
        <v>0.5</v>
      </c>
      <c r="Z45" s="35">
        <f t="shared" si="8"/>
        <v>30</v>
      </c>
      <c r="AA45" s="38">
        <f t="shared" si="9"/>
        <v>8.8000000000000007</v>
      </c>
    </row>
    <row r="46" spans="1:27" x14ac:dyDescent="0.2">
      <c r="A46">
        <v>15363</v>
      </c>
      <c r="B46">
        <v>117</v>
      </c>
      <c r="C46" s="1" t="s">
        <v>15</v>
      </c>
      <c r="D46">
        <v>1023</v>
      </c>
      <c r="E46">
        <v>2</v>
      </c>
      <c r="F46" s="1" t="s">
        <v>38</v>
      </c>
      <c r="G46" s="1" t="s">
        <v>36</v>
      </c>
      <c r="H46" s="1" t="s">
        <v>18</v>
      </c>
      <c r="I46">
        <v>0.5</v>
      </c>
      <c r="J46">
        <v>12</v>
      </c>
      <c r="K46">
        <v>10</v>
      </c>
      <c r="L46" s="2">
        <v>39597</v>
      </c>
      <c r="M46" s="2">
        <v>39598</v>
      </c>
      <c r="N46">
        <v>9</v>
      </c>
      <c r="O46" s="1" t="s">
        <v>19</v>
      </c>
      <c r="P46" t="s">
        <v>53</v>
      </c>
      <c r="Q46">
        <f t="shared" si="1"/>
        <v>8</v>
      </c>
      <c r="R46" t="str">
        <f t="shared" si="10"/>
        <v>Excellent</v>
      </c>
      <c r="S46" s="30">
        <f t="shared" si="2"/>
        <v>20</v>
      </c>
      <c r="T46" s="36">
        <f>IF(R46="Excellent",S46,+IF(R46="Satisfactory",S46-((ModifyData!$B$18/100)*S46))+IF(R46="Unsatisfactory",S46-((ModifyData!$B$19/100)*S46)))</f>
        <v>20</v>
      </c>
      <c r="U46">
        <f t="shared" si="3"/>
        <v>2</v>
      </c>
      <c r="V46" s="15">
        <f t="shared" si="4"/>
        <v>0.5</v>
      </c>
      <c r="W46" s="30">
        <f t="shared" si="5"/>
        <v>30</v>
      </c>
      <c r="X46" s="16">
        <f t="shared" si="6"/>
        <v>8.8000000000000007</v>
      </c>
      <c r="Y46" s="8">
        <f t="shared" si="7"/>
        <v>0.5</v>
      </c>
      <c r="Z46" s="35">
        <f t="shared" si="8"/>
        <v>30</v>
      </c>
      <c r="AA46" s="38">
        <f t="shared" si="9"/>
        <v>8.8000000000000007</v>
      </c>
    </row>
    <row r="47" spans="1:27" x14ac:dyDescent="0.2">
      <c r="A47">
        <v>14963</v>
      </c>
      <c r="B47">
        <v>126</v>
      </c>
      <c r="C47" s="1" t="s">
        <v>45</v>
      </c>
      <c r="D47">
        <v>1028</v>
      </c>
      <c r="E47">
        <v>1</v>
      </c>
      <c r="F47" s="1" t="s">
        <v>46</v>
      </c>
      <c r="G47" s="1" t="s">
        <v>47</v>
      </c>
      <c r="H47" s="1" t="s">
        <v>34</v>
      </c>
      <c r="I47">
        <v>0.5</v>
      </c>
      <c r="J47">
        <v>20</v>
      </c>
      <c r="K47">
        <v>20.5</v>
      </c>
      <c r="L47" s="2">
        <v>39568</v>
      </c>
      <c r="M47" s="2">
        <v>39569</v>
      </c>
      <c r="N47">
        <v>60</v>
      </c>
      <c r="O47" s="1" t="s">
        <v>19</v>
      </c>
      <c r="P47" t="s">
        <v>53</v>
      </c>
      <c r="Q47">
        <f t="shared" si="1"/>
        <v>59</v>
      </c>
      <c r="R47" t="str">
        <f t="shared" si="10"/>
        <v>Excellent</v>
      </c>
      <c r="S47" s="30">
        <f t="shared" si="2"/>
        <v>20.5</v>
      </c>
      <c r="T47" s="36">
        <f>IF(R47="Excellent",S47,+IF(R47="Satisfactory",S47-((ModifyData!$B$18/100)*S47))+IF(R47="Unsatisfactory",S47-((ModifyData!$B$19/100)*S47)))</f>
        <v>20.5</v>
      </c>
      <c r="U47">
        <f t="shared" si="3"/>
        <v>3</v>
      </c>
      <c r="V47" s="15">
        <f t="shared" si="4"/>
        <v>0.75</v>
      </c>
      <c r="W47" s="30">
        <f t="shared" si="5"/>
        <v>35.875</v>
      </c>
      <c r="X47" s="16">
        <f t="shared" si="6"/>
        <v>13.375</v>
      </c>
      <c r="Y47" s="8">
        <f t="shared" si="7"/>
        <v>0.75</v>
      </c>
      <c r="Z47" s="35">
        <f t="shared" si="8"/>
        <v>35.875</v>
      </c>
      <c r="AA47" s="38">
        <f t="shared" si="9"/>
        <v>13.375</v>
      </c>
    </row>
    <row r="48" spans="1:27" x14ac:dyDescent="0.2">
      <c r="A48">
        <v>14966</v>
      </c>
      <c r="B48">
        <v>126</v>
      </c>
      <c r="C48" s="1" t="s">
        <v>45</v>
      </c>
      <c r="D48">
        <v>1020</v>
      </c>
      <c r="E48">
        <v>3</v>
      </c>
      <c r="F48" s="1" t="s">
        <v>48</v>
      </c>
      <c r="G48" s="1" t="s">
        <v>29</v>
      </c>
      <c r="H48" s="1" t="s">
        <v>18</v>
      </c>
      <c r="I48">
        <v>0.5</v>
      </c>
      <c r="J48">
        <v>12</v>
      </c>
      <c r="K48">
        <v>10</v>
      </c>
      <c r="L48" s="2">
        <v>39568</v>
      </c>
      <c r="M48" s="2">
        <v>39569</v>
      </c>
      <c r="N48">
        <v>10</v>
      </c>
      <c r="O48" s="1" t="s">
        <v>19</v>
      </c>
      <c r="P48" t="s">
        <v>53</v>
      </c>
      <c r="Q48">
        <f t="shared" si="1"/>
        <v>9</v>
      </c>
      <c r="R48" t="str">
        <f t="shared" si="10"/>
        <v>Excellent</v>
      </c>
      <c r="S48" s="30">
        <f t="shared" si="2"/>
        <v>30</v>
      </c>
      <c r="T48" s="36">
        <f>IF(R48="Excellent",S48,+IF(R48="Satisfactory",S48-((ModifyData!$B$18/100)*S48))+IF(R48="Unsatisfactory",S48-((ModifyData!$B$19/100)*S48)))</f>
        <v>30</v>
      </c>
      <c r="U48">
        <f t="shared" si="3"/>
        <v>2</v>
      </c>
      <c r="V48" s="15">
        <f t="shared" si="4"/>
        <v>0.5</v>
      </c>
      <c r="W48" s="30">
        <f t="shared" si="5"/>
        <v>45</v>
      </c>
      <c r="X48" s="16">
        <f t="shared" si="6"/>
        <v>13.8</v>
      </c>
      <c r="Y48" s="8">
        <f t="shared" si="7"/>
        <v>0.5</v>
      </c>
      <c r="Z48" s="35">
        <f t="shared" si="8"/>
        <v>45</v>
      </c>
      <c r="AA48" s="38">
        <f t="shared" si="9"/>
        <v>13.8</v>
      </c>
    </row>
    <row r="49" spans="1:27" x14ac:dyDescent="0.2">
      <c r="A49">
        <v>14981</v>
      </c>
      <c r="B49">
        <v>126</v>
      </c>
      <c r="C49" s="1" t="s">
        <v>45</v>
      </c>
      <c r="D49">
        <v>1021</v>
      </c>
      <c r="E49">
        <v>2</v>
      </c>
      <c r="F49" s="1" t="s">
        <v>28</v>
      </c>
      <c r="G49" s="1" t="s">
        <v>29</v>
      </c>
      <c r="H49" s="1" t="s">
        <v>18</v>
      </c>
      <c r="I49">
        <v>1</v>
      </c>
      <c r="J49">
        <v>4</v>
      </c>
      <c r="K49">
        <v>5.75</v>
      </c>
      <c r="L49" s="2">
        <v>39571</v>
      </c>
      <c r="M49" s="2">
        <v>39572</v>
      </c>
      <c r="N49">
        <v>10</v>
      </c>
      <c r="O49" s="1" t="s">
        <v>19</v>
      </c>
      <c r="P49" t="s">
        <v>53</v>
      </c>
      <c r="Q49">
        <f t="shared" si="1"/>
        <v>9</v>
      </c>
      <c r="R49" t="str">
        <f t="shared" si="10"/>
        <v>Excellent</v>
      </c>
      <c r="S49" s="30">
        <f t="shared" si="2"/>
        <v>11.5</v>
      </c>
      <c r="T49" s="36">
        <f>IF(R49="Excellent",S49,+IF(R49="Satisfactory",S49-((ModifyData!$B$18/100)*S49))+IF(R49="Unsatisfactory",S49-((ModifyData!$B$19/100)*S49)))</f>
        <v>11.5</v>
      </c>
      <c r="U49">
        <f t="shared" si="3"/>
        <v>2</v>
      </c>
      <c r="V49" s="15">
        <f t="shared" si="4"/>
        <v>0.35</v>
      </c>
      <c r="W49" s="30">
        <f t="shared" si="5"/>
        <v>15.524999999999999</v>
      </c>
      <c r="X49" s="16">
        <f t="shared" si="6"/>
        <v>3.6249999999999987</v>
      </c>
      <c r="Y49" s="8">
        <f t="shared" si="7"/>
        <v>0.35</v>
      </c>
      <c r="Z49" s="35">
        <f t="shared" si="8"/>
        <v>15.524999999999999</v>
      </c>
      <c r="AA49" s="38">
        <f t="shared" si="9"/>
        <v>3.6249999999999987</v>
      </c>
    </row>
    <row r="50" spans="1:27" x14ac:dyDescent="0.2">
      <c r="A50">
        <v>14997</v>
      </c>
      <c r="B50">
        <v>126</v>
      </c>
      <c r="C50" s="1" t="s">
        <v>45</v>
      </c>
      <c r="D50">
        <v>1015</v>
      </c>
      <c r="E50">
        <v>2</v>
      </c>
      <c r="F50" s="1" t="s">
        <v>49</v>
      </c>
      <c r="G50" s="1" t="s">
        <v>31</v>
      </c>
      <c r="H50" s="1" t="s">
        <v>18</v>
      </c>
      <c r="I50">
        <v>1</v>
      </c>
      <c r="J50">
        <v>4</v>
      </c>
      <c r="K50">
        <v>5.75</v>
      </c>
      <c r="L50" s="2">
        <v>39573</v>
      </c>
      <c r="M50" s="2">
        <v>39576</v>
      </c>
      <c r="N50">
        <v>12</v>
      </c>
      <c r="O50" s="1" t="s">
        <v>19</v>
      </c>
      <c r="P50" t="s">
        <v>53</v>
      </c>
      <c r="Q50">
        <f t="shared" si="1"/>
        <v>9</v>
      </c>
      <c r="R50" t="str">
        <f t="shared" si="10"/>
        <v>Excellent</v>
      </c>
      <c r="S50" s="30">
        <f t="shared" si="2"/>
        <v>11.5</v>
      </c>
      <c r="T50" s="36">
        <f>IF(R50="Excellent",S50,+IF(R50="Satisfactory",S50-((ModifyData!$B$18/100)*S50))+IF(R50="Unsatisfactory",S50-((ModifyData!$B$19/100)*S50)))</f>
        <v>11.5</v>
      </c>
      <c r="U50">
        <f t="shared" si="3"/>
        <v>2</v>
      </c>
      <c r="V50" s="15">
        <f t="shared" si="4"/>
        <v>0.35</v>
      </c>
      <c r="W50" s="30">
        <f t="shared" si="5"/>
        <v>15.524999999999999</v>
      </c>
      <c r="X50" s="16">
        <f t="shared" si="6"/>
        <v>3.6249999999999987</v>
      </c>
      <c r="Y50" s="8">
        <f t="shared" si="7"/>
        <v>0.35</v>
      </c>
      <c r="Z50" s="35">
        <f t="shared" si="8"/>
        <v>15.524999999999999</v>
      </c>
      <c r="AA50" s="38">
        <f t="shared" si="9"/>
        <v>3.6249999999999987</v>
      </c>
    </row>
    <row r="51" spans="1:27" x14ac:dyDescent="0.2">
      <c r="A51">
        <v>15149</v>
      </c>
      <c r="B51">
        <v>126</v>
      </c>
      <c r="C51" s="1" t="s">
        <v>45</v>
      </c>
      <c r="D51">
        <v>1026</v>
      </c>
      <c r="E51">
        <v>2</v>
      </c>
      <c r="F51" s="1" t="s">
        <v>32</v>
      </c>
      <c r="G51" s="1" t="s">
        <v>33</v>
      </c>
      <c r="H51" s="1" t="s">
        <v>34</v>
      </c>
      <c r="I51">
        <v>1</v>
      </c>
      <c r="J51">
        <v>16</v>
      </c>
      <c r="K51">
        <v>26</v>
      </c>
      <c r="L51" s="2">
        <v>39583</v>
      </c>
      <c r="M51" s="2">
        <v>39586</v>
      </c>
      <c r="N51">
        <v>60</v>
      </c>
      <c r="O51" s="1" t="s">
        <v>19</v>
      </c>
      <c r="P51" t="s">
        <v>53</v>
      </c>
      <c r="Q51">
        <f t="shared" si="1"/>
        <v>57</v>
      </c>
      <c r="R51" t="str">
        <f t="shared" si="10"/>
        <v>Excellent</v>
      </c>
      <c r="S51" s="30">
        <f t="shared" si="2"/>
        <v>52</v>
      </c>
      <c r="T51" s="36">
        <f>IF(R51="Excellent",S51,+IF(R51="Satisfactory",S51-((ModifyData!$B$18/100)*S51))+IF(R51="Unsatisfactory",S51-((ModifyData!$B$19/100)*S51)))</f>
        <v>52</v>
      </c>
      <c r="U51">
        <f t="shared" si="3"/>
        <v>3</v>
      </c>
      <c r="V51" s="15">
        <f t="shared" si="4"/>
        <v>0.75</v>
      </c>
      <c r="W51" s="30">
        <f t="shared" si="5"/>
        <v>91</v>
      </c>
      <c r="X51" s="16">
        <f t="shared" si="6"/>
        <v>37.4</v>
      </c>
      <c r="Y51" s="8">
        <f t="shared" si="7"/>
        <v>0.75</v>
      </c>
      <c r="Z51" s="35">
        <f t="shared" si="8"/>
        <v>91</v>
      </c>
      <c r="AA51" s="38">
        <f t="shared" si="9"/>
        <v>37.4</v>
      </c>
    </row>
    <row r="52" spans="1:27" x14ac:dyDescent="0.2">
      <c r="A52">
        <v>15162</v>
      </c>
      <c r="B52">
        <v>126</v>
      </c>
      <c r="C52" s="1" t="s">
        <v>45</v>
      </c>
      <c r="D52">
        <v>1028</v>
      </c>
      <c r="E52">
        <v>1</v>
      </c>
      <c r="F52" s="1" t="s">
        <v>46</v>
      </c>
      <c r="G52" s="1" t="s">
        <v>47</v>
      </c>
      <c r="H52" s="1" t="s">
        <v>34</v>
      </c>
      <c r="I52">
        <v>0.5</v>
      </c>
      <c r="J52">
        <v>20</v>
      </c>
      <c r="K52">
        <v>20.5</v>
      </c>
      <c r="L52" s="2">
        <v>39582</v>
      </c>
      <c r="M52" s="2">
        <v>39586</v>
      </c>
      <c r="N52">
        <v>60</v>
      </c>
      <c r="O52" s="1" t="s">
        <v>19</v>
      </c>
      <c r="P52" t="s">
        <v>53</v>
      </c>
      <c r="Q52">
        <f t="shared" si="1"/>
        <v>56</v>
      </c>
      <c r="R52" t="str">
        <f t="shared" si="10"/>
        <v>Excellent</v>
      </c>
      <c r="S52" s="30">
        <f t="shared" si="2"/>
        <v>20.5</v>
      </c>
      <c r="T52" s="36">
        <f>IF(R52="Excellent",S52,+IF(R52="Satisfactory",S52-((ModifyData!$B$18/100)*S52))+IF(R52="Unsatisfactory",S52-((ModifyData!$B$19/100)*S52)))</f>
        <v>20.5</v>
      </c>
      <c r="U52">
        <f t="shared" si="3"/>
        <v>3</v>
      </c>
      <c r="V52" s="15">
        <f t="shared" si="4"/>
        <v>0.75</v>
      </c>
      <c r="W52" s="30">
        <f t="shared" si="5"/>
        <v>35.875</v>
      </c>
      <c r="X52" s="16">
        <f t="shared" si="6"/>
        <v>13.375</v>
      </c>
      <c r="Y52" s="8">
        <f t="shared" si="7"/>
        <v>0.75</v>
      </c>
      <c r="Z52" s="35">
        <f t="shared" si="8"/>
        <v>35.875</v>
      </c>
      <c r="AA52" s="38">
        <f t="shared" si="9"/>
        <v>13.375</v>
      </c>
    </row>
    <row r="53" spans="1:27" x14ac:dyDescent="0.2">
      <c r="A53">
        <v>15165</v>
      </c>
      <c r="B53">
        <v>126</v>
      </c>
      <c r="C53" s="1" t="s">
        <v>45</v>
      </c>
      <c r="D53">
        <v>1020</v>
      </c>
      <c r="E53">
        <v>3</v>
      </c>
      <c r="F53" s="1" t="s">
        <v>48</v>
      </c>
      <c r="G53" s="1" t="s">
        <v>29</v>
      </c>
      <c r="H53" s="1" t="s">
        <v>18</v>
      </c>
      <c r="I53">
        <v>0.5</v>
      </c>
      <c r="J53">
        <v>12</v>
      </c>
      <c r="K53">
        <v>10</v>
      </c>
      <c r="L53" s="2">
        <v>39585</v>
      </c>
      <c r="M53" s="2">
        <v>39586</v>
      </c>
      <c r="N53">
        <v>10</v>
      </c>
      <c r="O53" s="1" t="s">
        <v>19</v>
      </c>
      <c r="P53" t="s">
        <v>53</v>
      </c>
      <c r="Q53">
        <f t="shared" si="1"/>
        <v>9</v>
      </c>
      <c r="R53" t="str">
        <f t="shared" si="10"/>
        <v>Excellent</v>
      </c>
      <c r="S53" s="30">
        <f t="shared" si="2"/>
        <v>30</v>
      </c>
      <c r="T53" s="36">
        <f>IF(R53="Excellent",S53,+IF(R53="Satisfactory",S53-((ModifyData!$B$18/100)*S53))+IF(R53="Unsatisfactory",S53-((ModifyData!$B$19/100)*S53)))</f>
        <v>30</v>
      </c>
      <c r="U53">
        <f t="shared" si="3"/>
        <v>2</v>
      </c>
      <c r="V53" s="15">
        <f t="shared" si="4"/>
        <v>0.5</v>
      </c>
      <c r="W53" s="30">
        <f t="shared" si="5"/>
        <v>45</v>
      </c>
      <c r="X53" s="16">
        <f t="shared" si="6"/>
        <v>13.8</v>
      </c>
      <c r="Y53" s="8">
        <f t="shared" si="7"/>
        <v>0.5</v>
      </c>
      <c r="Z53" s="35">
        <f t="shared" si="8"/>
        <v>45</v>
      </c>
      <c r="AA53" s="38">
        <f t="shared" si="9"/>
        <v>13.8</v>
      </c>
    </row>
    <row r="54" spans="1:27" x14ac:dyDescent="0.2">
      <c r="A54">
        <v>15180</v>
      </c>
      <c r="B54">
        <v>126</v>
      </c>
      <c r="C54" s="1" t="s">
        <v>45</v>
      </c>
      <c r="D54">
        <v>1021</v>
      </c>
      <c r="E54">
        <v>2</v>
      </c>
      <c r="F54" s="1" t="s">
        <v>28</v>
      </c>
      <c r="G54" s="1" t="s">
        <v>29</v>
      </c>
      <c r="H54" s="1" t="s">
        <v>18</v>
      </c>
      <c r="I54">
        <v>1</v>
      </c>
      <c r="J54">
        <v>4</v>
      </c>
      <c r="K54">
        <v>5.75</v>
      </c>
      <c r="L54" s="2">
        <v>39588</v>
      </c>
      <c r="M54" s="2">
        <v>39590</v>
      </c>
      <c r="N54">
        <v>10</v>
      </c>
      <c r="O54" s="1" t="s">
        <v>19</v>
      </c>
      <c r="P54" t="s">
        <v>53</v>
      </c>
      <c r="Q54">
        <f t="shared" si="1"/>
        <v>8</v>
      </c>
      <c r="R54" t="str">
        <f t="shared" si="10"/>
        <v>Excellent</v>
      </c>
      <c r="S54" s="30">
        <f t="shared" si="2"/>
        <v>11.5</v>
      </c>
      <c r="T54" s="36">
        <f>IF(R54="Excellent",S54,+IF(R54="Satisfactory",S54-((ModifyData!$B$18/100)*S54))+IF(R54="Unsatisfactory",S54-((ModifyData!$B$19/100)*S54)))</f>
        <v>11.5</v>
      </c>
      <c r="U54">
        <f t="shared" si="3"/>
        <v>2</v>
      </c>
      <c r="V54" s="15">
        <f t="shared" si="4"/>
        <v>0.35</v>
      </c>
      <c r="W54" s="30">
        <f t="shared" si="5"/>
        <v>15.524999999999999</v>
      </c>
      <c r="X54" s="16">
        <f t="shared" si="6"/>
        <v>3.6249999999999987</v>
      </c>
      <c r="Y54" s="8">
        <f t="shared" si="7"/>
        <v>0.35</v>
      </c>
      <c r="Z54" s="35">
        <f t="shared" si="8"/>
        <v>15.524999999999999</v>
      </c>
      <c r="AA54" s="38">
        <f t="shared" si="9"/>
        <v>3.6249999999999987</v>
      </c>
    </row>
    <row r="55" spans="1:27" x14ac:dyDescent="0.2">
      <c r="A55">
        <v>15196</v>
      </c>
      <c r="B55">
        <v>126</v>
      </c>
      <c r="C55" s="1" t="s">
        <v>45</v>
      </c>
      <c r="D55">
        <v>1015</v>
      </c>
      <c r="E55">
        <v>2</v>
      </c>
      <c r="F55" s="1" t="s">
        <v>49</v>
      </c>
      <c r="G55" s="1" t="s">
        <v>31</v>
      </c>
      <c r="H55" s="1" t="s">
        <v>18</v>
      </c>
      <c r="I55">
        <v>1</v>
      </c>
      <c r="J55">
        <v>4</v>
      </c>
      <c r="K55">
        <v>5.75</v>
      </c>
      <c r="L55" s="2">
        <v>39582</v>
      </c>
      <c r="M55" s="2">
        <v>39584</v>
      </c>
      <c r="N55">
        <v>12</v>
      </c>
      <c r="O55" s="1" t="s">
        <v>19</v>
      </c>
      <c r="P55" t="s">
        <v>53</v>
      </c>
      <c r="Q55">
        <f t="shared" si="1"/>
        <v>10</v>
      </c>
      <c r="R55" t="str">
        <f t="shared" si="10"/>
        <v>Excellent</v>
      </c>
      <c r="S55" s="30">
        <f t="shared" si="2"/>
        <v>11.5</v>
      </c>
      <c r="T55" s="36">
        <f>IF(R55="Excellent",S55,+IF(R55="Satisfactory",S55-((ModifyData!$B$18/100)*S55))+IF(R55="Unsatisfactory",S55-((ModifyData!$B$19/100)*S55)))</f>
        <v>11.5</v>
      </c>
      <c r="U55">
        <f t="shared" si="3"/>
        <v>2</v>
      </c>
      <c r="V55" s="15">
        <f t="shared" si="4"/>
        <v>0.35</v>
      </c>
      <c r="W55" s="30">
        <f t="shared" si="5"/>
        <v>15.524999999999999</v>
      </c>
      <c r="X55" s="16">
        <f t="shared" si="6"/>
        <v>3.6249999999999987</v>
      </c>
      <c r="Y55" s="8">
        <f t="shared" si="7"/>
        <v>0.35</v>
      </c>
      <c r="Z55" s="35">
        <f t="shared" si="8"/>
        <v>15.524999999999999</v>
      </c>
      <c r="AA55" s="38">
        <f t="shared" si="9"/>
        <v>3.6249999999999987</v>
      </c>
    </row>
    <row r="56" spans="1:27" x14ac:dyDescent="0.2">
      <c r="A56">
        <v>15348</v>
      </c>
      <c r="B56">
        <v>126</v>
      </c>
      <c r="C56" s="1" t="s">
        <v>45</v>
      </c>
      <c r="D56">
        <v>1026</v>
      </c>
      <c r="E56">
        <v>2</v>
      </c>
      <c r="F56" s="1" t="s">
        <v>32</v>
      </c>
      <c r="G56" s="1" t="s">
        <v>33</v>
      </c>
      <c r="H56" s="1" t="s">
        <v>34</v>
      </c>
      <c r="I56">
        <v>1</v>
      </c>
      <c r="J56">
        <v>16</v>
      </c>
      <c r="K56">
        <v>26</v>
      </c>
      <c r="L56" s="2">
        <v>39596</v>
      </c>
      <c r="M56" s="2">
        <v>39598</v>
      </c>
      <c r="N56">
        <v>60</v>
      </c>
      <c r="O56" s="1" t="s">
        <v>19</v>
      </c>
      <c r="P56" t="s">
        <v>53</v>
      </c>
      <c r="Q56">
        <f t="shared" si="1"/>
        <v>58</v>
      </c>
      <c r="R56" t="str">
        <f t="shared" si="10"/>
        <v>Excellent</v>
      </c>
      <c r="S56" s="30">
        <f t="shared" si="2"/>
        <v>52</v>
      </c>
      <c r="T56" s="36">
        <f>IF(R56="Excellent",S56,+IF(R56="Satisfactory",S56-((ModifyData!$B$18/100)*S56))+IF(R56="Unsatisfactory",S56-((ModifyData!$B$19/100)*S56)))</f>
        <v>52</v>
      </c>
      <c r="U56">
        <f t="shared" si="3"/>
        <v>3</v>
      </c>
      <c r="V56" s="15">
        <f t="shared" si="4"/>
        <v>0.75</v>
      </c>
      <c r="W56" s="30">
        <f t="shared" si="5"/>
        <v>91</v>
      </c>
      <c r="X56" s="16">
        <f t="shared" si="6"/>
        <v>37.4</v>
      </c>
      <c r="Y56" s="8">
        <f t="shared" si="7"/>
        <v>0.75</v>
      </c>
      <c r="Z56" s="35">
        <f t="shared" si="8"/>
        <v>91</v>
      </c>
      <c r="AA56" s="38">
        <f t="shared" si="9"/>
        <v>37.4</v>
      </c>
    </row>
    <row r="57" spans="1:27" x14ac:dyDescent="0.2">
      <c r="A57">
        <v>15364</v>
      </c>
      <c r="B57">
        <v>126</v>
      </c>
      <c r="C57" s="1" t="s">
        <v>45</v>
      </c>
      <c r="D57">
        <v>1020</v>
      </c>
      <c r="E57">
        <v>3</v>
      </c>
      <c r="F57" s="1" t="s">
        <v>48</v>
      </c>
      <c r="G57" s="1" t="s">
        <v>29</v>
      </c>
      <c r="H57" s="1" t="s">
        <v>18</v>
      </c>
      <c r="I57">
        <v>0.5</v>
      </c>
      <c r="J57">
        <v>12</v>
      </c>
      <c r="K57">
        <v>10</v>
      </c>
      <c r="L57" s="2">
        <v>39595</v>
      </c>
      <c r="M57" s="2">
        <v>39598</v>
      </c>
      <c r="N57">
        <v>10</v>
      </c>
      <c r="O57" s="1" t="s">
        <v>19</v>
      </c>
      <c r="P57" t="s">
        <v>53</v>
      </c>
      <c r="Q57">
        <f t="shared" si="1"/>
        <v>7</v>
      </c>
      <c r="R57" t="str">
        <f t="shared" si="10"/>
        <v>Excellent</v>
      </c>
      <c r="S57" s="30">
        <f t="shared" si="2"/>
        <v>30</v>
      </c>
      <c r="T57" s="36">
        <f>IF(R57="Excellent",S57,+IF(R57="Satisfactory",S57-((ModifyData!$B$18/100)*S57))+IF(R57="Unsatisfactory",S57-((ModifyData!$B$19/100)*S57)))</f>
        <v>30</v>
      </c>
      <c r="U57">
        <f t="shared" si="3"/>
        <v>2</v>
      </c>
      <c r="V57" s="15">
        <f t="shared" si="4"/>
        <v>0.5</v>
      </c>
      <c r="W57" s="30">
        <f t="shared" si="5"/>
        <v>45</v>
      </c>
      <c r="X57" s="16">
        <f t="shared" si="6"/>
        <v>13.8</v>
      </c>
      <c r="Y57" s="8">
        <f t="shared" si="7"/>
        <v>0.5</v>
      </c>
      <c r="Z57" s="35">
        <f t="shared" si="8"/>
        <v>45</v>
      </c>
      <c r="AA57" s="38">
        <f t="shared" si="9"/>
        <v>13.8</v>
      </c>
    </row>
    <row r="58" spans="1:27" x14ac:dyDescent="0.2">
      <c r="S58" s="31">
        <f>SUM(S2:S57)</f>
        <v>1560</v>
      </c>
      <c r="T58" s="29">
        <f>SUM(T2:T57)</f>
        <v>1547.3249999999998</v>
      </c>
      <c r="W58" s="29">
        <f t="shared" ref="W58:X58" si="11">SUM(W2:W57)</f>
        <v>2399.1637500000002</v>
      </c>
      <c r="X58" s="29">
        <f t="shared" si="11"/>
        <v>772.63874999999973</v>
      </c>
      <c r="Z58" s="29">
        <f>SUM(Z2:Z57)</f>
        <v>2399.1637500000002</v>
      </c>
      <c r="AA58" s="29">
        <f>SUM(AA2:AA57)</f>
        <v>772.63874999999973</v>
      </c>
    </row>
    <row r="59" spans="1:27" x14ac:dyDescent="0.2">
      <c r="S59" s="30"/>
    </row>
  </sheetData>
  <conditionalFormatting sqref="P2:P57">
    <cfRule type="containsText" dxfId="17" priority="1" operator="containsText" text="D">
      <formula>NOT(ISERROR(SEARCH("D",P2)))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3F62-53B4-3341-B1A5-FDD653BF4EFF}">
  <sheetPr>
    <tabColor rgb="FF00FDFF"/>
  </sheetPr>
  <dimension ref="A1:X125"/>
  <sheetViews>
    <sheetView topLeftCell="L1" workbookViewId="0">
      <selection activeCell="W3" sqref="W3"/>
    </sheetView>
  </sheetViews>
  <sheetFormatPr baseColWidth="10" defaultRowHeight="15" x14ac:dyDescent="0.2"/>
  <cols>
    <col min="4" max="4" width="14.33203125" customWidth="1"/>
    <col min="6" max="6" width="16.83203125" customWidth="1"/>
    <col min="9" max="9" width="15" customWidth="1"/>
    <col min="10" max="10" width="16.1640625" customWidth="1"/>
    <col min="12" max="12" width="16.6640625" customWidth="1"/>
    <col min="13" max="13" width="16.5" customWidth="1"/>
    <col min="14" max="14" width="11" customWidth="1"/>
    <col min="17" max="17" width="19" customWidth="1"/>
    <col min="18" max="18" width="15.5" customWidth="1"/>
    <col min="19" max="19" width="16.5" customWidth="1"/>
    <col min="20" max="20" width="24" customWidth="1"/>
    <col min="21" max="21" width="11.6640625" customWidth="1"/>
    <col min="23" max="23" width="17.1640625" customWidth="1"/>
  </cols>
  <sheetData>
    <row r="1" spans="1:24" ht="29" customHeight="1" x14ac:dyDescent="0.25">
      <c r="W1" s="40">
        <v>0.55000000000000004</v>
      </c>
    </row>
    <row r="2" spans="1:2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52</v>
      </c>
      <c r="Q2" t="s">
        <v>56</v>
      </c>
      <c r="R2" t="s">
        <v>57</v>
      </c>
      <c r="S2" t="s">
        <v>72</v>
      </c>
      <c r="T2" t="s">
        <v>93</v>
      </c>
      <c r="U2" t="s">
        <v>73</v>
      </c>
      <c r="V2" t="s">
        <v>90</v>
      </c>
      <c r="W2" t="s">
        <v>91</v>
      </c>
      <c r="X2" t="s">
        <v>92</v>
      </c>
    </row>
    <row r="3" spans="1:24" x14ac:dyDescent="0.2">
      <c r="A3">
        <v>14955</v>
      </c>
      <c r="B3">
        <v>104</v>
      </c>
      <c r="C3" t="s">
        <v>15</v>
      </c>
      <c r="D3">
        <v>1017</v>
      </c>
      <c r="E3">
        <v>2</v>
      </c>
      <c r="F3" t="s">
        <v>16</v>
      </c>
      <c r="G3" t="s">
        <v>17</v>
      </c>
      <c r="H3" t="s">
        <v>18</v>
      </c>
      <c r="I3">
        <v>0.5</v>
      </c>
      <c r="J3">
        <v>12</v>
      </c>
      <c r="K3">
        <v>10</v>
      </c>
      <c r="L3" s="2">
        <v>39568</v>
      </c>
      <c r="M3" s="2">
        <v>39569</v>
      </c>
      <c r="N3">
        <v>10</v>
      </c>
      <c r="O3" t="s">
        <v>19</v>
      </c>
      <c r="P3" t="s">
        <v>53</v>
      </c>
      <c r="Q3">
        <f>N3-(M3-L3)</f>
        <v>9</v>
      </c>
      <c r="R3" t="str">
        <f t="shared" ref="R3:R58" si="0">VLOOKUP(Q3,Shelfstatus,2,TRUE)</f>
        <v>Excellent</v>
      </c>
      <c r="S3" s="37">
        <f>E3*K3</f>
        <v>20</v>
      </c>
      <c r="T3" s="37">
        <f>IF(R3="Excellent",S3,+IF(R3="Satisfactory",S3-((ModifyData!$B$18/100)*S3))+IF(R3="Unsatisfactory",S3-((ModifyData!$B$19/100)*S3)))</f>
        <v>20</v>
      </c>
      <c r="U3">
        <f>IF(G3="C",1,IF(G3="LFC",1,IF(G3="SC",1,IF(G3="LFSC",1,IF(G3="M",2,IF(G3="2M",2,IF(G3="1M",2,IF(G3="SM",2,3))))))))</f>
        <v>2</v>
      </c>
      <c r="V3" s="14">
        <v>0.55000000000000004</v>
      </c>
      <c r="W3" s="37">
        <f t="shared" ref="W3:W58" si="1">T3+(T3*V3)</f>
        <v>31</v>
      </c>
      <c r="X3" s="37">
        <f>W3-T3-(J3*0.1)</f>
        <v>9.8000000000000007</v>
      </c>
    </row>
    <row r="4" spans="1:24" x14ac:dyDescent="0.2">
      <c r="A4">
        <v>14968</v>
      </c>
      <c r="B4">
        <v>104</v>
      </c>
      <c r="C4" t="s">
        <v>15</v>
      </c>
      <c r="D4">
        <v>1008</v>
      </c>
      <c r="E4">
        <v>2</v>
      </c>
      <c r="F4" t="s">
        <v>20</v>
      </c>
      <c r="G4" t="s">
        <v>21</v>
      </c>
      <c r="H4" t="s">
        <v>22</v>
      </c>
      <c r="I4">
        <v>8</v>
      </c>
      <c r="J4">
        <v>24</v>
      </c>
      <c r="K4">
        <v>12</v>
      </c>
      <c r="L4" s="2">
        <v>39565</v>
      </c>
      <c r="M4" s="2">
        <v>39569</v>
      </c>
      <c r="N4">
        <v>30</v>
      </c>
      <c r="O4" t="s">
        <v>19</v>
      </c>
      <c r="P4" t="s">
        <v>53</v>
      </c>
      <c r="Q4">
        <f t="shared" ref="Q4:Q58" si="2">N4-(M4-L4)</f>
        <v>26</v>
      </c>
      <c r="R4" t="str">
        <f t="shared" si="0"/>
        <v>Excellent</v>
      </c>
      <c r="S4" s="37">
        <f t="shared" ref="S4:S58" si="3">E4*K4</f>
        <v>24</v>
      </c>
      <c r="T4" s="37">
        <f>IF(R4="Excellent",S4,+IF(R4="Satisfactory",S4-((ModifyData!$B$18/100)*S4))+IF(R4="Unsatisfactory",S4-((ModifyData!$B$19/100)*S4)))</f>
        <v>24</v>
      </c>
      <c r="U4">
        <f t="shared" ref="U4:U58" si="4">IF(G4="C",1,IF(G4="LFC",1,IF(G4="SC",1,IF(G4="LFSC",1,IF(G4="M",2,IF(G4="2M",2,IF(G4="1M",2,IF(G4="SM",2,3))))))))</f>
        <v>1</v>
      </c>
      <c r="V4" s="14">
        <v>0.55000000000000004</v>
      </c>
      <c r="W4" s="37">
        <f t="shared" si="1"/>
        <v>37.200000000000003</v>
      </c>
      <c r="X4" s="37">
        <f t="shared" ref="X4:X58" si="5">W4-T4-(J4*0.1)</f>
        <v>10.800000000000002</v>
      </c>
    </row>
    <row r="5" spans="1:24" x14ac:dyDescent="0.2">
      <c r="A5">
        <v>14984</v>
      </c>
      <c r="B5">
        <v>104</v>
      </c>
      <c r="C5" t="s">
        <v>15</v>
      </c>
      <c r="D5">
        <v>1004</v>
      </c>
      <c r="E5">
        <v>1</v>
      </c>
      <c r="F5" t="s">
        <v>23</v>
      </c>
      <c r="G5" t="s">
        <v>24</v>
      </c>
      <c r="H5" t="s">
        <v>22</v>
      </c>
      <c r="I5">
        <v>32</v>
      </c>
      <c r="J5">
        <v>16</v>
      </c>
      <c r="K5">
        <v>24</v>
      </c>
      <c r="L5" s="2">
        <v>39571</v>
      </c>
      <c r="M5" s="2">
        <v>39572</v>
      </c>
      <c r="N5">
        <v>14</v>
      </c>
      <c r="O5" t="s">
        <v>19</v>
      </c>
      <c r="P5" t="s">
        <v>53</v>
      </c>
      <c r="Q5">
        <f t="shared" si="2"/>
        <v>13</v>
      </c>
      <c r="R5" t="str">
        <f t="shared" si="0"/>
        <v>Excellent</v>
      </c>
      <c r="S5" s="37">
        <f t="shared" si="3"/>
        <v>24</v>
      </c>
      <c r="T5" s="37">
        <f>IF(R5="Excellent",S5,+IF(R5="Satisfactory",S5-((ModifyData!$B$18/100)*S5))+IF(R5="Unsatisfactory",S5-((ModifyData!$B$19/100)*S5)))</f>
        <v>24</v>
      </c>
      <c r="U5">
        <f t="shared" si="4"/>
        <v>1</v>
      </c>
      <c r="V5" s="14">
        <v>0.55000000000000004</v>
      </c>
      <c r="W5" s="37">
        <f t="shared" si="1"/>
        <v>37.200000000000003</v>
      </c>
      <c r="X5" s="37">
        <f t="shared" si="5"/>
        <v>11.600000000000003</v>
      </c>
    </row>
    <row r="6" spans="1:24" x14ac:dyDescent="0.2">
      <c r="A6">
        <v>14987</v>
      </c>
      <c r="B6">
        <v>104</v>
      </c>
      <c r="C6" t="s">
        <v>15</v>
      </c>
      <c r="D6">
        <v>1032</v>
      </c>
      <c r="E6">
        <v>1</v>
      </c>
      <c r="F6" t="s">
        <v>25</v>
      </c>
      <c r="G6" t="s">
        <v>26</v>
      </c>
      <c r="H6" t="s">
        <v>27</v>
      </c>
      <c r="I6">
        <v>1</v>
      </c>
      <c r="J6">
        <v>16</v>
      </c>
      <c r="K6">
        <v>14</v>
      </c>
      <c r="L6" s="2">
        <v>39568</v>
      </c>
      <c r="M6" s="2">
        <v>39572</v>
      </c>
      <c r="N6">
        <v>15</v>
      </c>
      <c r="O6" t="s">
        <v>19</v>
      </c>
      <c r="P6" t="s">
        <v>53</v>
      </c>
      <c r="Q6">
        <f t="shared" si="2"/>
        <v>11</v>
      </c>
      <c r="R6" t="str">
        <f t="shared" si="0"/>
        <v>Excellent</v>
      </c>
      <c r="S6" s="37">
        <f t="shared" si="3"/>
        <v>14</v>
      </c>
      <c r="T6" s="37">
        <f>IF(R6="Excellent",S6,+IF(R6="Satisfactory",S6-((ModifyData!$B$18/100)*S6))+IF(R6="Unsatisfactory",S6-((ModifyData!$B$19/100)*S6)))</f>
        <v>14</v>
      </c>
      <c r="U6">
        <f t="shared" si="4"/>
        <v>3</v>
      </c>
      <c r="V6" s="14">
        <v>0.55000000000000004</v>
      </c>
      <c r="W6" s="37">
        <f t="shared" si="1"/>
        <v>21.700000000000003</v>
      </c>
      <c r="X6" s="37">
        <f t="shared" si="5"/>
        <v>6.1000000000000032</v>
      </c>
    </row>
    <row r="7" spans="1:24" x14ac:dyDescent="0.2">
      <c r="A7">
        <v>15032</v>
      </c>
      <c r="B7">
        <v>104</v>
      </c>
      <c r="C7" t="s">
        <v>15</v>
      </c>
      <c r="D7">
        <v>1021</v>
      </c>
      <c r="E7">
        <v>2</v>
      </c>
      <c r="F7" t="s">
        <v>28</v>
      </c>
      <c r="G7" t="s">
        <v>29</v>
      </c>
      <c r="H7" t="s">
        <v>18</v>
      </c>
      <c r="I7">
        <v>1</v>
      </c>
      <c r="J7">
        <v>4</v>
      </c>
      <c r="K7">
        <v>5.75</v>
      </c>
      <c r="L7" s="2">
        <v>39572</v>
      </c>
      <c r="M7" s="2">
        <v>39576</v>
      </c>
      <c r="N7">
        <v>10</v>
      </c>
      <c r="O7" t="s">
        <v>19</v>
      </c>
      <c r="P7" t="s">
        <v>53</v>
      </c>
      <c r="Q7">
        <f t="shared" si="2"/>
        <v>6</v>
      </c>
      <c r="R7" t="str">
        <f t="shared" si="0"/>
        <v>Satisfactory</v>
      </c>
      <c r="S7" s="37">
        <f t="shared" si="3"/>
        <v>11.5</v>
      </c>
      <c r="T7" s="37">
        <f>IF(R7="Excellent",S7,+IF(R7="Satisfactory",S7-((ModifyData!$B$18/100)*S7))+IF(R7="Unsatisfactory",S7-((ModifyData!$B$19/100)*S7)))</f>
        <v>9.7750000000000004</v>
      </c>
      <c r="U7">
        <f t="shared" si="4"/>
        <v>2</v>
      </c>
      <c r="V7" s="14">
        <v>0.55000000000000004</v>
      </c>
      <c r="W7" s="37">
        <f t="shared" si="1"/>
        <v>15.151250000000001</v>
      </c>
      <c r="X7" s="37">
        <f t="shared" si="5"/>
        <v>4.9762500000000003</v>
      </c>
    </row>
    <row r="8" spans="1:24" x14ac:dyDescent="0.2">
      <c r="A8">
        <v>15062</v>
      </c>
      <c r="B8">
        <v>104</v>
      </c>
      <c r="C8" t="s">
        <v>15</v>
      </c>
      <c r="D8">
        <v>1014</v>
      </c>
      <c r="E8">
        <v>1</v>
      </c>
      <c r="F8" t="s">
        <v>30</v>
      </c>
      <c r="G8" t="s">
        <v>31</v>
      </c>
      <c r="H8" t="s">
        <v>18</v>
      </c>
      <c r="I8">
        <v>0.5</v>
      </c>
      <c r="J8">
        <v>12</v>
      </c>
      <c r="K8">
        <v>10</v>
      </c>
      <c r="L8" s="2">
        <v>39574</v>
      </c>
      <c r="M8" s="2">
        <v>39576</v>
      </c>
      <c r="N8">
        <v>12</v>
      </c>
      <c r="O8" t="s">
        <v>19</v>
      </c>
      <c r="P8" t="s">
        <v>53</v>
      </c>
      <c r="Q8">
        <f t="shared" si="2"/>
        <v>10</v>
      </c>
      <c r="R8" t="str">
        <f t="shared" si="0"/>
        <v>Excellent</v>
      </c>
      <c r="S8" s="37">
        <f t="shared" si="3"/>
        <v>10</v>
      </c>
      <c r="T8" s="37">
        <f>IF(R8="Excellent",S8,+IF(R8="Satisfactory",S8-((ModifyData!$B$18/100)*S8))+IF(R8="Unsatisfactory",S8-((ModifyData!$B$19/100)*S8)))</f>
        <v>10</v>
      </c>
      <c r="U8">
        <f t="shared" si="4"/>
        <v>2</v>
      </c>
      <c r="V8" s="14">
        <v>0.55000000000000004</v>
      </c>
      <c r="W8" s="37">
        <f t="shared" si="1"/>
        <v>15.5</v>
      </c>
      <c r="X8" s="37">
        <f t="shared" si="5"/>
        <v>4.3</v>
      </c>
    </row>
    <row r="9" spans="1:24" x14ac:dyDescent="0.2">
      <c r="A9">
        <v>15105</v>
      </c>
      <c r="B9">
        <v>104</v>
      </c>
      <c r="C9" t="s">
        <v>15</v>
      </c>
      <c r="D9">
        <v>1008</v>
      </c>
      <c r="E9">
        <v>1</v>
      </c>
      <c r="F9" t="s">
        <v>20</v>
      </c>
      <c r="G9" t="s">
        <v>21</v>
      </c>
      <c r="H9" t="s">
        <v>22</v>
      </c>
      <c r="I9">
        <v>8</v>
      </c>
      <c r="J9">
        <v>24</v>
      </c>
      <c r="K9">
        <v>12</v>
      </c>
      <c r="L9" s="2">
        <v>39575</v>
      </c>
      <c r="M9" s="2">
        <v>39579</v>
      </c>
      <c r="N9">
        <v>30</v>
      </c>
      <c r="O9" t="s">
        <v>19</v>
      </c>
      <c r="P9" t="s">
        <v>53</v>
      </c>
      <c r="Q9">
        <f t="shared" si="2"/>
        <v>26</v>
      </c>
      <c r="R9" t="str">
        <f t="shared" si="0"/>
        <v>Excellent</v>
      </c>
      <c r="S9" s="37">
        <f t="shared" si="3"/>
        <v>12</v>
      </c>
      <c r="T9" s="37">
        <f>IF(R9="Excellent",S9,+IF(R9="Satisfactory",S9-((ModifyData!$B$18/100)*S9))+IF(R9="Unsatisfactory",S9-((ModifyData!$B$19/100)*S9)))</f>
        <v>12</v>
      </c>
      <c r="U9">
        <f t="shared" si="4"/>
        <v>1</v>
      </c>
      <c r="V9" s="14">
        <v>0.55000000000000004</v>
      </c>
      <c r="W9" s="37">
        <f t="shared" si="1"/>
        <v>18.600000000000001</v>
      </c>
      <c r="X9" s="37">
        <f t="shared" si="5"/>
        <v>4.2000000000000011</v>
      </c>
    </row>
    <row r="10" spans="1:24" x14ac:dyDescent="0.2">
      <c r="A10">
        <v>15120</v>
      </c>
      <c r="B10">
        <v>104</v>
      </c>
      <c r="C10" t="s">
        <v>15</v>
      </c>
      <c r="D10">
        <v>1026</v>
      </c>
      <c r="E10">
        <v>2</v>
      </c>
      <c r="F10" t="s">
        <v>32</v>
      </c>
      <c r="G10" t="s">
        <v>33</v>
      </c>
      <c r="H10" t="s">
        <v>34</v>
      </c>
      <c r="I10">
        <v>1</v>
      </c>
      <c r="J10">
        <v>16</v>
      </c>
      <c r="K10">
        <v>26</v>
      </c>
      <c r="L10" s="2">
        <v>39582</v>
      </c>
      <c r="M10" s="2">
        <v>39583</v>
      </c>
      <c r="N10">
        <v>60</v>
      </c>
      <c r="O10" t="s">
        <v>19</v>
      </c>
      <c r="P10" t="s">
        <v>53</v>
      </c>
      <c r="Q10">
        <f t="shared" si="2"/>
        <v>59</v>
      </c>
      <c r="R10" t="str">
        <f t="shared" si="0"/>
        <v>Excellent</v>
      </c>
      <c r="S10" s="37">
        <f t="shared" si="3"/>
        <v>52</v>
      </c>
      <c r="T10" s="37">
        <f>IF(R10="Excellent",S10,+IF(R10="Satisfactory",S10-((ModifyData!$B$18/100)*S10))+IF(R10="Unsatisfactory",S10-((ModifyData!$B$19/100)*S10)))</f>
        <v>52</v>
      </c>
      <c r="U10">
        <f t="shared" si="4"/>
        <v>3</v>
      </c>
      <c r="V10" s="14">
        <v>0.55000000000000004</v>
      </c>
      <c r="W10" s="37">
        <f t="shared" si="1"/>
        <v>80.599999999999994</v>
      </c>
      <c r="X10" s="37">
        <f t="shared" si="5"/>
        <v>26.999999999999993</v>
      </c>
    </row>
    <row r="11" spans="1:24" x14ac:dyDescent="0.2">
      <c r="A11">
        <v>15121</v>
      </c>
      <c r="B11">
        <v>104</v>
      </c>
      <c r="C11" t="s">
        <v>15</v>
      </c>
      <c r="D11">
        <v>1024</v>
      </c>
      <c r="E11">
        <v>2</v>
      </c>
      <c r="F11" t="s">
        <v>35</v>
      </c>
      <c r="G11" t="s">
        <v>36</v>
      </c>
      <c r="H11" t="s">
        <v>18</v>
      </c>
      <c r="I11">
        <v>1</v>
      </c>
      <c r="J11">
        <v>4</v>
      </c>
      <c r="K11">
        <v>5.75</v>
      </c>
      <c r="L11" s="2">
        <v>39581</v>
      </c>
      <c r="M11" s="2">
        <v>39583</v>
      </c>
      <c r="N11">
        <v>9</v>
      </c>
      <c r="O11" t="s">
        <v>19</v>
      </c>
      <c r="P11" t="s">
        <v>53</v>
      </c>
      <c r="Q11">
        <f t="shared" si="2"/>
        <v>7</v>
      </c>
      <c r="R11" t="str">
        <f t="shared" si="0"/>
        <v>Excellent</v>
      </c>
      <c r="S11" s="37">
        <f t="shared" si="3"/>
        <v>11.5</v>
      </c>
      <c r="T11" s="37">
        <f>IF(R11="Excellent",S11,+IF(R11="Satisfactory",S11-((ModifyData!$B$18/100)*S11))+IF(R11="Unsatisfactory",S11-((ModifyData!$B$19/100)*S11)))</f>
        <v>11.5</v>
      </c>
      <c r="U11">
        <f t="shared" si="4"/>
        <v>2</v>
      </c>
      <c r="V11" s="14">
        <v>0.55000000000000004</v>
      </c>
      <c r="W11" s="37">
        <f t="shared" si="1"/>
        <v>17.824999999999999</v>
      </c>
      <c r="X11" s="37">
        <f t="shared" si="5"/>
        <v>5.9249999999999989</v>
      </c>
    </row>
    <row r="12" spans="1:24" x14ac:dyDescent="0.2">
      <c r="A12">
        <v>15130</v>
      </c>
      <c r="B12">
        <v>104</v>
      </c>
      <c r="C12" t="s">
        <v>15</v>
      </c>
      <c r="D12">
        <v>1003</v>
      </c>
      <c r="E12">
        <v>3</v>
      </c>
      <c r="F12" t="s">
        <v>37</v>
      </c>
      <c r="G12" t="s">
        <v>24</v>
      </c>
      <c r="H12" t="s">
        <v>22</v>
      </c>
      <c r="I12">
        <v>16</v>
      </c>
      <c r="J12">
        <v>24</v>
      </c>
      <c r="K12">
        <v>23</v>
      </c>
      <c r="L12" s="2">
        <v>39580</v>
      </c>
      <c r="M12" s="2">
        <v>39583</v>
      </c>
      <c r="N12">
        <v>14</v>
      </c>
      <c r="O12" t="s">
        <v>19</v>
      </c>
      <c r="P12" t="s">
        <v>53</v>
      </c>
      <c r="Q12">
        <f t="shared" si="2"/>
        <v>11</v>
      </c>
      <c r="R12" t="str">
        <f t="shared" si="0"/>
        <v>Excellent</v>
      </c>
      <c r="S12" s="37">
        <f t="shared" si="3"/>
        <v>69</v>
      </c>
      <c r="T12" s="37">
        <f>IF(R12="Excellent",S12,+IF(R12="Satisfactory",S12-((ModifyData!$B$18/100)*S12))+IF(R12="Unsatisfactory",S12-((ModifyData!$B$19/100)*S12)))</f>
        <v>69</v>
      </c>
      <c r="U12">
        <f t="shared" si="4"/>
        <v>1</v>
      </c>
      <c r="V12" s="14">
        <v>0.55000000000000004</v>
      </c>
      <c r="W12" s="37">
        <f t="shared" si="1"/>
        <v>106.95</v>
      </c>
      <c r="X12" s="37">
        <f t="shared" si="5"/>
        <v>35.550000000000004</v>
      </c>
    </row>
    <row r="13" spans="1:24" x14ac:dyDescent="0.2">
      <c r="A13">
        <v>15134</v>
      </c>
      <c r="B13">
        <v>104</v>
      </c>
      <c r="C13" t="s">
        <v>15</v>
      </c>
      <c r="D13">
        <v>1023</v>
      </c>
      <c r="E13">
        <v>1</v>
      </c>
      <c r="F13" t="s">
        <v>38</v>
      </c>
      <c r="G13" t="s">
        <v>36</v>
      </c>
      <c r="H13" t="s">
        <v>18</v>
      </c>
      <c r="I13">
        <v>0.5</v>
      </c>
      <c r="J13">
        <v>12</v>
      </c>
      <c r="K13">
        <v>10</v>
      </c>
      <c r="L13" s="2">
        <v>39582</v>
      </c>
      <c r="M13" s="2">
        <v>39583</v>
      </c>
      <c r="N13">
        <v>9</v>
      </c>
      <c r="O13" t="s">
        <v>19</v>
      </c>
      <c r="P13" t="s">
        <v>53</v>
      </c>
      <c r="Q13">
        <f t="shared" si="2"/>
        <v>8</v>
      </c>
      <c r="R13" t="str">
        <f t="shared" si="0"/>
        <v>Excellent</v>
      </c>
      <c r="S13" s="37">
        <f t="shared" si="3"/>
        <v>10</v>
      </c>
      <c r="T13" s="37">
        <f>IF(R13="Excellent",S13,+IF(R13="Satisfactory",S13-((ModifyData!$B$18/100)*S13))+IF(R13="Unsatisfactory",S13-((ModifyData!$B$19/100)*S13)))</f>
        <v>10</v>
      </c>
      <c r="U13">
        <f t="shared" si="4"/>
        <v>2</v>
      </c>
      <c r="V13" s="14">
        <v>0.55000000000000004</v>
      </c>
      <c r="W13" s="37">
        <f t="shared" si="1"/>
        <v>15.5</v>
      </c>
      <c r="X13" s="37">
        <f t="shared" si="5"/>
        <v>4.3</v>
      </c>
    </row>
    <row r="14" spans="1:24" x14ac:dyDescent="0.2">
      <c r="A14">
        <v>15135</v>
      </c>
      <c r="B14">
        <v>104</v>
      </c>
      <c r="C14" t="s">
        <v>15</v>
      </c>
      <c r="D14">
        <v>1017</v>
      </c>
      <c r="E14">
        <v>3</v>
      </c>
      <c r="F14" t="s">
        <v>16</v>
      </c>
      <c r="G14" t="s">
        <v>17</v>
      </c>
      <c r="H14" t="s">
        <v>18</v>
      </c>
      <c r="I14">
        <v>0.5</v>
      </c>
      <c r="J14">
        <v>12</v>
      </c>
      <c r="K14">
        <v>10</v>
      </c>
      <c r="L14" s="2">
        <v>39581</v>
      </c>
      <c r="M14" s="2">
        <v>39583</v>
      </c>
      <c r="N14">
        <v>10</v>
      </c>
      <c r="O14" t="s">
        <v>19</v>
      </c>
      <c r="P14" t="s">
        <v>53</v>
      </c>
      <c r="Q14">
        <f t="shared" si="2"/>
        <v>8</v>
      </c>
      <c r="R14" t="str">
        <f t="shared" si="0"/>
        <v>Excellent</v>
      </c>
      <c r="S14" s="37">
        <f t="shared" si="3"/>
        <v>30</v>
      </c>
      <c r="T14" s="37">
        <f>IF(R14="Excellent",S14,+IF(R14="Satisfactory",S14-((ModifyData!$B$18/100)*S14))+IF(R14="Unsatisfactory",S14-((ModifyData!$B$19/100)*S14)))</f>
        <v>30</v>
      </c>
      <c r="U14">
        <f t="shared" si="4"/>
        <v>2</v>
      </c>
      <c r="V14" s="14">
        <v>0.55000000000000004</v>
      </c>
      <c r="W14" s="37">
        <f t="shared" si="1"/>
        <v>46.5</v>
      </c>
      <c r="X14" s="37">
        <f t="shared" si="5"/>
        <v>15.3</v>
      </c>
    </row>
    <row r="15" spans="1:24" x14ac:dyDescent="0.2">
      <c r="A15">
        <v>15154</v>
      </c>
      <c r="B15">
        <v>104</v>
      </c>
      <c r="C15" t="s">
        <v>15</v>
      </c>
      <c r="D15">
        <v>1017</v>
      </c>
      <c r="E15">
        <v>2</v>
      </c>
      <c r="F15" t="s">
        <v>16</v>
      </c>
      <c r="G15" t="s">
        <v>17</v>
      </c>
      <c r="H15" t="s">
        <v>18</v>
      </c>
      <c r="I15">
        <v>0.5</v>
      </c>
      <c r="J15">
        <v>12</v>
      </c>
      <c r="K15">
        <v>10</v>
      </c>
      <c r="L15" s="2">
        <v>39585</v>
      </c>
      <c r="M15" s="2">
        <v>39586</v>
      </c>
      <c r="N15">
        <v>10</v>
      </c>
      <c r="O15" t="s">
        <v>19</v>
      </c>
      <c r="P15" t="s">
        <v>53</v>
      </c>
      <c r="Q15">
        <f t="shared" si="2"/>
        <v>9</v>
      </c>
      <c r="R15" t="str">
        <f t="shared" si="0"/>
        <v>Excellent</v>
      </c>
      <c r="S15" s="37">
        <f t="shared" si="3"/>
        <v>20</v>
      </c>
      <c r="T15" s="37">
        <f>IF(R15="Excellent",S15,+IF(R15="Satisfactory",S15-((ModifyData!$B$18/100)*S15))+IF(R15="Unsatisfactory",S15-((ModifyData!$B$19/100)*S15)))</f>
        <v>20</v>
      </c>
      <c r="U15">
        <f t="shared" si="4"/>
        <v>2</v>
      </c>
      <c r="V15" s="14">
        <v>0.55000000000000004</v>
      </c>
      <c r="W15" s="37">
        <f t="shared" si="1"/>
        <v>31</v>
      </c>
      <c r="X15" s="37">
        <f t="shared" si="5"/>
        <v>9.8000000000000007</v>
      </c>
    </row>
    <row r="16" spans="1:24" x14ac:dyDescent="0.2">
      <c r="A16">
        <v>15167</v>
      </c>
      <c r="B16">
        <v>104</v>
      </c>
      <c r="C16" t="s">
        <v>15</v>
      </c>
      <c r="D16">
        <v>1008</v>
      </c>
      <c r="E16">
        <v>2</v>
      </c>
      <c r="F16" t="s">
        <v>20</v>
      </c>
      <c r="G16" t="s">
        <v>21</v>
      </c>
      <c r="H16" t="s">
        <v>22</v>
      </c>
      <c r="I16">
        <v>8</v>
      </c>
      <c r="J16">
        <v>24</v>
      </c>
      <c r="K16">
        <v>12</v>
      </c>
      <c r="L16" s="2">
        <v>39582</v>
      </c>
      <c r="M16" s="2">
        <v>39586</v>
      </c>
      <c r="N16">
        <v>30</v>
      </c>
      <c r="O16" t="s">
        <v>19</v>
      </c>
      <c r="P16" t="s">
        <v>53</v>
      </c>
      <c r="Q16">
        <f t="shared" si="2"/>
        <v>26</v>
      </c>
      <c r="R16" t="str">
        <f t="shared" si="0"/>
        <v>Excellent</v>
      </c>
      <c r="S16" s="37">
        <f t="shared" si="3"/>
        <v>24</v>
      </c>
      <c r="T16" s="37">
        <f>IF(R16="Excellent",S16,+IF(R16="Satisfactory",S16-((ModifyData!$B$18/100)*S16))+IF(R16="Unsatisfactory",S16-((ModifyData!$B$19/100)*S16)))</f>
        <v>24</v>
      </c>
      <c r="U16">
        <f t="shared" si="4"/>
        <v>1</v>
      </c>
      <c r="V16" s="14">
        <v>0.55000000000000004</v>
      </c>
      <c r="W16" s="37">
        <f t="shared" si="1"/>
        <v>37.200000000000003</v>
      </c>
      <c r="X16" s="37">
        <f t="shared" si="5"/>
        <v>10.800000000000002</v>
      </c>
    </row>
    <row r="17" spans="1:24" x14ac:dyDescent="0.2">
      <c r="A17">
        <v>15183</v>
      </c>
      <c r="B17">
        <v>104</v>
      </c>
      <c r="C17" t="s">
        <v>15</v>
      </c>
      <c r="D17">
        <v>1004</v>
      </c>
      <c r="E17">
        <v>1</v>
      </c>
      <c r="F17" t="s">
        <v>23</v>
      </c>
      <c r="G17" t="s">
        <v>24</v>
      </c>
      <c r="H17" t="s">
        <v>22</v>
      </c>
      <c r="I17">
        <v>32</v>
      </c>
      <c r="J17">
        <v>16</v>
      </c>
      <c r="K17">
        <v>24</v>
      </c>
      <c r="L17" s="2">
        <v>39589</v>
      </c>
      <c r="M17" s="2">
        <v>39590</v>
      </c>
      <c r="N17">
        <v>14</v>
      </c>
      <c r="O17" t="s">
        <v>19</v>
      </c>
      <c r="P17" t="s">
        <v>53</v>
      </c>
      <c r="Q17">
        <f t="shared" si="2"/>
        <v>13</v>
      </c>
      <c r="R17" t="str">
        <f t="shared" si="0"/>
        <v>Excellent</v>
      </c>
      <c r="S17" s="37">
        <f t="shared" si="3"/>
        <v>24</v>
      </c>
      <c r="T17" s="37">
        <f>IF(R17="Excellent",S17,+IF(R17="Satisfactory",S17-((ModifyData!$B$18/100)*S17))+IF(R17="Unsatisfactory",S17-((ModifyData!$B$19/100)*S17)))</f>
        <v>24</v>
      </c>
      <c r="U17">
        <f t="shared" si="4"/>
        <v>1</v>
      </c>
      <c r="V17" s="14">
        <v>0.55000000000000004</v>
      </c>
      <c r="W17" s="37">
        <f t="shared" si="1"/>
        <v>37.200000000000003</v>
      </c>
      <c r="X17" s="37">
        <f t="shared" si="5"/>
        <v>11.600000000000003</v>
      </c>
    </row>
    <row r="18" spans="1:24" x14ac:dyDescent="0.2">
      <c r="A18">
        <v>15186</v>
      </c>
      <c r="B18">
        <v>104</v>
      </c>
      <c r="C18" t="s">
        <v>15</v>
      </c>
      <c r="D18">
        <v>1032</v>
      </c>
      <c r="E18">
        <v>1</v>
      </c>
      <c r="F18" t="s">
        <v>25</v>
      </c>
      <c r="G18" t="s">
        <v>26</v>
      </c>
      <c r="H18" t="s">
        <v>27</v>
      </c>
      <c r="I18">
        <v>1</v>
      </c>
      <c r="J18">
        <v>16</v>
      </c>
      <c r="K18">
        <v>14</v>
      </c>
      <c r="L18" s="2">
        <v>39586</v>
      </c>
      <c r="M18" s="2">
        <v>39590</v>
      </c>
      <c r="N18">
        <v>15</v>
      </c>
      <c r="O18" t="s">
        <v>19</v>
      </c>
      <c r="P18" t="s">
        <v>53</v>
      </c>
      <c r="Q18">
        <f t="shared" si="2"/>
        <v>11</v>
      </c>
      <c r="R18" t="str">
        <f t="shared" si="0"/>
        <v>Excellent</v>
      </c>
      <c r="S18" s="37">
        <f t="shared" si="3"/>
        <v>14</v>
      </c>
      <c r="T18" s="37">
        <f>IF(R18="Excellent",S18,+IF(R18="Satisfactory",S18-((ModifyData!$B$18/100)*S18))+IF(R18="Unsatisfactory",S18-((ModifyData!$B$19/100)*S18)))</f>
        <v>14</v>
      </c>
      <c r="U18">
        <f t="shared" si="4"/>
        <v>3</v>
      </c>
      <c r="V18" s="14">
        <v>0.55000000000000004</v>
      </c>
      <c r="W18" s="37">
        <f t="shared" si="1"/>
        <v>21.700000000000003</v>
      </c>
      <c r="X18" s="37">
        <f t="shared" si="5"/>
        <v>6.1000000000000032</v>
      </c>
    </row>
    <row r="19" spans="1:24" x14ac:dyDescent="0.2">
      <c r="A19">
        <v>15231</v>
      </c>
      <c r="B19">
        <v>104</v>
      </c>
      <c r="C19" t="s">
        <v>15</v>
      </c>
      <c r="D19">
        <v>1021</v>
      </c>
      <c r="E19">
        <v>2</v>
      </c>
      <c r="F19" t="s">
        <v>28</v>
      </c>
      <c r="G19" t="s">
        <v>29</v>
      </c>
      <c r="H19" t="s">
        <v>18</v>
      </c>
      <c r="I19">
        <v>1</v>
      </c>
      <c r="J19">
        <v>4</v>
      </c>
      <c r="K19">
        <v>5.75</v>
      </c>
      <c r="L19" s="2">
        <v>39583</v>
      </c>
      <c r="M19" s="2">
        <v>39587</v>
      </c>
      <c r="N19">
        <v>10</v>
      </c>
      <c r="O19" t="s">
        <v>19</v>
      </c>
      <c r="P19" t="s">
        <v>53</v>
      </c>
      <c r="Q19">
        <f t="shared" si="2"/>
        <v>6</v>
      </c>
      <c r="R19" t="str">
        <f t="shared" si="0"/>
        <v>Satisfactory</v>
      </c>
      <c r="S19" s="37">
        <f t="shared" si="3"/>
        <v>11.5</v>
      </c>
      <c r="T19" s="37">
        <f>IF(R19="Excellent",S19,+IF(R19="Satisfactory",S19-((ModifyData!$B$18/100)*S19))+IF(R19="Unsatisfactory",S19-((ModifyData!$B$19/100)*S19)))</f>
        <v>9.7750000000000004</v>
      </c>
      <c r="U19">
        <f t="shared" si="4"/>
        <v>2</v>
      </c>
      <c r="V19" s="14">
        <v>0.55000000000000004</v>
      </c>
      <c r="W19" s="37">
        <f t="shared" si="1"/>
        <v>15.151250000000001</v>
      </c>
      <c r="X19" s="37">
        <f t="shared" si="5"/>
        <v>4.9762500000000003</v>
      </c>
    </row>
    <row r="20" spans="1:24" x14ac:dyDescent="0.2">
      <c r="A20">
        <v>15261</v>
      </c>
      <c r="B20">
        <v>104</v>
      </c>
      <c r="C20" t="s">
        <v>15</v>
      </c>
      <c r="D20">
        <v>1014</v>
      </c>
      <c r="E20">
        <v>1</v>
      </c>
      <c r="F20" t="s">
        <v>30</v>
      </c>
      <c r="G20" t="s">
        <v>31</v>
      </c>
      <c r="H20" t="s">
        <v>18</v>
      </c>
      <c r="I20">
        <v>0.5</v>
      </c>
      <c r="J20">
        <v>12</v>
      </c>
      <c r="K20">
        <v>10</v>
      </c>
      <c r="L20" s="2">
        <v>39583</v>
      </c>
      <c r="M20" s="2">
        <v>39587</v>
      </c>
      <c r="N20">
        <v>12</v>
      </c>
      <c r="O20" t="s">
        <v>19</v>
      </c>
      <c r="P20" t="s">
        <v>53</v>
      </c>
      <c r="Q20">
        <f t="shared" si="2"/>
        <v>8</v>
      </c>
      <c r="R20" t="str">
        <f t="shared" si="0"/>
        <v>Excellent</v>
      </c>
      <c r="S20" s="37">
        <f t="shared" si="3"/>
        <v>10</v>
      </c>
      <c r="T20" s="37">
        <f>IF(R20="Excellent",S20,+IF(R20="Satisfactory",S20-((ModifyData!$B$18/100)*S20))+IF(R20="Unsatisfactory",S20-((ModifyData!$B$19/100)*S20)))</f>
        <v>10</v>
      </c>
      <c r="U20">
        <f t="shared" si="4"/>
        <v>2</v>
      </c>
      <c r="V20" s="14">
        <v>0.55000000000000004</v>
      </c>
      <c r="W20" s="37">
        <f t="shared" si="1"/>
        <v>15.5</v>
      </c>
      <c r="X20" s="37">
        <f t="shared" si="5"/>
        <v>4.3</v>
      </c>
    </row>
    <row r="21" spans="1:24" x14ac:dyDescent="0.2">
      <c r="A21">
        <v>15304</v>
      </c>
      <c r="B21">
        <v>104</v>
      </c>
      <c r="C21" t="s">
        <v>15</v>
      </c>
      <c r="D21">
        <v>1008</v>
      </c>
      <c r="E21">
        <v>1</v>
      </c>
      <c r="F21" t="s">
        <v>20</v>
      </c>
      <c r="G21" t="s">
        <v>21</v>
      </c>
      <c r="H21" t="s">
        <v>22</v>
      </c>
      <c r="I21">
        <v>8</v>
      </c>
      <c r="J21">
        <v>24</v>
      </c>
      <c r="K21">
        <v>12</v>
      </c>
      <c r="L21" s="2">
        <v>39586</v>
      </c>
      <c r="M21" s="2">
        <v>39590</v>
      </c>
      <c r="N21">
        <v>30</v>
      </c>
      <c r="O21" t="s">
        <v>19</v>
      </c>
      <c r="P21" t="s">
        <v>53</v>
      </c>
      <c r="Q21">
        <f t="shared" si="2"/>
        <v>26</v>
      </c>
      <c r="R21" t="str">
        <f t="shared" si="0"/>
        <v>Excellent</v>
      </c>
      <c r="S21" s="37">
        <f t="shared" si="3"/>
        <v>12</v>
      </c>
      <c r="T21" s="37">
        <f>IF(R21="Excellent",S21,+IF(R21="Satisfactory",S21-((ModifyData!$B$18/100)*S21))+IF(R21="Unsatisfactory",S21-((ModifyData!$B$19/100)*S21)))</f>
        <v>12</v>
      </c>
      <c r="U21">
        <f t="shared" si="4"/>
        <v>1</v>
      </c>
      <c r="V21" s="14">
        <v>0.55000000000000004</v>
      </c>
      <c r="W21" s="37">
        <f t="shared" si="1"/>
        <v>18.600000000000001</v>
      </c>
      <c r="X21" s="37">
        <f t="shared" si="5"/>
        <v>4.2000000000000011</v>
      </c>
    </row>
    <row r="22" spans="1:24" x14ac:dyDescent="0.2">
      <c r="A22">
        <v>15319</v>
      </c>
      <c r="B22">
        <v>104</v>
      </c>
      <c r="C22" t="s">
        <v>15</v>
      </c>
      <c r="D22">
        <v>1026</v>
      </c>
      <c r="E22">
        <v>2</v>
      </c>
      <c r="F22" t="s">
        <v>32</v>
      </c>
      <c r="G22" t="s">
        <v>33</v>
      </c>
      <c r="H22" t="s">
        <v>34</v>
      </c>
      <c r="I22">
        <v>1</v>
      </c>
      <c r="J22">
        <v>16</v>
      </c>
      <c r="K22">
        <v>26</v>
      </c>
      <c r="L22" s="2">
        <v>39591</v>
      </c>
      <c r="M22" s="2">
        <v>39593</v>
      </c>
      <c r="N22">
        <v>60</v>
      </c>
      <c r="O22" t="s">
        <v>19</v>
      </c>
      <c r="P22" t="s">
        <v>53</v>
      </c>
      <c r="Q22">
        <f t="shared" si="2"/>
        <v>58</v>
      </c>
      <c r="R22" t="str">
        <f t="shared" si="0"/>
        <v>Excellent</v>
      </c>
      <c r="S22" s="37">
        <f t="shared" si="3"/>
        <v>52</v>
      </c>
      <c r="T22" s="37">
        <f>IF(R22="Excellent",S22,+IF(R22="Satisfactory",S22-((ModifyData!$B$18/100)*S22))+IF(R22="Unsatisfactory",S22-((ModifyData!$B$19/100)*S22)))</f>
        <v>52</v>
      </c>
      <c r="U22">
        <f t="shared" si="4"/>
        <v>3</v>
      </c>
      <c r="V22" s="14">
        <v>0.55000000000000004</v>
      </c>
      <c r="W22" s="37">
        <f t="shared" si="1"/>
        <v>80.599999999999994</v>
      </c>
      <c r="X22" s="37">
        <f t="shared" si="5"/>
        <v>26.999999999999993</v>
      </c>
    </row>
    <row r="23" spans="1:24" x14ac:dyDescent="0.2">
      <c r="A23">
        <v>15320</v>
      </c>
      <c r="B23">
        <v>104</v>
      </c>
      <c r="C23" t="s">
        <v>15</v>
      </c>
      <c r="D23">
        <v>1024</v>
      </c>
      <c r="E23">
        <v>2</v>
      </c>
      <c r="F23" t="s">
        <v>35</v>
      </c>
      <c r="G23" t="s">
        <v>36</v>
      </c>
      <c r="H23" t="s">
        <v>18</v>
      </c>
      <c r="I23">
        <v>1</v>
      </c>
      <c r="J23">
        <v>4</v>
      </c>
      <c r="K23">
        <v>5.75</v>
      </c>
      <c r="L23" s="2">
        <v>39589</v>
      </c>
      <c r="M23" s="2">
        <v>39593</v>
      </c>
      <c r="N23">
        <v>9</v>
      </c>
      <c r="O23" t="s">
        <v>19</v>
      </c>
      <c r="P23" t="s">
        <v>53</v>
      </c>
      <c r="Q23">
        <f t="shared" si="2"/>
        <v>5</v>
      </c>
      <c r="R23" t="str">
        <f t="shared" si="0"/>
        <v>Satisfactory</v>
      </c>
      <c r="S23" s="37">
        <f t="shared" si="3"/>
        <v>11.5</v>
      </c>
      <c r="T23" s="37">
        <f>IF(R23="Excellent",S23,+IF(R23="Satisfactory",S23-((ModifyData!$B$18/100)*S23))+IF(R23="Unsatisfactory",S23-((ModifyData!$B$19/100)*S23)))</f>
        <v>9.7750000000000004</v>
      </c>
      <c r="U23">
        <f t="shared" si="4"/>
        <v>2</v>
      </c>
      <c r="V23" s="14">
        <v>0.55000000000000004</v>
      </c>
      <c r="W23" s="37">
        <f t="shared" si="1"/>
        <v>15.151250000000001</v>
      </c>
      <c r="X23" s="37">
        <f t="shared" si="5"/>
        <v>4.9762500000000003</v>
      </c>
    </row>
    <row r="24" spans="1:24" x14ac:dyDescent="0.2">
      <c r="A24">
        <v>15329</v>
      </c>
      <c r="B24">
        <v>104</v>
      </c>
      <c r="C24" t="s">
        <v>15</v>
      </c>
      <c r="D24">
        <v>1003</v>
      </c>
      <c r="E24">
        <v>3</v>
      </c>
      <c r="F24" t="s">
        <v>37</v>
      </c>
      <c r="G24" t="s">
        <v>24</v>
      </c>
      <c r="H24" t="s">
        <v>22</v>
      </c>
      <c r="I24">
        <v>16</v>
      </c>
      <c r="J24">
        <v>24</v>
      </c>
      <c r="K24">
        <v>23</v>
      </c>
      <c r="L24" s="2">
        <v>39591</v>
      </c>
      <c r="M24" s="2">
        <v>39593</v>
      </c>
      <c r="N24">
        <v>14</v>
      </c>
      <c r="O24" t="s">
        <v>19</v>
      </c>
      <c r="P24" t="s">
        <v>53</v>
      </c>
      <c r="Q24">
        <f t="shared" si="2"/>
        <v>12</v>
      </c>
      <c r="R24" t="str">
        <f t="shared" si="0"/>
        <v>Excellent</v>
      </c>
      <c r="S24" s="37">
        <f t="shared" si="3"/>
        <v>69</v>
      </c>
      <c r="T24" s="37">
        <f>IF(R24="Excellent",S24,+IF(R24="Satisfactory",S24-((ModifyData!$B$18/100)*S24))+IF(R24="Unsatisfactory",S24-((ModifyData!$B$19/100)*S24)))</f>
        <v>69</v>
      </c>
      <c r="U24">
        <f t="shared" si="4"/>
        <v>1</v>
      </c>
      <c r="V24" s="14">
        <v>0.55000000000000004</v>
      </c>
      <c r="W24" s="37">
        <f t="shared" si="1"/>
        <v>106.95</v>
      </c>
      <c r="X24" s="37">
        <f t="shared" si="5"/>
        <v>35.550000000000004</v>
      </c>
    </row>
    <row r="25" spans="1:24" x14ac:dyDescent="0.2">
      <c r="A25">
        <v>15333</v>
      </c>
      <c r="B25">
        <v>104</v>
      </c>
      <c r="C25" t="s">
        <v>15</v>
      </c>
      <c r="D25">
        <v>1023</v>
      </c>
      <c r="E25">
        <v>1</v>
      </c>
      <c r="F25" t="s">
        <v>38</v>
      </c>
      <c r="G25" t="s">
        <v>36</v>
      </c>
      <c r="H25" t="s">
        <v>18</v>
      </c>
      <c r="I25">
        <v>0.5</v>
      </c>
      <c r="J25">
        <v>12</v>
      </c>
      <c r="K25">
        <v>10</v>
      </c>
      <c r="L25" s="2">
        <v>39592</v>
      </c>
      <c r="M25" s="2">
        <v>39593</v>
      </c>
      <c r="N25">
        <v>9</v>
      </c>
      <c r="O25" t="s">
        <v>19</v>
      </c>
      <c r="P25" t="s">
        <v>53</v>
      </c>
      <c r="Q25">
        <f t="shared" si="2"/>
        <v>8</v>
      </c>
      <c r="R25" t="str">
        <f t="shared" si="0"/>
        <v>Excellent</v>
      </c>
      <c r="S25" s="37">
        <f t="shared" si="3"/>
        <v>10</v>
      </c>
      <c r="T25" s="37">
        <f>IF(R25="Excellent",S25,+IF(R25="Satisfactory",S25-((ModifyData!$B$18/100)*S25))+IF(R25="Unsatisfactory",S25-((ModifyData!$B$19/100)*S25)))</f>
        <v>10</v>
      </c>
      <c r="U25">
        <f t="shared" si="4"/>
        <v>2</v>
      </c>
      <c r="V25" s="14">
        <v>0.55000000000000004</v>
      </c>
      <c r="W25" s="37">
        <f t="shared" si="1"/>
        <v>15.5</v>
      </c>
      <c r="X25" s="37">
        <f t="shared" si="5"/>
        <v>4.3</v>
      </c>
    </row>
    <row r="26" spans="1:24" x14ac:dyDescent="0.2">
      <c r="A26">
        <v>15334</v>
      </c>
      <c r="B26">
        <v>104</v>
      </c>
      <c r="C26" t="s">
        <v>15</v>
      </c>
      <c r="D26">
        <v>1017</v>
      </c>
      <c r="E26">
        <v>3</v>
      </c>
      <c r="F26" t="s">
        <v>16</v>
      </c>
      <c r="G26" t="s">
        <v>17</v>
      </c>
      <c r="H26" t="s">
        <v>18</v>
      </c>
      <c r="I26">
        <v>0.5</v>
      </c>
      <c r="J26">
        <v>12</v>
      </c>
      <c r="K26">
        <v>10</v>
      </c>
      <c r="L26" s="2">
        <v>39591</v>
      </c>
      <c r="M26" s="2">
        <v>39593</v>
      </c>
      <c r="N26">
        <v>10</v>
      </c>
      <c r="O26" t="s">
        <v>19</v>
      </c>
      <c r="P26" t="s">
        <v>54</v>
      </c>
      <c r="Q26">
        <f t="shared" si="2"/>
        <v>8</v>
      </c>
      <c r="R26" t="str">
        <f t="shared" si="0"/>
        <v>Excellent</v>
      </c>
      <c r="S26" s="37">
        <f t="shared" si="3"/>
        <v>30</v>
      </c>
      <c r="T26" s="37">
        <f>IF(R26="Excellent",S26,+IF(R26="Satisfactory",S26-((ModifyData!$B$18/100)*S26))+IF(R26="Unsatisfactory",S26-((ModifyData!$B$19/100)*S26)))</f>
        <v>30</v>
      </c>
      <c r="U26">
        <f t="shared" si="4"/>
        <v>2</v>
      </c>
      <c r="V26" s="14">
        <v>0.55000000000000004</v>
      </c>
      <c r="W26" s="37">
        <f t="shared" si="1"/>
        <v>46.5</v>
      </c>
      <c r="X26" s="37">
        <f t="shared" si="5"/>
        <v>15.3</v>
      </c>
    </row>
    <row r="27" spans="1:24" x14ac:dyDescent="0.2">
      <c r="A27">
        <v>15353</v>
      </c>
      <c r="B27">
        <v>104</v>
      </c>
      <c r="C27" t="s">
        <v>15</v>
      </c>
      <c r="D27">
        <v>1017</v>
      </c>
      <c r="E27">
        <v>2</v>
      </c>
      <c r="F27" t="s">
        <v>16</v>
      </c>
      <c r="G27" t="s">
        <v>17</v>
      </c>
      <c r="H27" t="s">
        <v>18</v>
      </c>
      <c r="I27">
        <v>0.5</v>
      </c>
      <c r="J27">
        <v>12</v>
      </c>
      <c r="K27">
        <v>10</v>
      </c>
      <c r="L27" s="2">
        <v>39597</v>
      </c>
      <c r="M27" s="2">
        <v>39598</v>
      </c>
      <c r="N27">
        <v>10</v>
      </c>
      <c r="O27" t="s">
        <v>19</v>
      </c>
      <c r="P27" t="s">
        <v>53</v>
      </c>
      <c r="Q27">
        <f t="shared" si="2"/>
        <v>9</v>
      </c>
      <c r="R27" t="str">
        <f t="shared" si="0"/>
        <v>Excellent</v>
      </c>
      <c r="S27" s="37">
        <f t="shared" si="3"/>
        <v>20</v>
      </c>
      <c r="T27" s="37">
        <f>IF(R27="Excellent",S27,+IF(R27="Satisfactory",S27-((ModifyData!$B$18/100)*S27))+IF(R27="Unsatisfactory",S27-((ModifyData!$B$19/100)*S27)))</f>
        <v>20</v>
      </c>
      <c r="U27">
        <f t="shared" si="4"/>
        <v>2</v>
      </c>
      <c r="V27" s="14">
        <v>0.55000000000000004</v>
      </c>
      <c r="W27" s="37">
        <f t="shared" si="1"/>
        <v>31</v>
      </c>
      <c r="X27" s="37">
        <f t="shared" si="5"/>
        <v>9.8000000000000007</v>
      </c>
    </row>
    <row r="28" spans="1:24" x14ac:dyDescent="0.2">
      <c r="A28">
        <v>15064</v>
      </c>
      <c r="B28">
        <v>107</v>
      </c>
      <c r="C28" t="s">
        <v>39</v>
      </c>
      <c r="D28">
        <v>1017</v>
      </c>
      <c r="E28">
        <v>3</v>
      </c>
      <c r="F28" t="s">
        <v>16</v>
      </c>
      <c r="G28" t="s">
        <v>17</v>
      </c>
      <c r="H28" t="s">
        <v>18</v>
      </c>
      <c r="I28">
        <v>0.5</v>
      </c>
      <c r="J28">
        <v>12</v>
      </c>
      <c r="K28">
        <v>10</v>
      </c>
      <c r="L28" s="2">
        <v>39572</v>
      </c>
      <c r="M28" s="2">
        <v>39576</v>
      </c>
      <c r="N28">
        <v>10</v>
      </c>
      <c r="O28" t="s">
        <v>19</v>
      </c>
      <c r="P28" t="s">
        <v>53</v>
      </c>
      <c r="Q28">
        <f t="shared" si="2"/>
        <v>6</v>
      </c>
      <c r="R28" t="str">
        <f t="shared" si="0"/>
        <v>Satisfactory</v>
      </c>
      <c r="S28" s="37">
        <f t="shared" si="3"/>
        <v>30</v>
      </c>
      <c r="T28" s="37">
        <f>IF(R28="Excellent",S28,+IF(R28="Satisfactory",S28-((ModifyData!$B$18/100)*S28))+IF(R28="Unsatisfactory",S28-((ModifyData!$B$19/100)*S28)))</f>
        <v>25.5</v>
      </c>
      <c r="U28">
        <f t="shared" si="4"/>
        <v>2</v>
      </c>
      <c r="V28" s="14">
        <v>0.55000000000000004</v>
      </c>
      <c r="W28" s="37">
        <f t="shared" si="1"/>
        <v>39.524999999999999</v>
      </c>
      <c r="X28" s="37">
        <f t="shared" si="5"/>
        <v>12.824999999999999</v>
      </c>
    </row>
    <row r="29" spans="1:24" x14ac:dyDescent="0.2">
      <c r="A29">
        <v>15263</v>
      </c>
      <c r="B29">
        <v>107</v>
      </c>
      <c r="C29" t="s">
        <v>39</v>
      </c>
      <c r="D29">
        <v>1017</v>
      </c>
      <c r="E29">
        <v>3</v>
      </c>
      <c r="F29" t="s">
        <v>16</v>
      </c>
      <c r="G29" t="s">
        <v>17</v>
      </c>
      <c r="H29" t="s">
        <v>18</v>
      </c>
      <c r="I29">
        <v>0.5</v>
      </c>
      <c r="J29">
        <v>12</v>
      </c>
      <c r="K29">
        <v>10</v>
      </c>
      <c r="L29" s="2">
        <v>39585</v>
      </c>
      <c r="M29" s="2">
        <v>39587</v>
      </c>
      <c r="N29">
        <v>10</v>
      </c>
      <c r="O29" t="s">
        <v>19</v>
      </c>
      <c r="P29" t="s">
        <v>53</v>
      </c>
      <c r="Q29">
        <f t="shared" si="2"/>
        <v>8</v>
      </c>
      <c r="R29" t="str">
        <f t="shared" si="0"/>
        <v>Excellent</v>
      </c>
      <c r="S29" s="37">
        <f t="shared" si="3"/>
        <v>30</v>
      </c>
      <c r="T29" s="37">
        <f>IF(R29="Excellent",S29,+IF(R29="Satisfactory",S29-((ModifyData!$B$18/100)*S29))+IF(R29="Unsatisfactory",S29-((ModifyData!$B$19/100)*S29)))</f>
        <v>30</v>
      </c>
      <c r="U29">
        <f t="shared" si="4"/>
        <v>2</v>
      </c>
      <c r="V29" s="14">
        <v>0.55000000000000004</v>
      </c>
      <c r="W29" s="37">
        <f t="shared" si="1"/>
        <v>46.5</v>
      </c>
      <c r="X29" s="37">
        <f t="shared" si="5"/>
        <v>15.3</v>
      </c>
    </row>
    <row r="30" spans="1:24" x14ac:dyDescent="0.2">
      <c r="A30">
        <v>14965</v>
      </c>
      <c r="B30">
        <v>117</v>
      </c>
      <c r="C30" t="s">
        <v>15</v>
      </c>
      <c r="D30">
        <v>1023</v>
      </c>
      <c r="E30">
        <v>2</v>
      </c>
      <c r="F30" t="s">
        <v>38</v>
      </c>
      <c r="G30" t="s">
        <v>36</v>
      </c>
      <c r="H30" t="s">
        <v>18</v>
      </c>
      <c r="I30">
        <v>0.5</v>
      </c>
      <c r="J30">
        <v>12</v>
      </c>
      <c r="K30">
        <v>10</v>
      </c>
      <c r="L30" s="2">
        <v>39566</v>
      </c>
      <c r="M30" s="2">
        <v>39569</v>
      </c>
      <c r="N30">
        <v>9</v>
      </c>
      <c r="O30" t="s">
        <v>19</v>
      </c>
      <c r="P30" t="s">
        <v>53</v>
      </c>
      <c r="Q30">
        <f t="shared" si="2"/>
        <v>6</v>
      </c>
      <c r="R30" t="str">
        <f t="shared" si="0"/>
        <v>Satisfactory</v>
      </c>
      <c r="S30" s="37">
        <f t="shared" si="3"/>
        <v>20</v>
      </c>
      <c r="T30" s="37">
        <f>IF(R30="Excellent",S30,+IF(R30="Satisfactory",S30-((ModifyData!$B$18/100)*S30))+IF(R30="Unsatisfactory",S30-((ModifyData!$B$19/100)*S30)))</f>
        <v>17</v>
      </c>
      <c r="U30">
        <f t="shared" si="4"/>
        <v>2</v>
      </c>
      <c r="V30" s="14">
        <v>0.55000000000000004</v>
      </c>
      <c r="W30" s="37">
        <f t="shared" si="1"/>
        <v>26.35</v>
      </c>
      <c r="X30" s="37">
        <f t="shared" si="5"/>
        <v>8.1500000000000021</v>
      </c>
    </row>
    <row r="31" spans="1:24" x14ac:dyDescent="0.2">
      <c r="A31">
        <v>14972</v>
      </c>
      <c r="B31">
        <v>117</v>
      </c>
      <c r="C31" t="s">
        <v>15</v>
      </c>
      <c r="D31">
        <v>1027</v>
      </c>
      <c r="E31">
        <v>1</v>
      </c>
      <c r="F31" t="s">
        <v>40</v>
      </c>
      <c r="G31" t="s">
        <v>33</v>
      </c>
      <c r="H31" t="s">
        <v>34</v>
      </c>
      <c r="I31">
        <v>0.5</v>
      </c>
      <c r="J31">
        <v>16</v>
      </c>
      <c r="K31">
        <v>20</v>
      </c>
      <c r="L31" s="2">
        <v>39568</v>
      </c>
      <c r="M31" s="2">
        <v>39572</v>
      </c>
      <c r="N31">
        <v>60</v>
      </c>
      <c r="O31" t="s">
        <v>19</v>
      </c>
      <c r="P31" t="s">
        <v>53</v>
      </c>
      <c r="Q31">
        <f t="shared" si="2"/>
        <v>56</v>
      </c>
      <c r="R31" t="str">
        <f t="shared" si="0"/>
        <v>Excellent</v>
      </c>
      <c r="S31" s="37">
        <f t="shared" si="3"/>
        <v>20</v>
      </c>
      <c r="T31" s="37">
        <f>IF(R31="Excellent",S31,+IF(R31="Satisfactory",S31-((ModifyData!$B$18/100)*S31))+IF(R31="Unsatisfactory",S31-((ModifyData!$B$19/100)*S31)))</f>
        <v>20</v>
      </c>
      <c r="U31">
        <f t="shared" si="4"/>
        <v>3</v>
      </c>
      <c r="V31" s="14">
        <v>0.55000000000000004</v>
      </c>
      <c r="W31" s="37">
        <f t="shared" si="1"/>
        <v>31</v>
      </c>
      <c r="X31" s="37">
        <f t="shared" si="5"/>
        <v>9.4</v>
      </c>
    </row>
    <row r="32" spans="1:24" x14ac:dyDescent="0.2">
      <c r="A32">
        <v>14995</v>
      </c>
      <c r="B32">
        <v>117</v>
      </c>
      <c r="C32" t="s">
        <v>15</v>
      </c>
      <c r="D32">
        <v>1011</v>
      </c>
      <c r="E32">
        <v>2</v>
      </c>
      <c r="F32" t="s">
        <v>41</v>
      </c>
      <c r="G32" t="s">
        <v>42</v>
      </c>
      <c r="H32" t="s">
        <v>22</v>
      </c>
      <c r="I32">
        <v>8</v>
      </c>
      <c r="J32">
        <v>24</v>
      </c>
      <c r="K32">
        <v>14</v>
      </c>
      <c r="L32" s="2">
        <v>39571</v>
      </c>
      <c r="M32" s="2">
        <v>39572</v>
      </c>
      <c r="N32">
        <v>30</v>
      </c>
      <c r="O32" t="s">
        <v>19</v>
      </c>
      <c r="P32" t="s">
        <v>53</v>
      </c>
      <c r="Q32">
        <f t="shared" si="2"/>
        <v>29</v>
      </c>
      <c r="R32" t="str">
        <f t="shared" si="0"/>
        <v>Excellent</v>
      </c>
      <c r="S32" s="37">
        <f t="shared" si="3"/>
        <v>28</v>
      </c>
      <c r="T32" s="37">
        <f>IF(R32="Excellent",S32,+IF(R32="Satisfactory",S32-((ModifyData!$B$18/100)*S32))+IF(R32="Unsatisfactory",S32-((ModifyData!$B$19/100)*S32)))</f>
        <v>28</v>
      </c>
      <c r="U32">
        <f t="shared" si="4"/>
        <v>1</v>
      </c>
      <c r="V32" s="14">
        <v>0.55000000000000004</v>
      </c>
      <c r="W32" s="37">
        <f t="shared" si="1"/>
        <v>43.400000000000006</v>
      </c>
      <c r="X32" s="37">
        <f t="shared" si="5"/>
        <v>13.000000000000005</v>
      </c>
    </row>
    <row r="33" spans="1:24" x14ac:dyDescent="0.2">
      <c r="A33">
        <v>15033</v>
      </c>
      <c r="B33">
        <v>117</v>
      </c>
      <c r="C33" t="s">
        <v>15</v>
      </c>
      <c r="D33">
        <v>1021</v>
      </c>
      <c r="E33">
        <v>2</v>
      </c>
      <c r="F33" t="s">
        <v>28</v>
      </c>
      <c r="G33" t="s">
        <v>29</v>
      </c>
      <c r="H33" t="s">
        <v>18</v>
      </c>
      <c r="I33">
        <v>1</v>
      </c>
      <c r="J33">
        <v>4</v>
      </c>
      <c r="K33">
        <v>5.75</v>
      </c>
      <c r="L33" s="2">
        <v>39573</v>
      </c>
      <c r="M33" s="2">
        <v>39576</v>
      </c>
      <c r="N33">
        <v>10</v>
      </c>
      <c r="O33" t="s">
        <v>19</v>
      </c>
      <c r="P33" t="s">
        <v>53</v>
      </c>
      <c r="Q33">
        <f t="shared" si="2"/>
        <v>7</v>
      </c>
      <c r="R33" t="str">
        <f t="shared" si="0"/>
        <v>Excellent</v>
      </c>
      <c r="S33" s="37">
        <f t="shared" si="3"/>
        <v>11.5</v>
      </c>
      <c r="T33" s="37">
        <f>IF(R33="Excellent",S33,+IF(R33="Satisfactory",S33-((ModifyData!$B$18/100)*S33))+IF(R33="Unsatisfactory",S33-((ModifyData!$B$19/100)*S33)))</f>
        <v>11.5</v>
      </c>
      <c r="U33">
        <f t="shared" si="4"/>
        <v>2</v>
      </c>
      <c r="V33" s="14">
        <v>0.55000000000000004</v>
      </c>
      <c r="W33" s="37">
        <f t="shared" si="1"/>
        <v>17.824999999999999</v>
      </c>
      <c r="X33" s="37">
        <f t="shared" si="5"/>
        <v>5.9249999999999989</v>
      </c>
    </row>
    <row r="34" spans="1:24" x14ac:dyDescent="0.2">
      <c r="A34">
        <v>15037</v>
      </c>
      <c r="B34">
        <v>117</v>
      </c>
      <c r="C34" t="s">
        <v>15</v>
      </c>
      <c r="D34">
        <v>1012</v>
      </c>
      <c r="E34">
        <v>3</v>
      </c>
      <c r="F34" t="s">
        <v>43</v>
      </c>
      <c r="G34" t="s">
        <v>42</v>
      </c>
      <c r="H34" t="s">
        <v>22</v>
      </c>
      <c r="I34">
        <v>16</v>
      </c>
      <c r="J34">
        <v>24</v>
      </c>
      <c r="K34">
        <v>18</v>
      </c>
      <c r="L34" s="2">
        <v>39575</v>
      </c>
      <c r="M34" s="2">
        <v>39576</v>
      </c>
      <c r="N34">
        <v>30</v>
      </c>
      <c r="O34" t="s">
        <v>19</v>
      </c>
      <c r="P34" t="s">
        <v>53</v>
      </c>
      <c r="Q34">
        <f t="shared" si="2"/>
        <v>29</v>
      </c>
      <c r="R34" t="str">
        <f t="shared" si="0"/>
        <v>Excellent</v>
      </c>
      <c r="S34" s="37">
        <f t="shared" si="3"/>
        <v>54</v>
      </c>
      <c r="T34" s="37">
        <f>IF(R34="Excellent",S34,+IF(R34="Satisfactory",S34-((ModifyData!$B$18/100)*S34))+IF(R34="Unsatisfactory",S34-((ModifyData!$B$19/100)*S34)))</f>
        <v>54</v>
      </c>
      <c r="U34">
        <f t="shared" si="4"/>
        <v>1</v>
      </c>
      <c r="V34" s="14">
        <v>0.55000000000000004</v>
      </c>
      <c r="W34" s="37">
        <f t="shared" si="1"/>
        <v>83.7</v>
      </c>
      <c r="X34" s="37">
        <f t="shared" si="5"/>
        <v>27.300000000000004</v>
      </c>
    </row>
    <row r="35" spans="1:24" x14ac:dyDescent="0.2">
      <c r="A35">
        <v>15055</v>
      </c>
      <c r="B35">
        <v>117</v>
      </c>
      <c r="C35" t="s">
        <v>15</v>
      </c>
      <c r="D35">
        <v>1026</v>
      </c>
      <c r="E35">
        <v>3</v>
      </c>
      <c r="F35" t="s">
        <v>32</v>
      </c>
      <c r="G35" t="s">
        <v>33</v>
      </c>
      <c r="H35" t="s">
        <v>34</v>
      </c>
      <c r="I35">
        <v>1</v>
      </c>
      <c r="J35">
        <v>16</v>
      </c>
      <c r="K35">
        <v>26</v>
      </c>
      <c r="L35" s="2">
        <v>39573</v>
      </c>
      <c r="M35" s="2">
        <v>39576</v>
      </c>
      <c r="N35">
        <v>60</v>
      </c>
      <c r="O35" t="s">
        <v>19</v>
      </c>
      <c r="P35" t="s">
        <v>53</v>
      </c>
      <c r="Q35">
        <f t="shared" si="2"/>
        <v>57</v>
      </c>
      <c r="R35" t="str">
        <f t="shared" si="0"/>
        <v>Excellent</v>
      </c>
      <c r="S35" s="37">
        <f t="shared" si="3"/>
        <v>78</v>
      </c>
      <c r="T35" s="37">
        <f>IF(R35="Excellent",S35,+IF(R35="Satisfactory",S35-((ModifyData!$B$18/100)*S35))+IF(R35="Unsatisfactory",S35-((ModifyData!$B$19/100)*S35)))</f>
        <v>78</v>
      </c>
      <c r="U35">
        <f t="shared" si="4"/>
        <v>3</v>
      </c>
      <c r="V35" s="14">
        <v>0.55000000000000004</v>
      </c>
      <c r="W35" s="37">
        <f t="shared" si="1"/>
        <v>120.9</v>
      </c>
      <c r="X35" s="37">
        <f t="shared" si="5"/>
        <v>41.300000000000004</v>
      </c>
    </row>
    <row r="36" spans="1:24" x14ac:dyDescent="0.2">
      <c r="A36">
        <v>15057</v>
      </c>
      <c r="B36">
        <v>117</v>
      </c>
      <c r="C36" t="s">
        <v>15</v>
      </c>
      <c r="D36">
        <v>1010</v>
      </c>
      <c r="E36">
        <v>3</v>
      </c>
      <c r="F36" t="s">
        <v>44</v>
      </c>
      <c r="G36" t="s">
        <v>21</v>
      </c>
      <c r="H36" t="s">
        <v>22</v>
      </c>
      <c r="I36">
        <v>32</v>
      </c>
      <c r="J36">
        <v>18</v>
      </c>
      <c r="K36">
        <v>20</v>
      </c>
      <c r="L36" s="2">
        <v>39572</v>
      </c>
      <c r="M36" s="2">
        <v>39576</v>
      </c>
      <c r="N36">
        <v>30</v>
      </c>
      <c r="O36" t="s">
        <v>19</v>
      </c>
      <c r="P36" t="s">
        <v>53</v>
      </c>
      <c r="Q36">
        <f t="shared" si="2"/>
        <v>26</v>
      </c>
      <c r="R36" t="str">
        <f t="shared" si="0"/>
        <v>Excellent</v>
      </c>
      <c r="S36" s="37">
        <f t="shared" si="3"/>
        <v>60</v>
      </c>
      <c r="T36" s="37">
        <f>IF(R36="Excellent",S36,+IF(R36="Satisfactory",S36-((ModifyData!$B$18/100)*S36))+IF(R36="Unsatisfactory",S36-((ModifyData!$B$19/100)*S36)))</f>
        <v>60</v>
      </c>
      <c r="U36">
        <f t="shared" si="4"/>
        <v>1</v>
      </c>
      <c r="V36" s="14">
        <v>0.55000000000000004</v>
      </c>
      <c r="W36" s="37">
        <f t="shared" si="1"/>
        <v>93</v>
      </c>
      <c r="X36" s="37">
        <f t="shared" si="5"/>
        <v>31.2</v>
      </c>
    </row>
    <row r="37" spans="1:24" x14ac:dyDescent="0.2">
      <c r="A37">
        <v>15113</v>
      </c>
      <c r="B37">
        <v>117</v>
      </c>
      <c r="C37" t="s">
        <v>15</v>
      </c>
      <c r="D37">
        <v>1014</v>
      </c>
      <c r="E37">
        <v>2</v>
      </c>
      <c r="F37" t="s">
        <v>30</v>
      </c>
      <c r="G37" t="s">
        <v>31</v>
      </c>
      <c r="H37" t="s">
        <v>18</v>
      </c>
      <c r="I37">
        <v>0.5</v>
      </c>
      <c r="J37">
        <v>12</v>
      </c>
      <c r="K37">
        <v>10</v>
      </c>
      <c r="L37" s="2">
        <v>39580</v>
      </c>
      <c r="M37" s="2">
        <v>39583</v>
      </c>
      <c r="N37">
        <v>12</v>
      </c>
      <c r="O37" t="s">
        <v>19</v>
      </c>
      <c r="P37" t="s">
        <v>53</v>
      </c>
      <c r="Q37">
        <f t="shared" si="2"/>
        <v>9</v>
      </c>
      <c r="R37" t="str">
        <f t="shared" si="0"/>
        <v>Excellent</v>
      </c>
      <c r="S37" s="37">
        <f t="shared" si="3"/>
        <v>20</v>
      </c>
      <c r="T37" s="37">
        <f>IF(R37="Excellent",S37,+IF(R37="Satisfactory",S37-((ModifyData!$B$18/100)*S37))+IF(R37="Unsatisfactory",S37-((ModifyData!$B$19/100)*S37)))</f>
        <v>20</v>
      </c>
      <c r="U37">
        <f t="shared" si="4"/>
        <v>2</v>
      </c>
      <c r="V37" s="14">
        <v>0.55000000000000004</v>
      </c>
      <c r="W37" s="37">
        <f t="shared" si="1"/>
        <v>31</v>
      </c>
      <c r="X37" s="37">
        <f t="shared" si="5"/>
        <v>9.8000000000000007</v>
      </c>
    </row>
    <row r="38" spans="1:24" x14ac:dyDescent="0.2">
      <c r="A38">
        <v>15164</v>
      </c>
      <c r="B38">
        <v>117</v>
      </c>
      <c r="C38" t="s">
        <v>15</v>
      </c>
      <c r="D38">
        <v>1023</v>
      </c>
      <c r="E38">
        <v>2</v>
      </c>
      <c r="F38" t="s">
        <v>38</v>
      </c>
      <c r="G38" t="s">
        <v>36</v>
      </c>
      <c r="H38" t="s">
        <v>18</v>
      </c>
      <c r="I38">
        <v>0.5</v>
      </c>
      <c r="J38">
        <v>12</v>
      </c>
      <c r="K38">
        <v>10</v>
      </c>
      <c r="L38" s="2">
        <v>39585</v>
      </c>
      <c r="M38" s="2">
        <v>39586</v>
      </c>
      <c r="N38">
        <v>9</v>
      </c>
      <c r="O38" t="s">
        <v>19</v>
      </c>
      <c r="P38" t="s">
        <v>53</v>
      </c>
      <c r="Q38">
        <f t="shared" si="2"/>
        <v>8</v>
      </c>
      <c r="R38" t="str">
        <f t="shared" si="0"/>
        <v>Excellent</v>
      </c>
      <c r="S38" s="37">
        <f t="shared" si="3"/>
        <v>20</v>
      </c>
      <c r="T38" s="37">
        <f>IF(R38="Excellent",S38,+IF(R38="Satisfactory",S38-((ModifyData!$B$18/100)*S38))+IF(R38="Unsatisfactory",S38-((ModifyData!$B$19/100)*S38)))</f>
        <v>20</v>
      </c>
      <c r="U38">
        <f t="shared" si="4"/>
        <v>2</v>
      </c>
      <c r="V38" s="14">
        <v>0.55000000000000004</v>
      </c>
      <c r="W38" s="37">
        <f t="shared" si="1"/>
        <v>31</v>
      </c>
      <c r="X38" s="37">
        <f t="shared" si="5"/>
        <v>9.8000000000000007</v>
      </c>
    </row>
    <row r="39" spans="1:24" x14ac:dyDescent="0.2">
      <c r="A39">
        <v>15171</v>
      </c>
      <c r="B39">
        <v>117</v>
      </c>
      <c r="C39" t="s">
        <v>15</v>
      </c>
      <c r="D39">
        <v>1027</v>
      </c>
      <c r="E39">
        <v>1</v>
      </c>
      <c r="F39" t="s">
        <v>40</v>
      </c>
      <c r="G39" t="s">
        <v>33</v>
      </c>
      <c r="H39" t="s">
        <v>34</v>
      </c>
      <c r="I39">
        <v>0.5</v>
      </c>
      <c r="J39">
        <v>16</v>
      </c>
      <c r="K39">
        <v>20</v>
      </c>
      <c r="L39" s="2">
        <v>39586</v>
      </c>
      <c r="M39" s="2">
        <v>39590</v>
      </c>
      <c r="N39">
        <v>60</v>
      </c>
      <c r="O39" t="s">
        <v>19</v>
      </c>
      <c r="P39" t="s">
        <v>53</v>
      </c>
      <c r="Q39">
        <f t="shared" si="2"/>
        <v>56</v>
      </c>
      <c r="R39" t="str">
        <f t="shared" si="0"/>
        <v>Excellent</v>
      </c>
      <c r="S39" s="37">
        <f t="shared" si="3"/>
        <v>20</v>
      </c>
      <c r="T39" s="37">
        <f>IF(R39="Excellent",S39,+IF(R39="Satisfactory",S39-((ModifyData!$B$18/100)*S39))+IF(R39="Unsatisfactory",S39-((ModifyData!$B$19/100)*S39)))</f>
        <v>20</v>
      </c>
      <c r="U39">
        <f t="shared" si="4"/>
        <v>3</v>
      </c>
      <c r="V39" s="14">
        <v>0.55000000000000004</v>
      </c>
      <c r="W39" s="37">
        <f t="shared" si="1"/>
        <v>31</v>
      </c>
      <c r="X39" s="37">
        <f t="shared" si="5"/>
        <v>9.4</v>
      </c>
    </row>
    <row r="40" spans="1:24" x14ac:dyDescent="0.2">
      <c r="A40">
        <v>15181</v>
      </c>
      <c r="B40">
        <v>117</v>
      </c>
      <c r="C40" t="s">
        <v>15</v>
      </c>
      <c r="D40">
        <v>1027</v>
      </c>
      <c r="E40">
        <v>1</v>
      </c>
      <c r="F40" t="s">
        <v>40</v>
      </c>
      <c r="G40" t="s">
        <v>33</v>
      </c>
      <c r="H40" t="s">
        <v>34</v>
      </c>
      <c r="I40">
        <v>0.5</v>
      </c>
      <c r="J40">
        <v>16</v>
      </c>
      <c r="K40">
        <v>20</v>
      </c>
      <c r="L40" s="2">
        <v>39588</v>
      </c>
      <c r="M40" s="2">
        <v>39590</v>
      </c>
      <c r="N40">
        <v>60</v>
      </c>
      <c r="O40" t="s">
        <v>19</v>
      </c>
      <c r="P40" t="s">
        <v>53</v>
      </c>
      <c r="Q40">
        <f t="shared" si="2"/>
        <v>58</v>
      </c>
      <c r="R40" t="str">
        <f t="shared" si="0"/>
        <v>Excellent</v>
      </c>
      <c r="S40" s="37">
        <f t="shared" si="3"/>
        <v>20</v>
      </c>
      <c r="T40" s="37">
        <f>IF(R40="Excellent",S40,+IF(R40="Satisfactory",S40-((ModifyData!$B$18/100)*S40))+IF(R40="Unsatisfactory",S40-((ModifyData!$B$19/100)*S40)))</f>
        <v>20</v>
      </c>
      <c r="U40">
        <f t="shared" si="4"/>
        <v>3</v>
      </c>
      <c r="V40" s="14">
        <v>0.55000000000000004</v>
      </c>
      <c r="W40" s="37">
        <f t="shared" si="1"/>
        <v>31</v>
      </c>
      <c r="X40" s="37">
        <f t="shared" si="5"/>
        <v>9.4</v>
      </c>
    </row>
    <row r="41" spans="1:24" x14ac:dyDescent="0.2">
      <c r="A41">
        <v>15194</v>
      </c>
      <c r="B41">
        <v>117</v>
      </c>
      <c r="C41" t="s">
        <v>15</v>
      </c>
      <c r="D41">
        <v>1011</v>
      </c>
      <c r="E41">
        <v>2</v>
      </c>
      <c r="F41" t="s">
        <v>41</v>
      </c>
      <c r="G41" t="s">
        <v>42</v>
      </c>
      <c r="H41" t="s">
        <v>22</v>
      </c>
      <c r="I41">
        <v>8</v>
      </c>
      <c r="J41">
        <v>24</v>
      </c>
      <c r="K41">
        <v>14</v>
      </c>
      <c r="L41" s="2">
        <v>39588</v>
      </c>
      <c r="M41" s="2">
        <v>39590</v>
      </c>
      <c r="N41">
        <v>30</v>
      </c>
      <c r="O41" t="s">
        <v>19</v>
      </c>
      <c r="P41" t="s">
        <v>53</v>
      </c>
      <c r="Q41">
        <f t="shared" si="2"/>
        <v>28</v>
      </c>
      <c r="R41" t="str">
        <f t="shared" si="0"/>
        <v>Excellent</v>
      </c>
      <c r="S41" s="37">
        <f t="shared" si="3"/>
        <v>28</v>
      </c>
      <c r="T41" s="37">
        <f>IF(R41="Excellent",S41,+IF(R41="Satisfactory",S41-((ModifyData!$B$18/100)*S41))+IF(R41="Unsatisfactory",S41-((ModifyData!$B$19/100)*S41)))</f>
        <v>28</v>
      </c>
      <c r="U41">
        <f t="shared" si="4"/>
        <v>1</v>
      </c>
      <c r="V41" s="14">
        <v>0.55000000000000004</v>
      </c>
      <c r="W41" s="37">
        <f t="shared" si="1"/>
        <v>43.400000000000006</v>
      </c>
      <c r="X41" s="37">
        <f t="shared" si="5"/>
        <v>13.000000000000005</v>
      </c>
    </row>
    <row r="42" spans="1:24" x14ac:dyDescent="0.2">
      <c r="A42">
        <v>15232</v>
      </c>
      <c r="B42">
        <v>117</v>
      </c>
      <c r="C42" t="s">
        <v>15</v>
      </c>
      <c r="D42">
        <v>1021</v>
      </c>
      <c r="E42">
        <v>2</v>
      </c>
      <c r="F42" t="s">
        <v>28</v>
      </c>
      <c r="G42" t="s">
        <v>29</v>
      </c>
      <c r="H42" t="s">
        <v>18</v>
      </c>
      <c r="I42">
        <v>1</v>
      </c>
      <c r="J42">
        <v>4</v>
      </c>
      <c r="K42">
        <v>5.75</v>
      </c>
      <c r="L42" s="2">
        <v>39585</v>
      </c>
      <c r="M42" s="2">
        <v>39587</v>
      </c>
      <c r="N42">
        <v>10</v>
      </c>
      <c r="O42" t="s">
        <v>19</v>
      </c>
      <c r="P42" t="s">
        <v>53</v>
      </c>
      <c r="Q42">
        <f t="shared" si="2"/>
        <v>8</v>
      </c>
      <c r="R42" t="str">
        <f t="shared" si="0"/>
        <v>Excellent</v>
      </c>
      <c r="S42" s="37">
        <f t="shared" si="3"/>
        <v>11.5</v>
      </c>
      <c r="T42" s="37">
        <f>IF(R42="Excellent",S42,+IF(R42="Satisfactory",S42-((ModifyData!$B$18/100)*S42))+IF(R42="Unsatisfactory",S42-((ModifyData!$B$19/100)*S42)))</f>
        <v>11.5</v>
      </c>
      <c r="U42">
        <f t="shared" si="4"/>
        <v>2</v>
      </c>
      <c r="V42" s="14">
        <v>0.55000000000000004</v>
      </c>
      <c r="W42" s="37">
        <f t="shared" si="1"/>
        <v>17.824999999999999</v>
      </c>
      <c r="X42" s="37">
        <f t="shared" si="5"/>
        <v>5.9249999999999989</v>
      </c>
    </row>
    <row r="43" spans="1:24" x14ac:dyDescent="0.2">
      <c r="A43">
        <v>15236</v>
      </c>
      <c r="B43">
        <v>117</v>
      </c>
      <c r="C43" t="s">
        <v>15</v>
      </c>
      <c r="D43">
        <v>1012</v>
      </c>
      <c r="E43">
        <v>3</v>
      </c>
      <c r="F43" t="s">
        <v>43</v>
      </c>
      <c r="G43" t="s">
        <v>42</v>
      </c>
      <c r="H43" t="s">
        <v>22</v>
      </c>
      <c r="I43">
        <v>16</v>
      </c>
      <c r="J43">
        <v>24</v>
      </c>
      <c r="K43">
        <v>18</v>
      </c>
      <c r="L43" s="2">
        <v>39585</v>
      </c>
      <c r="M43" s="2">
        <v>39587</v>
      </c>
      <c r="N43">
        <v>30</v>
      </c>
      <c r="O43" t="s">
        <v>19</v>
      </c>
      <c r="P43" t="s">
        <v>53</v>
      </c>
      <c r="Q43">
        <f t="shared" si="2"/>
        <v>28</v>
      </c>
      <c r="R43" t="str">
        <f t="shared" si="0"/>
        <v>Excellent</v>
      </c>
      <c r="S43" s="37">
        <f t="shared" si="3"/>
        <v>54</v>
      </c>
      <c r="T43" s="37">
        <f>IF(R43="Excellent",S43,+IF(R43="Satisfactory",S43-((ModifyData!$B$18/100)*S43))+IF(R43="Unsatisfactory",S43-((ModifyData!$B$19/100)*S43)))</f>
        <v>54</v>
      </c>
      <c r="U43">
        <f t="shared" si="4"/>
        <v>1</v>
      </c>
      <c r="V43" s="14">
        <v>0.55000000000000004</v>
      </c>
      <c r="W43" s="37">
        <f t="shared" si="1"/>
        <v>83.7</v>
      </c>
      <c r="X43" s="37">
        <f t="shared" si="5"/>
        <v>27.300000000000004</v>
      </c>
    </row>
    <row r="44" spans="1:24" x14ac:dyDescent="0.2">
      <c r="A44">
        <v>15254</v>
      </c>
      <c r="B44">
        <v>117</v>
      </c>
      <c r="C44" t="s">
        <v>15</v>
      </c>
      <c r="D44">
        <v>1026</v>
      </c>
      <c r="E44">
        <v>3</v>
      </c>
      <c r="F44" t="s">
        <v>32</v>
      </c>
      <c r="G44" t="s">
        <v>33</v>
      </c>
      <c r="H44" t="s">
        <v>34</v>
      </c>
      <c r="I44">
        <v>1</v>
      </c>
      <c r="J44">
        <v>16</v>
      </c>
      <c r="K44">
        <v>26</v>
      </c>
      <c r="L44" s="2">
        <v>39585</v>
      </c>
      <c r="M44" s="2">
        <v>39587</v>
      </c>
      <c r="N44">
        <v>60</v>
      </c>
      <c r="O44" t="s">
        <v>19</v>
      </c>
      <c r="P44" t="s">
        <v>53</v>
      </c>
      <c r="Q44">
        <f t="shared" si="2"/>
        <v>58</v>
      </c>
      <c r="R44" t="str">
        <f t="shared" si="0"/>
        <v>Excellent</v>
      </c>
      <c r="S44" s="37">
        <f t="shared" si="3"/>
        <v>78</v>
      </c>
      <c r="T44" s="37">
        <f>IF(R44="Excellent",S44,+IF(R44="Satisfactory",S44-((ModifyData!$B$18/100)*S44))+IF(R44="Unsatisfactory",S44-((ModifyData!$B$19/100)*S44)))</f>
        <v>78</v>
      </c>
      <c r="U44">
        <f t="shared" si="4"/>
        <v>3</v>
      </c>
      <c r="V44" s="14">
        <v>0.55000000000000004</v>
      </c>
      <c r="W44" s="37">
        <f t="shared" si="1"/>
        <v>120.9</v>
      </c>
      <c r="X44" s="37">
        <f t="shared" si="5"/>
        <v>41.300000000000004</v>
      </c>
    </row>
    <row r="45" spans="1:24" x14ac:dyDescent="0.2">
      <c r="A45">
        <v>15256</v>
      </c>
      <c r="B45">
        <v>117</v>
      </c>
      <c r="C45" t="s">
        <v>15</v>
      </c>
      <c r="D45">
        <v>1010</v>
      </c>
      <c r="E45">
        <v>3</v>
      </c>
      <c r="F45" t="s">
        <v>44</v>
      </c>
      <c r="G45" t="s">
        <v>21</v>
      </c>
      <c r="H45" t="s">
        <v>22</v>
      </c>
      <c r="I45">
        <v>32</v>
      </c>
      <c r="J45">
        <v>18</v>
      </c>
      <c r="K45">
        <v>20</v>
      </c>
      <c r="L45" s="2">
        <v>39584</v>
      </c>
      <c r="M45" s="2">
        <v>39587</v>
      </c>
      <c r="N45">
        <v>30</v>
      </c>
      <c r="O45" t="s">
        <v>19</v>
      </c>
      <c r="P45" t="s">
        <v>53</v>
      </c>
      <c r="Q45">
        <f t="shared" si="2"/>
        <v>27</v>
      </c>
      <c r="R45" t="str">
        <f t="shared" si="0"/>
        <v>Excellent</v>
      </c>
      <c r="S45" s="37">
        <f t="shared" si="3"/>
        <v>60</v>
      </c>
      <c r="T45" s="37">
        <f>IF(R45="Excellent",S45,+IF(R45="Satisfactory",S45-((ModifyData!$B$18/100)*S45))+IF(R45="Unsatisfactory",S45-((ModifyData!$B$19/100)*S45)))</f>
        <v>60</v>
      </c>
      <c r="U45">
        <f t="shared" si="4"/>
        <v>1</v>
      </c>
      <c r="V45" s="14">
        <v>0.55000000000000004</v>
      </c>
      <c r="W45" s="37">
        <f t="shared" si="1"/>
        <v>93</v>
      </c>
      <c r="X45" s="37">
        <f t="shared" si="5"/>
        <v>31.2</v>
      </c>
    </row>
    <row r="46" spans="1:24" x14ac:dyDescent="0.2">
      <c r="A46">
        <v>15312</v>
      </c>
      <c r="B46">
        <v>117</v>
      </c>
      <c r="C46" t="s">
        <v>15</v>
      </c>
      <c r="D46">
        <v>1014</v>
      </c>
      <c r="E46">
        <v>2</v>
      </c>
      <c r="F46" t="s">
        <v>30</v>
      </c>
      <c r="G46" t="s">
        <v>31</v>
      </c>
      <c r="H46" t="s">
        <v>18</v>
      </c>
      <c r="I46">
        <v>0.5</v>
      </c>
      <c r="J46">
        <v>12</v>
      </c>
      <c r="K46">
        <v>10</v>
      </c>
      <c r="L46" s="2">
        <v>39592</v>
      </c>
      <c r="M46" s="2">
        <v>39593</v>
      </c>
      <c r="N46">
        <v>12</v>
      </c>
      <c r="O46" t="s">
        <v>19</v>
      </c>
      <c r="P46" t="s">
        <v>53</v>
      </c>
      <c r="Q46">
        <f t="shared" si="2"/>
        <v>11</v>
      </c>
      <c r="R46" t="str">
        <f t="shared" si="0"/>
        <v>Excellent</v>
      </c>
      <c r="S46" s="37">
        <f t="shared" si="3"/>
        <v>20</v>
      </c>
      <c r="T46" s="37">
        <f>IF(R46="Excellent",S46,+IF(R46="Satisfactory",S46-((ModifyData!$B$18/100)*S46))+IF(R46="Unsatisfactory",S46-((ModifyData!$B$19/100)*S46)))</f>
        <v>20</v>
      </c>
      <c r="U46">
        <f t="shared" si="4"/>
        <v>2</v>
      </c>
      <c r="V46" s="14">
        <v>0.55000000000000004</v>
      </c>
      <c r="W46" s="37">
        <f t="shared" si="1"/>
        <v>31</v>
      </c>
      <c r="X46" s="37">
        <f t="shared" si="5"/>
        <v>9.8000000000000007</v>
      </c>
    </row>
    <row r="47" spans="1:24" x14ac:dyDescent="0.2">
      <c r="A47">
        <v>15363</v>
      </c>
      <c r="B47">
        <v>117</v>
      </c>
      <c r="C47" t="s">
        <v>15</v>
      </c>
      <c r="D47">
        <v>1023</v>
      </c>
      <c r="E47">
        <v>2</v>
      </c>
      <c r="F47" t="s">
        <v>38</v>
      </c>
      <c r="G47" t="s">
        <v>36</v>
      </c>
      <c r="H47" t="s">
        <v>18</v>
      </c>
      <c r="I47">
        <v>0.5</v>
      </c>
      <c r="J47">
        <v>12</v>
      </c>
      <c r="K47">
        <v>10</v>
      </c>
      <c r="L47" s="2">
        <v>39597</v>
      </c>
      <c r="M47" s="2">
        <v>39598</v>
      </c>
      <c r="N47">
        <v>9</v>
      </c>
      <c r="O47" t="s">
        <v>19</v>
      </c>
      <c r="P47" t="s">
        <v>53</v>
      </c>
      <c r="Q47">
        <f t="shared" si="2"/>
        <v>8</v>
      </c>
      <c r="R47" t="str">
        <f t="shared" si="0"/>
        <v>Excellent</v>
      </c>
      <c r="S47" s="37">
        <f t="shared" si="3"/>
        <v>20</v>
      </c>
      <c r="T47" s="37">
        <f>IF(R47="Excellent",S47,+IF(R47="Satisfactory",S47-((ModifyData!$B$18/100)*S47))+IF(R47="Unsatisfactory",S47-((ModifyData!$B$19/100)*S47)))</f>
        <v>20</v>
      </c>
      <c r="U47">
        <f t="shared" si="4"/>
        <v>2</v>
      </c>
      <c r="V47" s="14">
        <v>0.55000000000000004</v>
      </c>
      <c r="W47" s="37">
        <f t="shared" si="1"/>
        <v>31</v>
      </c>
      <c r="X47" s="37">
        <f t="shared" si="5"/>
        <v>9.8000000000000007</v>
      </c>
    </row>
    <row r="48" spans="1:24" x14ac:dyDescent="0.2">
      <c r="A48">
        <v>14963</v>
      </c>
      <c r="B48">
        <v>126</v>
      </c>
      <c r="C48" t="s">
        <v>45</v>
      </c>
      <c r="D48">
        <v>1028</v>
      </c>
      <c r="E48">
        <v>1</v>
      </c>
      <c r="F48" t="s">
        <v>46</v>
      </c>
      <c r="G48" t="s">
        <v>47</v>
      </c>
      <c r="H48" t="s">
        <v>34</v>
      </c>
      <c r="I48">
        <v>0.5</v>
      </c>
      <c r="J48">
        <v>20</v>
      </c>
      <c r="K48">
        <v>20.5</v>
      </c>
      <c r="L48" s="2">
        <v>39568</v>
      </c>
      <c r="M48" s="2">
        <v>39569</v>
      </c>
      <c r="N48">
        <v>60</v>
      </c>
      <c r="O48" t="s">
        <v>19</v>
      </c>
      <c r="P48" t="s">
        <v>53</v>
      </c>
      <c r="Q48">
        <f t="shared" si="2"/>
        <v>59</v>
      </c>
      <c r="R48" t="str">
        <f t="shared" si="0"/>
        <v>Excellent</v>
      </c>
      <c r="S48" s="37">
        <f t="shared" si="3"/>
        <v>20.5</v>
      </c>
      <c r="T48" s="37">
        <f>IF(R48="Excellent",S48,+IF(R48="Satisfactory",S48-((ModifyData!$B$18/100)*S48))+IF(R48="Unsatisfactory",S48-((ModifyData!$B$19/100)*S48)))</f>
        <v>20.5</v>
      </c>
      <c r="U48">
        <f t="shared" si="4"/>
        <v>3</v>
      </c>
      <c r="V48" s="14">
        <v>0.55000000000000004</v>
      </c>
      <c r="W48" s="37">
        <f t="shared" si="1"/>
        <v>31.774999999999999</v>
      </c>
      <c r="X48" s="37">
        <f t="shared" si="5"/>
        <v>9.2749999999999986</v>
      </c>
    </row>
    <row r="49" spans="1:24" x14ac:dyDescent="0.2">
      <c r="A49">
        <v>14966</v>
      </c>
      <c r="B49">
        <v>126</v>
      </c>
      <c r="C49" t="s">
        <v>45</v>
      </c>
      <c r="D49">
        <v>1020</v>
      </c>
      <c r="E49">
        <v>3</v>
      </c>
      <c r="F49" t="s">
        <v>48</v>
      </c>
      <c r="G49" t="s">
        <v>29</v>
      </c>
      <c r="H49" t="s">
        <v>18</v>
      </c>
      <c r="I49">
        <v>0.5</v>
      </c>
      <c r="J49">
        <v>12</v>
      </c>
      <c r="K49">
        <v>10</v>
      </c>
      <c r="L49" s="2">
        <v>39568</v>
      </c>
      <c r="M49" s="2">
        <v>39569</v>
      </c>
      <c r="N49">
        <v>10</v>
      </c>
      <c r="O49" t="s">
        <v>19</v>
      </c>
      <c r="P49" t="s">
        <v>53</v>
      </c>
      <c r="Q49">
        <f t="shared" si="2"/>
        <v>9</v>
      </c>
      <c r="R49" t="str">
        <f t="shared" si="0"/>
        <v>Excellent</v>
      </c>
      <c r="S49" s="37">
        <f t="shared" si="3"/>
        <v>30</v>
      </c>
      <c r="T49" s="37">
        <f>IF(R49="Excellent",S49,+IF(R49="Satisfactory",S49-((ModifyData!$B$18/100)*S49))+IF(R49="Unsatisfactory",S49-((ModifyData!$B$19/100)*S49)))</f>
        <v>30</v>
      </c>
      <c r="U49">
        <f t="shared" si="4"/>
        <v>2</v>
      </c>
      <c r="V49" s="14">
        <v>0.55000000000000004</v>
      </c>
      <c r="W49" s="37">
        <f t="shared" si="1"/>
        <v>46.5</v>
      </c>
      <c r="X49" s="37">
        <f t="shared" si="5"/>
        <v>15.3</v>
      </c>
    </row>
    <row r="50" spans="1:24" x14ac:dyDescent="0.2">
      <c r="A50">
        <v>14981</v>
      </c>
      <c r="B50">
        <v>126</v>
      </c>
      <c r="C50" t="s">
        <v>45</v>
      </c>
      <c r="D50">
        <v>1021</v>
      </c>
      <c r="E50">
        <v>2</v>
      </c>
      <c r="F50" t="s">
        <v>28</v>
      </c>
      <c r="G50" t="s">
        <v>29</v>
      </c>
      <c r="H50" t="s">
        <v>18</v>
      </c>
      <c r="I50">
        <v>1</v>
      </c>
      <c r="J50">
        <v>4</v>
      </c>
      <c r="K50">
        <v>5.75</v>
      </c>
      <c r="L50" s="2">
        <v>39571</v>
      </c>
      <c r="M50" s="2">
        <v>39572</v>
      </c>
      <c r="N50">
        <v>10</v>
      </c>
      <c r="O50" t="s">
        <v>19</v>
      </c>
      <c r="P50" t="s">
        <v>53</v>
      </c>
      <c r="Q50">
        <f t="shared" si="2"/>
        <v>9</v>
      </c>
      <c r="R50" t="str">
        <f t="shared" si="0"/>
        <v>Excellent</v>
      </c>
      <c r="S50" s="37">
        <f t="shared" si="3"/>
        <v>11.5</v>
      </c>
      <c r="T50" s="37">
        <f>IF(R50="Excellent",S50,+IF(R50="Satisfactory",S50-((ModifyData!$B$18/100)*S50))+IF(R50="Unsatisfactory",S50-((ModifyData!$B$19/100)*S50)))</f>
        <v>11.5</v>
      </c>
      <c r="U50">
        <f t="shared" si="4"/>
        <v>2</v>
      </c>
      <c r="V50" s="14">
        <v>0.55000000000000004</v>
      </c>
      <c r="W50" s="37">
        <f t="shared" si="1"/>
        <v>17.824999999999999</v>
      </c>
      <c r="X50" s="37">
        <f t="shared" si="5"/>
        <v>5.9249999999999989</v>
      </c>
    </row>
    <row r="51" spans="1:24" x14ac:dyDescent="0.2">
      <c r="A51">
        <v>14997</v>
      </c>
      <c r="B51">
        <v>126</v>
      </c>
      <c r="C51" t="s">
        <v>45</v>
      </c>
      <c r="D51">
        <v>1015</v>
      </c>
      <c r="E51">
        <v>2</v>
      </c>
      <c r="F51" t="s">
        <v>49</v>
      </c>
      <c r="G51" t="s">
        <v>31</v>
      </c>
      <c r="H51" t="s">
        <v>18</v>
      </c>
      <c r="I51">
        <v>1</v>
      </c>
      <c r="J51">
        <v>4</v>
      </c>
      <c r="K51">
        <v>5.75</v>
      </c>
      <c r="L51" s="2">
        <v>39573</v>
      </c>
      <c r="M51" s="2">
        <v>39576</v>
      </c>
      <c r="N51">
        <v>12</v>
      </c>
      <c r="O51" t="s">
        <v>19</v>
      </c>
      <c r="P51" t="s">
        <v>53</v>
      </c>
      <c r="Q51">
        <f t="shared" si="2"/>
        <v>9</v>
      </c>
      <c r="R51" t="str">
        <f t="shared" si="0"/>
        <v>Excellent</v>
      </c>
      <c r="S51" s="37">
        <f t="shared" si="3"/>
        <v>11.5</v>
      </c>
      <c r="T51" s="37">
        <f>IF(R51="Excellent",S51,+IF(R51="Satisfactory",S51-((ModifyData!$B$18/100)*S51))+IF(R51="Unsatisfactory",S51-((ModifyData!$B$19/100)*S51)))</f>
        <v>11.5</v>
      </c>
      <c r="U51">
        <f t="shared" si="4"/>
        <v>2</v>
      </c>
      <c r="V51" s="14">
        <v>0.55000000000000004</v>
      </c>
      <c r="W51" s="37">
        <f t="shared" si="1"/>
        <v>17.824999999999999</v>
      </c>
      <c r="X51" s="37">
        <f t="shared" si="5"/>
        <v>5.9249999999999989</v>
      </c>
    </row>
    <row r="52" spans="1:24" x14ac:dyDescent="0.2">
      <c r="A52">
        <v>15149</v>
      </c>
      <c r="B52">
        <v>126</v>
      </c>
      <c r="C52" t="s">
        <v>45</v>
      </c>
      <c r="D52">
        <v>1026</v>
      </c>
      <c r="E52">
        <v>2</v>
      </c>
      <c r="F52" t="s">
        <v>32</v>
      </c>
      <c r="G52" t="s">
        <v>33</v>
      </c>
      <c r="H52" t="s">
        <v>34</v>
      </c>
      <c r="I52">
        <v>1</v>
      </c>
      <c r="J52">
        <v>16</v>
      </c>
      <c r="K52">
        <v>26</v>
      </c>
      <c r="L52" s="2">
        <v>39583</v>
      </c>
      <c r="M52" s="2">
        <v>39586</v>
      </c>
      <c r="N52">
        <v>60</v>
      </c>
      <c r="O52" t="s">
        <v>19</v>
      </c>
      <c r="P52" t="s">
        <v>53</v>
      </c>
      <c r="Q52">
        <f t="shared" si="2"/>
        <v>57</v>
      </c>
      <c r="R52" t="str">
        <f t="shared" si="0"/>
        <v>Excellent</v>
      </c>
      <c r="S52" s="37">
        <f t="shared" si="3"/>
        <v>52</v>
      </c>
      <c r="T52" s="37">
        <f>IF(R52="Excellent",S52,+IF(R52="Satisfactory",S52-((ModifyData!$B$18/100)*S52))+IF(R52="Unsatisfactory",S52-((ModifyData!$B$19/100)*S52)))</f>
        <v>52</v>
      </c>
      <c r="U52">
        <f t="shared" si="4"/>
        <v>3</v>
      </c>
      <c r="V52" s="14">
        <v>0.55000000000000004</v>
      </c>
      <c r="W52" s="37">
        <f t="shared" si="1"/>
        <v>80.599999999999994</v>
      </c>
      <c r="X52" s="37">
        <f t="shared" si="5"/>
        <v>26.999999999999993</v>
      </c>
    </row>
    <row r="53" spans="1:24" x14ac:dyDescent="0.2">
      <c r="A53">
        <v>15162</v>
      </c>
      <c r="B53">
        <v>126</v>
      </c>
      <c r="C53" t="s">
        <v>45</v>
      </c>
      <c r="D53">
        <v>1028</v>
      </c>
      <c r="E53">
        <v>1</v>
      </c>
      <c r="F53" t="s">
        <v>46</v>
      </c>
      <c r="G53" t="s">
        <v>47</v>
      </c>
      <c r="H53" t="s">
        <v>34</v>
      </c>
      <c r="I53">
        <v>0.5</v>
      </c>
      <c r="J53">
        <v>20</v>
      </c>
      <c r="K53">
        <v>20.5</v>
      </c>
      <c r="L53" s="2">
        <v>39582</v>
      </c>
      <c r="M53" s="2">
        <v>39586</v>
      </c>
      <c r="N53">
        <v>60</v>
      </c>
      <c r="O53" t="s">
        <v>19</v>
      </c>
      <c r="P53" t="s">
        <v>53</v>
      </c>
      <c r="Q53">
        <f t="shared" si="2"/>
        <v>56</v>
      </c>
      <c r="R53" t="str">
        <f t="shared" si="0"/>
        <v>Excellent</v>
      </c>
      <c r="S53" s="37">
        <f t="shared" si="3"/>
        <v>20.5</v>
      </c>
      <c r="T53" s="37">
        <f>IF(R53="Excellent",S53,+IF(R53="Satisfactory",S53-((ModifyData!$B$18/100)*S53))+IF(R53="Unsatisfactory",S53-((ModifyData!$B$19/100)*S53)))</f>
        <v>20.5</v>
      </c>
      <c r="U53">
        <f t="shared" si="4"/>
        <v>3</v>
      </c>
      <c r="V53" s="14">
        <v>0.55000000000000004</v>
      </c>
      <c r="W53" s="37">
        <f t="shared" si="1"/>
        <v>31.774999999999999</v>
      </c>
      <c r="X53" s="37">
        <f t="shared" si="5"/>
        <v>9.2749999999999986</v>
      </c>
    </row>
    <row r="54" spans="1:24" x14ac:dyDescent="0.2">
      <c r="A54">
        <v>15165</v>
      </c>
      <c r="B54">
        <v>126</v>
      </c>
      <c r="C54" t="s">
        <v>45</v>
      </c>
      <c r="D54">
        <v>1020</v>
      </c>
      <c r="E54">
        <v>3</v>
      </c>
      <c r="F54" t="s">
        <v>48</v>
      </c>
      <c r="G54" t="s">
        <v>29</v>
      </c>
      <c r="H54" t="s">
        <v>18</v>
      </c>
      <c r="I54">
        <v>0.5</v>
      </c>
      <c r="J54">
        <v>12</v>
      </c>
      <c r="K54">
        <v>10</v>
      </c>
      <c r="L54" s="2">
        <v>39585</v>
      </c>
      <c r="M54" s="2">
        <v>39586</v>
      </c>
      <c r="N54">
        <v>10</v>
      </c>
      <c r="O54" t="s">
        <v>19</v>
      </c>
      <c r="P54" t="s">
        <v>53</v>
      </c>
      <c r="Q54">
        <f t="shared" si="2"/>
        <v>9</v>
      </c>
      <c r="R54" t="str">
        <f t="shared" si="0"/>
        <v>Excellent</v>
      </c>
      <c r="S54" s="37">
        <f t="shared" si="3"/>
        <v>30</v>
      </c>
      <c r="T54" s="37">
        <f>IF(R54="Excellent",S54,+IF(R54="Satisfactory",S54-((ModifyData!$B$18/100)*S54))+IF(R54="Unsatisfactory",S54-((ModifyData!$B$19/100)*S54)))</f>
        <v>30</v>
      </c>
      <c r="U54">
        <f t="shared" si="4"/>
        <v>2</v>
      </c>
      <c r="V54" s="14">
        <v>0.55000000000000004</v>
      </c>
      <c r="W54" s="37">
        <f t="shared" si="1"/>
        <v>46.5</v>
      </c>
      <c r="X54" s="37">
        <f t="shared" si="5"/>
        <v>15.3</v>
      </c>
    </row>
    <row r="55" spans="1:24" x14ac:dyDescent="0.2">
      <c r="A55">
        <v>15180</v>
      </c>
      <c r="B55">
        <v>126</v>
      </c>
      <c r="C55" t="s">
        <v>45</v>
      </c>
      <c r="D55">
        <v>1021</v>
      </c>
      <c r="E55">
        <v>2</v>
      </c>
      <c r="F55" t="s">
        <v>28</v>
      </c>
      <c r="G55" t="s">
        <v>29</v>
      </c>
      <c r="H55" t="s">
        <v>18</v>
      </c>
      <c r="I55">
        <v>1</v>
      </c>
      <c r="J55">
        <v>4</v>
      </c>
      <c r="K55">
        <v>5.75</v>
      </c>
      <c r="L55" s="2">
        <v>39588</v>
      </c>
      <c r="M55" s="2">
        <v>39590</v>
      </c>
      <c r="N55">
        <v>10</v>
      </c>
      <c r="O55" t="s">
        <v>19</v>
      </c>
      <c r="P55" t="s">
        <v>53</v>
      </c>
      <c r="Q55">
        <f t="shared" si="2"/>
        <v>8</v>
      </c>
      <c r="R55" t="str">
        <f t="shared" si="0"/>
        <v>Excellent</v>
      </c>
      <c r="S55" s="37">
        <f t="shared" si="3"/>
        <v>11.5</v>
      </c>
      <c r="T55" s="37">
        <f>IF(R55="Excellent",S55,+IF(R55="Satisfactory",S55-((ModifyData!$B$18/100)*S55))+IF(R55="Unsatisfactory",S55-((ModifyData!$B$19/100)*S55)))</f>
        <v>11.5</v>
      </c>
      <c r="U55">
        <f t="shared" si="4"/>
        <v>2</v>
      </c>
      <c r="V55" s="14">
        <v>0.55000000000000004</v>
      </c>
      <c r="W55" s="37">
        <f t="shared" si="1"/>
        <v>17.824999999999999</v>
      </c>
      <c r="X55" s="37">
        <f t="shared" si="5"/>
        <v>5.9249999999999989</v>
      </c>
    </row>
    <row r="56" spans="1:24" x14ac:dyDescent="0.2">
      <c r="A56">
        <v>15196</v>
      </c>
      <c r="B56">
        <v>126</v>
      </c>
      <c r="C56" t="s">
        <v>45</v>
      </c>
      <c r="D56">
        <v>1015</v>
      </c>
      <c r="E56">
        <v>2</v>
      </c>
      <c r="F56" t="s">
        <v>49</v>
      </c>
      <c r="G56" t="s">
        <v>31</v>
      </c>
      <c r="H56" t="s">
        <v>18</v>
      </c>
      <c r="I56">
        <v>1</v>
      </c>
      <c r="J56">
        <v>4</v>
      </c>
      <c r="K56">
        <v>5.75</v>
      </c>
      <c r="L56" s="2">
        <v>39582</v>
      </c>
      <c r="M56" s="2">
        <v>39584</v>
      </c>
      <c r="N56">
        <v>12</v>
      </c>
      <c r="O56" t="s">
        <v>19</v>
      </c>
      <c r="P56" t="s">
        <v>53</v>
      </c>
      <c r="Q56">
        <f t="shared" si="2"/>
        <v>10</v>
      </c>
      <c r="R56" t="str">
        <f t="shared" si="0"/>
        <v>Excellent</v>
      </c>
      <c r="S56" s="37">
        <f t="shared" si="3"/>
        <v>11.5</v>
      </c>
      <c r="T56" s="37">
        <f>IF(R56="Excellent",S56,+IF(R56="Satisfactory",S56-((ModifyData!$B$18/100)*S56))+IF(R56="Unsatisfactory",S56-((ModifyData!$B$19/100)*S56)))</f>
        <v>11.5</v>
      </c>
      <c r="U56">
        <f t="shared" si="4"/>
        <v>2</v>
      </c>
      <c r="V56" s="14">
        <v>0.55000000000000004</v>
      </c>
      <c r="W56" s="37">
        <f t="shared" si="1"/>
        <v>17.824999999999999</v>
      </c>
      <c r="X56" s="37">
        <f t="shared" si="5"/>
        <v>5.9249999999999989</v>
      </c>
    </row>
    <row r="57" spans="1:24" x14ac:dyDescent="0.2">
      <c r="A57">
        <v>15348</v>
      </c>
      <c r="B57">
        <v>126</v>
      </c>
      <c r="C57" t="s">
        <v>45</v>
      </c>
      <c r="D57">
        <v>1026</v>
      </c>
      <c r="E57">
        <v>2</v>
      </c>
      <c r="F57" t="s">
        <v>32</v>
      </c>
      <c r="G57" t="s">
        <v>33</v>
      </c>
      <c r="H57" t="s">
        <v>34</v>
      </c>
      <c r="I57">
        <v>1</v>
      </c>
      <c r="J57">
        <v>16</v>
      </c>
      <c r="K57">
        <v>26</v>
      </c>
      <c r="L57" s="2">
        <v>39596</v>
      </c>
      <c r="M57" s="2">
        <v>39598</v>
      </c>
      <c r="N57">
        <v>60</v>
      </c>
      <c r="O57" t="s">
        <v>19</v>
      </c>
      <c r="P57" t="s">
        <v>53</v>
      </c>
      <c r="Q57">
        <f t="shared" si="2"/>
        <v>58</v>
      </c>
      <c r="R57" t="str">
        <f t="shared" si="0"/>
        <v>Excellent</v>
      </c>
      <c r="S57" s="37">
        <f t="shared" si="3"/>
        <v>52</v>
      </c>
      <c r="T57" s="37">
        <f>IF(R57="Excellent",S57,+IF(R57="Satisfactory",S57-((ModifyData!$B$18/100)*S57))+IF(R57="Unsatisfactory",S57-((ModifyData!$B$19/100)*S57)))</f>
        <v>52</v>
      </c>
      <c r="U57">
        <f t="shared" si="4"/>
        <v>3</v>
      </c>
      <c r="V57" s="14">
        <v>0.55000000000000004</v>
      </c>
      <c r="W57" s="37">
        <f t="shared" si="1"/>
        <v>80.599999999999994</v>
      </c>
      <c r="X57" s="37">
        <f t="shared" si="5"/>
        <v>26.999999999999993</v>
      </c>
    </row>
    <row r="58" spans="1:24" x14ac:dyDescent="0.2">
      <c r="A58">
        <v>15364</v>
      </c>
      <c r="B58">
        <v>126</v>
      </c>
      <c r="C58" t="s">
        <v>45</v>
      </c>
      <c r="D58">
        <v>1020</v>
      </c>
      <c r="E58">
        <v>3</v>
      </c>
      <c r="F58" t="s">
        <v>48</v>
      </c>
      <c r="G58" t="s">
        <v>29</v>
      </c>
      <c r="H58" t="s">
        <v>18</v>
      </c>
      <c r="I58">
        <v>0.5</v>
      </c>
      <c r="J58">
        <v>12</v>
      </c>
      <c r="K58">
        <v>10</v>
      </c>
      <c r="L58" s="2">
        <v>39595</v>
      </c>
      <c r="M58" s="2">
        <v>39598</v>
      </c>
      <c r="N58">
        <v>10</v>
      </c>
      <c r="O58" t="s">
        <v>19</v>
      </c>
      <c r="P58" t="s">
        <v>53</v>
      </c>
      <c r="Q58">
        <f t="shared" si="2"/>
        <v>7</v>
      </c>
      <c r="R58" t="str">
        <f t="shared" si="0"/>
        <v>Excellent</v>
      </c>
      <c r="S58" s="37">
        <f t="shared" si="3"/>
        <v>30</v>
      </c>
      <c r="T58" s="37">
        <f>IF(R58="Excellent",S58,+IF(R58="Satisfactory",S58-((ModifyData!$B$18/100)*S58))+IF(R58="Unsatisfactory",S58-((ModifyData!$B$19/100)*S58)))</f>
        <v>30</v>
      </c>
      <c r="U58">
        <f t="shared" si="4"/>
        <v>2</v>
      </c>
      <c r="V58" s="14">
        <v>0.55000000000000004</v>
      </c>
      <c r="W58" s="37">
        <f t="shared" si="1"/>
        <v>46.5</v>
      </c>
      <c r="X58" s="37">
        <f t="shared" si="5"/>
        <v>15.3</v>
      </c>
    </row>
    <row r="59" spans="1:24" x14ac:dyDescent="0.2">
      <c r="A59" t="s">
        <v>103</v>
      </c>
      <c r="S59" s="39">
        <f>SUBTOTAL(109,Table2[Wholesale Value])</f>
        <v>1560</v>
      </c>
      <c r="T59" s="39">
        <f>SUBTOTAL(109,Table2[Modified Wholesale Value])</f>
        <v>1547.3249999999998</v>
      </c>
      <c r="W59" s="39">
        <f>SUBTOTAL(109,Table2[Forecast Revenue])</f>
        <v>2398.3537499999998</v>
      </c>
      <c r="X59" s="39">
        <f>SUBTOTAL(109,Table2[Profit])</f>
        <v>771.82874999999956</v>
      </c>
    </row>
    <row r="62" spans="1:24" x14ac:dyDescent="0.2">
      <c r="L62" s="2"/>
      <c r="M62" s="2"/>
      <c r="S62" s="37"/>
      <c r="T62" s="37"/>
      <c r="V62" s="14"/>
      <c r="W62" s="37"/>
      <c r="X62" s="37"/>
    </row>
    <row r="63" spans="1:24" x14ac:dyDescent="0.2">
      <c r="L63" s="2"/>
      <c r="M63" s="2"/>
      <c r="S63" s="37"/>
      <c r="T63" s="37"/>
      <c r="V63" s="14"/>
      <c r="W63" s="37"/>
      <c r="X63" s="37"/>
    </row>
    <row r="64" spans="1:24" x14ac:dyDescent="0.2">
      <c r="L64" s="2"/>
      <c r="M64" s="2"/>
      <c r="S64" s="37"/>
      <c r="T64" s="37"/>
      <c r="V64" s="14"/>
      <c r="W64" s="37"/>
      <c r="X64" s="37"/>
    </row>
    <row r="65" spans="12:24" x14ac:dyDescent="0.2">
      <c r="L65" s="2"/>
      <c r="M65" s="2"/>
      <c r="S65" s="37"/>
      <c r="T65" s="37"/>
      <c r="V65" s="14"/>
      <c r="W65" s="37"/>
      <c r="X65" s="37"/>
    </row>
    <row r="66" spans="12:24" x14ac:dyDescent="0.2">
      <c r="L66" s="2"/>
      <c r="M66" s="2"/>
      <c r="S66" s="37"/>
      <c r="T66" s="37"/>
      <c r="V66" s="14"/>
      <c r="W66" s="37"/>
      <c r="X66" s="37"/>
    </row>
    <row r="67" spans="12:24" x14ac:dyDescent="0.2">
      <c r="L67" s="2"/>
      <c r="M67" s="2"/>
      <c r="S67" s="37"/>
      <c r="T67" s="37"/>
      <c r="V67" s="14"/>
      <c r="W67" s="37"/>
      <c r="X67" s="37"/>
    </row>
    <row r="68" spans="12:24" x14ac:dyDescent="0.2">
      <c r="L68" s="2"/>
      <c r="M68" s="2"/>
      <c r="S68" s="37"/>
      <c r="T68" s="37"/>
      <c r="V68" s="14"/>
      <c r="W68" s="37"/>
      <c r="X68" s="37"/>
    </row>
    <row r="69" spans="12:24" x14ac:dyDescent="0.2">
      <c r="L69" s="2"/>
      <c r="M69" s="2"/>
      <c r="S69" s="37"/>
      <c r="T69" s="37"/>
      <c r="V69" s="14"/>
      <c r="W69" s="37"/>
      <c r="X69" s="37"/>
    </row>
    <row r="70" spans="12:24" x14ac:dyDescent="0.2">
      <c r="L70" s="2"/>
      <c r="M70" s="2"/>
      <c r="S70" s="37"/>
      <c r="T70" s="37"/>
      <c r="V70" s="14"/>
      <c r="W70" s="37"/>
      <c r="X70" s="37"/>
    </row>
    <row r="71" spans="12:24" x14ac:dyDescent="0.2">
      <c r="L71" s="2"/>
      <c r="M71" s="2"/>
      <c r="S71" s="37"/>
      <c r="T71" s="37"/>
      <c r="V71" s="14"/>
      <c r="W71" s="37"/>
      <c r="X71" s="37"/>
    </row>
    <row r="72" spans="12:24" x14ac:dyDescent="0.2">
      <c r="L72" s="2"/>
      <c r="M72" s="2"/>
      <c r="S72" s="37"/>
      <c r="T72" s="37"/>
      <c r="V72" s="14"/>
      <c r="W72" s="37"/>
      <c r="X72" s="37"/>
    </row>
    <row r="73" spans="12:24" x14ac:dyDescent="0.2">
      <c r="L73" s="2"/>
      <c r="M73" s="2"/>
      <c r="S73" s="37"/>
      <c r="T73" s="37"/>
      <c r="V73" s="14"/>
      <c r="W73" s="37"/>
      <c r="X73" s="37"/>
    </row>
    <row r="74" spans="12:24" x14ac:dyDescent="0.2">
      <c r="L74" s="2"/>
      <c r="M74" s="2"/>
      <c r="S74" s="37"/>
      <c r="T74" s="37"/>
      <c r="V74" s="14"/>
      <c r="W74" s="37"/>
      <c r="X74" s="37"/>
    </row>
    <row r="75" spans="12:24" x14ac:dyDescent="0.2">
      <c r="L75" s="2"/>
      <c r="M75" s="2"/>
      <c r="S75" s="37"/>
      <c r="T75" s="37"/>
      <c r="V75" s="14"/>
      <c r="W75" s="37"/>
      <c r="X75" s="37"/>
    </row>
    <row r="76" spans="12:24" x14ac:dyDescent="0.2">
      <c r="L76" s="2"/>
      <c r="M76" s="2"/>
      <c r="S76" s="37"/>
      <c r="T76" s="37"/>
      <c r="V76" s="14"/>
      <c r="W76" s="37"/>
      <c r="X76" s="37"/>
    </row>
    <row r="77" spans="12:24" x14ac:dyDescent="0.2">
      <c r="L77" s="2"/>
      <c r="M77" s="2"/>
      <c r="S77" s="37"/>
      <c r="T77" s="37"/>
      <c r="V77" s="14"/>
      <c r="W77" s="37"/>
      <c r="X77" s="37"/>
    </row>
    <row r="78" spans="12:24" x14ac:dyDescent="0.2">
      <c r="L78" s="2"/>
      <c r="M78" s="2"/>
      <c r="S78" s="37"/>
      <c r="T78" s="37"/>
      <c r="V78" s="14"/>
      <c r="W78" s="37"/>
      <c r="X78" s="37"/>
    </row>
    <row r="79" spans="12:24" x14ac:dyDescent="0.2">
      <c r="L79" s="2"/>
      <c r="M79" s="2"/>
      <c r="S79" s="37"/>
      <c r="T79" s="37"/>
      <c r="V79" s="14"/>
      <c r="W79" s="37"/>
      <c r="X79" s="37"/>
    </row>
    <row r="80" spans="12:24" x14ac:dyDescent="0.2">
      <c r="L80" s="2"/>
      <c r="M80" s="2"/>
      <c r="S80" s="37"/>
      <c r="T80" s="37"/>
      <c r="V80" s="14"/>
      <c r="W80" s="37"/>
      <c r="X80" s="37"/>
    </row>
    <row r="81" spans="12:24" x14ac:dyDescent="0.2">
      <c r="L81" s="2"/>
      <c r="M81" s="2"/>
      <c r="S81" s="37"/>
      <c r="T81" s="37"/>
      <c r="V81" s="14"/>
      <c r="W81" s="37"/>
      <c r="X81" s="37"/>
    </row>
    <row r="82" spans="12:24" x14ac:dyDescent="0.2">
      <c r="L82" s="2"/>
      <c r="M82" s="2"/>
      <c r="S82" s="37"/>
      <c r="T82" s="37"/>
      <c r="V82" s="14"/>
      <c r="W82" s="37"/>
      <c r="X82" s="37"/>
    </row>
    <row r="83" spans="12:24" x14ac:dyDescent="0.2">
      <c r="L83" s="2"/>
      <c r="M83" s="2"/>
      <c r="S83" s="37"/>
      <c r="T83" s="37"/>
      <c r="V83" s="14"/>
      <c r="W83" s="37"/>
      <c r="X83" s="37"/>
    </row>
    <row r="84" spans="12:24" x14ac:dyDescent="0.2">
      <c r="L84" s="2"/>
      <c r="M84" s="2"/>
      <c r="S84" s="37"/>
      <c r="T84" s="37"/>
      <c r="V84" s="14"/>
      <c r="W84" s="37"/>
      <c r="X84" s="37"/>
    </row>
    <row r="85" spans="12:24" x14ac:dyDescent="0.2">
      <c r="L85" s="2"/>
      <c r="M85" s="2"/>
      <c r="S85" s="37"/>
      <c r="T85" s="37"/>
      <c r="V85" s="14"/>
      <c r="W85" s="37"/>
      <c r="X85" s="37"/>
    </row>
    <row r="86" spans="12:24" x14ac:dyDescent="0.2">
      <c r="L86" s="2"/>
      <c r="M86" s="2"/>
      <c r="S86" s="37"/>
      <c r="T86" s="37"/>
      <c r="V86" s="14"/>
      <c r="W86" s="37"/>
      <c r="X86" s="37"/>
    </row>
    <row r="87" spans="12:24" x14ac:dyDescent="0.2">
      <c r="L87" s="2"/>
      <c r="M87" s="2"/>
      <c r="S87" s="37"/>
      <c r="T87" s="37"/>
      <c r="V87" s="14"/>
      <c r="W87" s="37"/>
      <c r="X87" s="37"/>
    </row>
    <row r="88" spans="12:24" x14ac:dyDescent="0.2">
      <c r="L88" s="2"/>
      <c r="M88" s="2"/>
      <c r="S88" s="37"/>
      <c r="T88" s="37"/>
      <c r="V88" s="14"/>
      <c r="W88" s="37"/>
      <c r="X88" s="37"/>
    </row>
    <row r="89" spans="12:24" x14ac:dyDescent="0.2">
      <c r="L89" s="2"/>
      <c r="M89" s="2"/>
      <c r="S89" s="37"/>
      <c r="T89" s="37"/>
      <c r="V89" s="14"/>
      <c r="W89" s="37"/>
      <c r="X89" s="37"/>
    </row>
    <row r="90" spans="12:24" x14ac:dyDescent="0.2">
      <c r="L90" s="2"/>
      <c r="M90" s="2"/>
      <c r="S90" s="37"/>
      <c r="T90" s="37"/>
      <c r="V90" s="14"/>
      <c r="W90" s="37"/>
      <c r="X90" s="37"/>
    </row>
    <row r="91" spans="12:24" x14ac:dyDescent="0.2">
      <c r="L91" s="2"/>
      <c r="M91" s="2"/>
      <c r="S91" s="37"/>
      <c r="T91" s="37"/>
      <c r="V91" s="14"/>
      <c r="W91" s="37"/>
      <c r="X91" s="37"/>
    </row>
    <row r="92" spans="12:24" x14ac:dyDescent="0.2">
      <c r="L92" s="2"/>
      <c r="M92" s="2"/>
      <c r="S92" s="37"/>
      <c r="T92" s="37"/>
      <c r="V92" s="14"/>
      <c r="W92" s="37"/>
      <c r="X92" s="37"/>
    </row>
    <row r="93" spans="12:24" x14ac:dyDescent="0.2">
      <c r="L93" s="2"/>
      <c r="M93" s="2"/>
      <c r="S93" s="37"/>
      <c r="T93" s="37"/>
      <c r="V93" s="14"/>
      <c r="W93" s="37"/>
      <c r="X93" s="37"/>
    </row>
    <row r="94" spans="12:24" x14ac:dyDescent="0.2">
      <c r="L94" s="2"/>
      <c r="M94" s="2"/>
      <c r="S94" s="37"/>
      <c r="T94" s="37"/>
      <c r="V94" s="14"/>
      <c r="W94" s="37"/>
      <c r="X94" s="37"/>
    </row>
    <row r="95" spans="12:24" x14ac:dyDescent="0.2">
      <c r="L95" s="2"/>
      <c r="M95" s="2"/>
      <c r="S95" s="37"/>
      <c r="T95" s="37"/>
      <c r="V95" s="14"/>
      <c r="W95" s="37"/>
      <c r="X95" s="37"/>
    </row>
    <row r="96" spans="12:24" x14ac:dyDescent="0.2">
      <c r="L96" s="2"/>
      <c r="M96" s="2"/>
      <c r="S96" s="37"/>
      <c r="T96" s="37"/>
      <c r="V96" s="14"/>
      <c r="W96" s="37"/>
      <c r="X96" s="37"/>
    </row>
    <row r="97" spans="12:24" x14ac:dyDescent="0.2">
      <c r="L97" s="2"/>
      <c r="M97" s="2"/>
      <c r="S97" s="37"/>
      <c r="T97" s="37"/>
      <c r="V97" s="14"/>
      <c r="W97" s="37"/>
      <c r="X97" s="37"/>
    </row>
    <row r="98" spans="12:24" x14ac:dyDescent="0.2">
      <c r="L98" s="2"/>
      <c r="M98" s="2"/>
      <c r="S98" s="37"/>
      <c r="T98" s="37"/>
      <c r="V98" s="14"/>
      <c r="W98" s="37"/>
      <c r="X98" s="37"/>
    </row>
    <row r="99" spans="12:24" x14ac:dyDescent="0.2">
      <c r="L99" s="2"/>
      <c r="M99" s="2"/>
      <c r="S99" s="37"/>
      <c r="T99" s="37"/>
      <c r="V99" s="14"/>
      <c r="W99" s="37"/>
      <c r="X99" s="37"/>
    </row>
    <row r="100" spans="12:24" x14ac:dyDescent="0.2">
      <c r="L100" s="2"/>
      <c r="M100" s="2"/>
      <c r="S100" s="37"/>
      <c r="T100" s="37"/>
      <c r="V100" s="14"/>
      <c r="W100" s="37"/>
      <c r="X100" s="37"/>
    </row>
    <row r="101" spans="12:24" x14ac:dyDescent="0.2">
      <c r="L101" s="2"/>
      <c r="M101" s="2"/>
      <c r="S101" s="37"/>
      <c r="T101" s="37"/>
      <c r="V101" s="14"/>
      <c r="W101" s="37"/>
      <c r="X101" s="37"/>
    </row>
    <row r="102" spans="12:24" x14ac:dyDescent="0.2">
      <c r="L102" s="2"/>
      <c r="M102" s="2"/>
      <c r="S102" s="37"/>
      <c r="T102" s="37"/>
      <c r="V102" s="14"/>
      <c r="W102" s="37"/>
      <c r="X102" s="37"/>
    </row>
    <row r="103" spans="12:24" x14ac:dyDescent="0.2">
      <c r="L103" s="2"/>
      <c r="M103" s="2"/>
      <c r="S103" s="37"/>
      <c r="T103" s="37"/>
      <c r="V103" s="14"/>
      <c r="W103" s="37"/>
      <c r="X103" s="37"/>
    </row>
    <row r="104" spans="12:24" x14ac:dyDescent="0.2">
      <c r="L104" s="2"/>
      <c r="M104" s="2"/>
      <c r="S104" s="37"/>
      <c r="T104" s="37"/>
      <c r="V104" s="14"/>
      <c r="W104" s="37"/>
      <c r="X104" s="37"/>
    </row>
    <row r="105" spans="12:24" x14ac:dyDescent="0.2">
      <c r="L105" s="2"/>
      <c r="M105" s="2"/>
      <c r="S105" s="37"/>
      <c r="T105" s="37"/>
      <c r="V105" s="14"/>
      <c r="W105" s="37"/>
      <c r="X105" s="37"/>
    </row>
    <row r="106" spans="12:24" x14ac:dyDescent="0.2">
      <c r="L106" s="2"/>
      <c r="M106" s="2"/>
      <c r="S106" s="37"/>
      <c r="T106" s="37"/>
      <c r="V106" s="14"/>
      <c r="W106" s="37"/>
      <c r="X106" s="37"/>
    </row>
    <row r="107" spans="12:24" x14ac:dyDescent="0.2">
      <c r="L107" s="2"/>
      <c r="M107" s="2"/>
      <c r="S107" s="37"/>
      <c r="T107" s="37"/>
      <c r="V107" s="14"/>
      <c r="W107" s="37"/>
      <c r="X107" s="37"/>
    </row>
    <row r="108" spans="12:24" x14ac:dyDescent="0.2">
      <c r="L108" s="2"/>
      <c r="M108" s="2"/>
      <c r="S108" s="37"/>
      <c r="T108" s="37"/>
      <c r="V108" s="14"/>
      <c r="W108" s="37"/>
      <c r="X108" s="37"/>
    </row>
    <row r="109" spans="12:24" x14ac:dyDescent="0.2">
      <c r="L109" s="2"/>
      <c r="M109" s="2"/>
      <c r="S109" s="37"/>
      <c r="T109" s="37"/>
      <c r="V109" s="14"/>
      <c r="W109" s="37"/>
      <c r="X109" s="37"/>
    </row>
    <row r="110" spans="12:24" x14ac:dyDescent="0.2">
      <c r="L110" s="2"/>
      <c r="M110" s="2"/>
      <c r="S110" s="37"/>
      <c r="T110" s="37"/>
      <c r="V110" s="14"/>
      <c r="W110" s="37"/>
      <c r="X110" s="37"/>
    </row>
    <row r="111" spans="12:24" x14ac:dyDescent="0.2">
      <c r="L111" s="2"/>
      <c r="M111" s="2"/>
      <c r="S111" s="37"/>
      <c r="T111" s="37"/>
      <c r="V111" s="14"/>
      <c r="W111" s="37"/>
      <c r="X111" s="37"/>
    </row>
    <row r="112" spans="12:24" x14ac:dyDescent="0.2">
      <c r="L112" s="2"/>
      <c r="M112" s="2"/>
      <c r="S112" s="37"/>
      <c r="T112" s="37"/>
      <c r="V112" s="14"/>
      <c r="W112" s="37"/>
      <c r="X112" s="37"/>
    </row>
    <row r="113" spans="12:24" x14ac:dyDescent="0.2">
      <c r="L113" s="2"/>
      <c r="M113" s="2"/>
      <c r="S113" s="37"/>
      <c r="T113" s="37"/>
      <c r="V113" s="14"/>
      <c r="W113" s="37"/>
      <c r="X113" s="37"/>
    </row>
    <row r="114" spans="12:24" x14ac:dyDescent="0.2">
      <c r="L114" s="2"/>
      <c r="M114" s="2"/>
      <c r="S114" s="37"/>
      <c r="T114" s="37"/>
      <c r="V114" s="14"/>
      <c r="W114" s="37"/>
      <c r="X114" s="37"/>
    </row>
    <row r="115" spans="12:24" x14ac:dyDescent="0.2">
      <c r="L115" s="2"/>
      <c r="M115" s="2"/>
      <c r="S115" s="37"/>
      <c r="T115" s="37"/>
      <c r="V115" s="14"/>
      <c r="W115" s="37"/>
      <c r="X115" s="37"/>
    </row>
    <row r="116" spans="12:24" x14ac:dyDescent="0.2">
      <c r="L116" s="2"/>
      <c r="M116" s="2"/>
      <c r="S116" s="37"/>
      <c r="T116" s="37"/>
      <c r="V116" s="14"/>
      <c r="W116" s="37"/>
      <c r="X116" s="37"/>
    </row>
    <row r="117" spans="12:24" x14ac:dyDescent="0.2">
      <c r="L117" s="2"/>
      <c r="M117" s="2"/>
      <c r="S117" s="37"/>
      <c r="T117" s="37"/>
      <c r="V117" s="14"/>
      <c r="W117" s="37"/>
      <c r="X117" s="37"/>
    </row>
    <row r="118" spans="12:24" x14ac:dyDescent="0.2">
      <c r="S118" s="39"/>
      <c r="T118" s="39"/>
      <c r="W118" s="39"/>
      <c r="X118" s="39"/>
    </row>
    <row r="125" spans="12:24" x14ac:dyDescent="0.2">
      <c r="W125" s="1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3C06C-3D54-A54C-A6B0-8CD2350A5A56}">
  <sheetPr>
    <tabColor theme="9"/>
  </sheetPr>
  <dimension ref="B3:M66"/>
  <sheetViews>
    <sheetView workbookViewId="0">
      <selection activeCell="D14" sqref="D14"/>
    </sheetView>
  </sheetViews>
  <sheetFormatPr baseColWidth="10" defaultRowHeight="15" x14ac:dyDescent="0.2"/>
  <cols>
    <col min="2" max="2" width="27.1640625" customWidth="1"/>
    <col min="3" max="3" width="27" customWidth="1"/>
    <col min="4" max="4" width="16" customWidth="1"/>
    <col min="5" max="5" width="11" bestFit="1" customWidth="1"/>
    <col min="6" max="6" width="11.6640625" bestFit="1" customWidth="1"/>
    <col min="7" max="7" width="12.1640625" bestFit="1" customWidth="1"/>
    <col min="9" max="9" width="18.1640625" customWidth="1"/>
    <col min="10" max="10" width="11.1640625" bestFit="1" customWidth="1"/>
  </cols>
  <sheetData>
    <row r="3" spans="2:13" ht="16" thickBot="1" x14ac:dyDescent="0.25">
      <c r="B3" s="81" t="s">
        <v>118</v>
      </c>
      <c r="C3" s="81"/>
    </row>
    <row r="4" spans="2:13" x14ac:dyDescent="0.2">
      <c r="B4" s="42" t="s">
        <v>104</v>
      </c>
      <c r="C4" s="43">
        <v>200000</v>
      </c>
    </row>
    <row r="5" spans="2:13" x14ac:dyDescent="0.2">
      <c r="B5" s="42" t="s">
        <v>105</v>
      </c>
      <c r="C5" s="44">
        <v>3.5000000000000003E-2</v>
      </c>
    </row>
    <row r="6" spans="2:13" x14ac:dyDescent="0.2">
      <c r="B6" s="42" t="s">
        <v>106</v>
      </c>
      <c r="C6" s="42">
        <v>3</v>
      </c>
    </row>
    <row r="7" spans="2:13" x14ac:dyDescent="0.2">
      <c r="B7" s="42" t="s">
        <v>119</v>
      </c>
      <c r="C7" s="42">
        <f>3*12</f>
        <v>36</v>
      </c>
    </row>
    <row r="9" spans="2:13" x14ac:dyDescent="0.2">
      <c r="B9" s="49" t="s">
        <v>116</v>
      </c>
      <c r="C9" s="79">
        <f>10000+(10000*0.05)</f>
        <v>10500</v>
      </c>
      <c r="D9" s="30"/>
    </row>
    <row r="10" spans="2:13" x14ac:dyDescent="0.2">
      <c r="B10" s="49" t="s">
        <v>117</v>
      </c>
      <c r="C10" s="79">
        <f>((10000+(10000*0.05))*period)</f>
        <v>378000</v>
      </c>
      <c r="D10" s="30"/>
    </row>
    <row r="11" spans="2:13" x14ac:dyDescent="0.2">
      <c r="B11" s="46" t="s">
        <v>115</v>
      </c>
      <c r="C11" s="78">
        <f>SUM(E18:E54)</f>
        <v>10974.974033757848</v>
      </c>
      <c r="D11" s="76" t="s">
        <v>120</v>
      </c>
      <c r="E11" s="76"/>
      <c r="F11" s="76"/>
      <c r="G11" s="76"/>
      <c r="H11" s="76"/>
      <c r="I11" s="76"/>
      <c r="J11" s="76"/>
      <c r="K11" s="76"/>
      <c r="L11" s="76"/>
      <c r="M11" s="76"/>
    </row>
    <row r="12" spans="2:13" x14ac:dyDescent="0.2">
      <c r="B12" s="74"/>
      <c r="C12" s="37"/>
      <c r="D12" s="76" t="s">
        <v>121</v>
      </c>
      <c r="E12" s="76"/>
      <c r="F12" s="76"/>
      <c r="G12" s="76"/>
      <c r="H12" s="76"/>
      <c r="I12" s="76"/>
      <c r="J12" s="76"/>
      <c r="K12" s="76"/>
      <c r="L12" s="76"/>
      <c r="M12" s="76"/>
    </row>
    <row r="14" spans="2:13" x14ac:dyDescent="0.2">
      <c r="B14" s="48" t="s">
        <v>107</v>
      </c>
      <c r="C14" s="77">
        <f>PMT(Apr/12,years*12,-principal,0,0)</f>
        <v>5860.4159453821621</v>
      </c>
    </row>
    <row r="15" spans="2:13" x14ac:dyDescent="0.2">
      <c r="B15" s="49"/>
      <c r="C15" s="50"/>
    </row>
    <row r="16" spans="2:13" x14ac:dyDescent="0.2">
      <c r="B16" s="80" t="s">
        <v>114</v>
      </c>
      <c r="C16" s="80"/>
      <c r="D16" s="80"/>
      <c r="E16" s="80"/>
      <c r="F16" s="80"/>
      <c r="G16" s="80"/>
    </row>
    <row r="17" spans="2:7" x14ac:dyDescent="0.2">
      <c r="B17" s="46" t="s">
        <v>108</v>
      </c>
      <c r="C17" s="46" t="s">
        <v>109</v>
      </c>
      <c r="D17" s="46" t="s">
        <v>110</v>
      </c>
      <c r="E17" s="46" t="s">
        <v>111</v>
      </c>
      <c r="F17" s="46" t="s">
        <v>112</v>
      </c>
      <c r="G17" s="46" t="s">
        <v>113</v>
      </c>
    </row>
    <row r="18" spans="2:7" x14ac:dyDescent="0.2">
      <c r="B18">
        <v>1</v>
      </c>
      <c r="C18" s="30">
        <f>principal</f>
        <v>200000</v>
      </c>
      <c r="D18" s="45">
        <f>TOTALPMT</f>
        <v>5860.4159453821621</v>
      </c>
      <c r="E18" s="30">
        <f>C18*Apr/12</f>
        <v>583.33333333333337</v>
      </c>
      <c r="F18" s="45">
        <f>D18-E18</f>
        <v>5277.0826120488291</v>
      </c>
      <c r="G18" s="47">
        <f>C18-F18</f>
        <v>194722.91738795117</v>
      </c>
    </row>
    <row r="19" spans="2:7" x14ac:dyDescent="0.2">
      <c r="B19">
        <f>IF(OR(G18="",G18&lt;0),"",B18+1)</f>
        <v>2</v>
      </c>
      <c r="C19" s="30">
        <f>IF(B19=" "," ",G18)</f>
        <v>194722.91738795117</v>
      </c>
      <c r="D19" s="30">
        <f t="shared" ref="D19:D54" si="0">IF(C19=" "," ",TOTALPMT)</f>
        <v>5860.4159453821621</v>
      </c>
      <c r="E19" s="30">
        <f t="shared" ref="E19:E54" si="1">IF(D19=" "," ",C19*Apr/12)</f>
        <v>567.94184238152422</v>
      </c>
      <c r="F19" s="30">
        <f>IF(E19=" "," ",D19-E19)</f>
        <v>5292.474103000638</v>
      </c>
      <c r="G19" s="30">
        <f>IF(F19=" "," ",C19-F19)</f>
        <v>189430.44328495054</v>
      </c>
    </row>
    <row r="20" spans="2:7" x14ac:dyDescent="0.2">
      <c r="B20">
        <f t="shared" ref="B20:B53" si="2">IF(OR(G19="",G19&lt;0),"",B19+1)</f>
        <v>3</v>
      </c>
      <c r="C20" s="30">
        <f t="shared" ref="C20:C54" si="3">IF(B20=" "," ",G19)</f>
        <v>189430.44328495054</v>
      </c>
      <c r="D20" s="30">
        <f t="shared" si="0"/>
        <v>5860.4159453821621</v>
      </c>
      <c r="E20" s="30">
        <f t="shared" si="1"/>
        <v>552.50545958110581</v>
      </c>
      <c r="F20" s="30">
        <f t="shared" ref="F20:F54" si="4">IF(E20=" "," ",D20-E20)</f>
        <v>5307.910485801056</v>
      </c>
      <c r="G20" s="30">
        <f t="shared" ref="G20:G54" si="5">IF(F20=" "," ",C20-F20)</f>
        <v>184122.53279914949</v>
      </c>
    </row>
    <row r="21" spans="2:7" x14ac:dyDescent="0.2">
      <c r="B21">
        <f t="shared" si="2"/>
        <v>4</v>
      </c>
      <c r="C21" s="30">
        <f t="shared" si="3"/>
        <v>184122.53279914949</v>
      </c>
      <c r="D21" s="30">
        <f t="shared" si="0"/>
        <v>5860.4159453821621</v>
      </c>
      <c r="E21" s="30">
        <f t="shared" si="1"/>
        <v>537.02405399751945</v>
      </c>
      <c r="F21" s="30">
        <f t="shared" si="4"/>
        <v>5323.3918913846428</v>
      </c>
      <c r="G21" s="30">
        <f t="shared" si="5"/>
        <v>178799.14090776484</v>
      </c>
    </row>
    <row r="22" spans="2:7" x14ac:dyDescent="0.2">
      <c r="B22">
        <f t="shared" si="2"/>
        <v>5</v>
      </c>
      <c r="C22" s="30">
        <f t="shared" si="3"/>
        <v>178799.14090776484</v>
      </c>
      <c r="D22" s="30">
        <f t="shared" si="0"/>
        <v>5860.4159453821621</v>
      </c>
      <c r="E22" s="30">
        <f t="shared" si="1"/>
        <v>521.49749431431417</v>
      </c>
      <c r="F22" s="30">
        <f t="shared" si="4"/>
        <v>5338.9184510678479</v>
      </c>
      <c r="G22" s="30">
        <f t="shared" si="5"/>
        <v>173460.222456697</v>
      </c>
    </row>
    <row r="23" spans="2:7" x14ac:dyDescent="0.2">
      <c r="B23">
        <f t="shared" si="2"/>
        <v>6</v>
      </c>
      <c r="C23" s="30">
        <f t="shared" si="3"/>
        <v>173460.222456697</v>
      </c>
      <c r="D23" s="30">
        <f t="shared" si="0"/>
        <v>5860.4159453821621</v>
      </c>
      <c r="E23" s="30">
        <f t="shared" si="1"/>
        <v>505.92564883203295</v>
      </c>
      <c r="F23" s="30">
        <f t="shared" si="4"/>
        <v>5354.4902965501296</v>
      </c>
      <c r="G23" s="30">
        <f t="shared" si="5"/>
        <v>168105.73216014687</v>
      </c>
    </row>
    <row r="24" spans="2:7" x14ac:dyDescent="0.2">
      <c r="B24">
        <f t="shared" si="2"/>
        <v>7</v>
      </c>
      <c r="C24" s="30">
        <f t="shared" si="3"/>
        <v>168105.73216014687</v>
      </c>
      <c r="D24" s="30">
        <f t="shared" si="0"/>
        <v>5860.4159453821621</v>
      </c>
      <c r="E24" s="30">
        <f t="shared" si="1"/>
        <v>490.30838546709509</v>
      </c>
      <c r="F24" s="30">
        <f t="shared" si="4"/>
        <v>5370.1075599150672</v>
      </c>
      <c r="G24" s="30">
        <f t="shared" si="5"/>
        <v>162735.62460023179</v>
      </c>
    </row>
    <row r="25" spans="2:7" x14ac:dyDescent="0.2">
      <c r="B25">
        <f t="shared" si="2"/>
        <v>8</v>
      </c>
      <c r="C25" s="30">
        <f t="shared" si="3"/>
        <v>162735.62460023179</v>
      </c>
      <c r="D25" s="30">
        <f t="shared" si="0"/>
        <v>5860.4159453821621</v>
      </c>
      <c r="E25" s="30">
        <f t="shared" si="1"/>
        <v>474.64557175067608</v>
      </c>
      <c r="F25" s="30">
        <f t="shared" si="4"/>
        <v>5385.7703736314861</v>
      </c>
      <c r="G25" s="30">
        <f t="shared" si="5"/>
        <v>157349.85422660032</v>
      </c>
    </row>
    <row r="26" spans="2:7" x14ac:dyDescent="0.2">
      <c r="B26">
        <f t="shared" si="2"/>
        <v>9</v>
      </c>
      <c r="C26" s="30">
        <f t="shared" si="3"/>
        <v>157349.85422660032</v>
      </c>
      <c r="D26" s="30">
        <f t="shared" si="0"/>
        <v>5860.4159453821621</v>
      </c>
      <c r="E26" s="30">
        <f t="shared" si="1"/>
        <v>458.93707482758435</v>
      </c>
      <c r="F26" s="30">
        <f t="shared" si="4"/>
        <v>5401.478870554578</v>
      </c>
      <c r="G26" s="30">
        <f t="shared" si="5"/>
        <v>151948.37535604576</v>
      </c>
    </row>
    <row r="27" spans="2:7" x14ac:dyDescent="0.2">
      <c r="B27">
        <f t="shared" si="2"/>
        <v>10</v>
      </c>
      <c r="C27" s="30">
        <f t="shared" si="3"/>
        <v>151948.37535604576</v>
      </c>
      <c r="D27" s="30">
        <f t="shared" si="0"/>
        <v>5860.4159453821621</v>
      </c>
      <c r="E27" s="30">
        <f t="shared" si="1"/>
        <v>443.18276145513346</v>
      </c>
      <c r="F27" s="30">
        <f t="shared" si="4"/>
        <v>5417.2331839270282</v>
      </c>
      <c r="G27" s="30">
        <f t="shared" si="5"/>
        <v>146531.14217211874</v>
      </c>
    </row>
    <row r="28" spans="2:7" x14ac:dyDescent="0.2">
      <c r="B28">
        <f t="shared" si="2"/>
        <v>11</v>
      </c>
      <c r="C28" s="30">
        <f t="shared" si="3"/>
        <v>146531.14217211874</v>
      </c>
      <c r="D28" s="30">
        <f t="shared" si="0"/>
        <v>5860.4159453821621</v>
      </c>
      <c r="E28" s="30">
        <f t="shared" si="1"/>
        <v>427.38249800201305</v>
      </c>
      <c r="F28" s="30">
        <f t="shared" si="4"/>
        <v>5433.0334473801495</v>
      </c>
      <c r="G28" s="30">
        <f t="shared" si="5"/>
        <v>141098.10872473859</v>
      </c>
    </row>
    <row r="29" spans="2:7" x14ac:dyDescent="0.2">
      <c r="B29">
        <f t="shared" si="2"/>
        <v>12</v>
      </c>
      <c r="C29" s="30">
        <f t="shared" si="3"/>
        <v>141098.10872473859</v>
      </c>
      <c r="D29" s="30">
        <f t="shared" si="0"/>
        <v>5860.4159453821621</v>
      </c>
      <c r="E29" s="30">
        <f t="shared" si="1"/>
        <v>411.53615044715428</v>
      </c>
      <c r="F29" s="30">
        <f t="shared" si="4"/>
        <v>5448.8797949350082</v>
      </c>
      <c r="G29" s="30">
        <f t="shared" si="5"/>
        <v>135649.22892980359</v>
      </c>
    </row>
    <row r="30" spans="2:7" x14ac:dyDescent="0.2">
      <c r="B30">
        <f t="shared" si="2"/>
        <v>13</v>
      </c>
      <c r="C30" s="30">
        <f t="shared" si="3"/>
        <v>135649.22892980359</v>
      </c>
      <c r="D30" s="30">
        <f t="shared" si="0"/>
        <v>5860.4159453821621</v>
      </c>
      <c r="E30" s="30">
        <f t="shared" si="1"/>
        <v>395.64358437859386</v>
      </c>
      <c r="F30" s="30">
        <f t="shared" si="4"/>
        <v>5464.7723610035682</v>
      </c>
      <c r="G30" s="30">
        <f t="shared" si="5"/>
        <v>130184.45656880003</v>
      </c>
    </row>
    <row r="31" spans="2:7" x14ac:dyDescent="0.2">
      <c r="B31">
        <f t="shared" si="2"/>
        <v>14</v>
      </c>
      <c r="C31" s="30">
        <f t="shared" si="3"/>
        <v>130184.45656880003</v>
      </c>
      <c r="D31" s="30">
        <f t="shared" si="0"/>
        <v>5860.4159453821621</v>
      </c>
      <c r="E31" s="30">
        <f t="shared" si="1"/>
        <v>379.70466499233345</v>
      </c>
      <c r="F31" s="30">
        <f t="shared" si="4"/>
        <v>5480.711280389829</v>
      </c>
      <c r="G31" s="30">
        <f t="shared" si="5"/>
        <v>124703.74528841019</v>
      </c>
    </row>
    <row r="32" spans="2:7" x14ac:dyDescent="0.2">
      <c r="B32">
        <f t="shared" si="2"/>
        <v>15</v>
      </c>
      <c r="C32" s="30">
        <f t="shared" si="3"/>
        <v>124703.74528841019</v>
      </c>
      <c r="D32" s="30">
        <f t="shared" si="0"/>
        <v>5860.4159453821621</v>
      </c>
      <c r="E32" s="30">
        <f t="shared" si="1"/>
        <v>363.71925709119643</v>
      </c>
      <c r="F32" s="30">
        <f t="shared" si="4"/>
        <v>5496.6966882909655</v>
      </c>
      <c r="G32" s="30">
        <f t="shared" si="5"/>
        <v>119207.04860011923</v>
      </c>
    </row>
    <row r="33" spans="2:10" x14ac:dyDescent="0.2">
      <c r="B33">
        <f t="shared" si="2"/>
        <v>16</v>
      </c>
      <c r="C33" s="30">
        <f t="shared" si="3"/>
        <v>119207.04860011923</v>
      </c>
      <c r="D33" s="30">
        <f t="shared" si="0"/>
        <v>5860.4159453821621</v>
      </c>
      <c r="E33" s="30">
        <f t="shared" si="1"/>
        <v>347.68722508368114</v>
      </c>
      <c r="F33" s="30">
        <f t="shared" si="4"/>
        <v>5512.7287202984808</v>
      </c>
      <c r="G33" s="30">
        <f t="shared" si="5"/>
        <v>113694.31987982074</v>
      </c>
    </row>
    <row r="34" spans="2:10" x14ac:dyDescent="0.2">
      <c r="B34">
        <f t="shared" si="2"/>
        <v>17</v>
      </c>
      <c r="C34" s="30">
        <f t="shared" si="3"/>
        <v>113694.31987982074</v>
      </c>
      <c r="D34" s="30">
        <f t="shared" si="0"/>
        <v>5860.4159453821621</v>
      </c>
      <c r="E34" s="30">
        <f t="shared" si="1"/>
        <v>331.60843298281054</v>
      </c>
      <c r="F34" s="30">
        <f t="shared" si="4"/>
        <v>5528.8075123993513</v>
      </c>
      <c r="G34" s="30">
        <f t="shared" si="5"/>
        <v>108165.5123674214</v>
      </c>
    </row>
    <row r="35" spans="2:10" x14ac:dyDescent="0.2">
      <c r="B35">
        <f t="shared" si="2"/>
        <v>18</v>
      </c>
      <c r="C35" s="30">
        <f t="shared" si="3"/>
        <v>108165.5123674214</v>
      </c>
      <c r="D35" s="30">
        <f t="shared" si="0"/>
        <v>5860.4159453821621</v>
      </c>
      <c r="E35" s="30">
        <f t="shared" si="1"/>
        <v>315.48274440497909</v>
      </c>
      <c r="F35" s="30">
        <f t="shared" si="4"/>
        <v>5544.9332009771833</v>
      </c>
      <c r="G35" s="30">
        <f t="shared" si="5"/>
        <v>102620.57916644421</v>
      </c>
    </row>
    <row r="36" spans="2:10" x14ac:dyDescent="0.2">
      <c r="B36">
        <f t="shared" si="2"/>
        <v>19</v>
      </c>
      <c r="C36" s="30">
        <f t="shared" si="3"/>
        <v>102620.57916644421</v>
      </c>
      <c r="D36" s="30">
        <f t="shared" si="0"/>
        <v>5860.4159453821621</v>
      </c>
      <c r="E36" s="30">
        <f t="shared" si="1"/>
        <v>299.31002256879566</v>
      </c>
      <c r="F36" s="30">
        <f t="shared" si="4"/>
        <v>5561.1059228133663</v>
      </c>
      <c r="G36" s="30">
        <f t="shared" si="5"/>
        <v>97059.47324363084</v>
      </c>
    </row>
    <row r="37" spans="2:10" x14ac:dyDescent="0.2">
      <c r="B37">
        <f t="shared" si="2"/>
        <v>20</v>
      </c>
      <c r="C37" s="30">
        <f t="shared" si="3"/>
        <v>97059.47324363084</v>
      </c>
      <c r="D37" s="30">
        <f t="shared" si="0"/>
        <v>5860.4159453821621</v>
      </c>
      <c r="E37" s="30">
        <f t="shared" si="1"/>
        <v>283.09013029392332</v>
      </c>
      <c r="F37" s="30">
        <f t="shared" si="4"/>
        <v>5577.3258150882384</v>
      </c>
      <c r="G37" s="30">
        <f t="shared" si="5"/>
        <v>91482.147428542608</v>
      </c>
    </row>
    <row r="38" spans="2:10" x14ac:dyDescent="0.2">
      <c r="B38">
        <f t="shared" si="2"/>
        <v>21</v>
      </c>
      <c r="C38" s="30">
        <f t="shared" si="3"/>
        <v>91482.147428542608</v>
      </c>
      <c r="D38" s="30">
        <f t="shared" si="0"/>
        <v>5860.4159453821621</v>
      </c>
      <c r="E38" s="30">
        <f t="shared" si="1"/>
        <v>266.82292999991597</v>
      </c>
      <c r="F38" s="30">
        <f t="shared" si="4"/>
        <v>5593.5930153822464</v>
      </c>
      <c r="G38" s="30">
        <f t="shared" si="5"/>
        <v>85888.554413160367</v>
      </c>
    </row>
    <row r="39" spans="2:10" x14ac:dyDescent="0.2">
      <c r="B39">
        <f t="shared" si="2"/>
        <v>22</v>
      </c>
      <c r="C39" s="30">
        <f t="shared" si="3"/>
        <v>85888.554413160367</v>
      </c>
      <c r="D39" s="30">
        <f t="shared" si="0"/>
        <v>5860.4159453821621</v>
      </c>
      <c r="E39" s="30">
        <f t="shared" si="1"/>
        <v>250.5082837050511</v>
      </c>
      <c r="F39" s="30">
        <f t="shared" si="4"/>
        <v>5609.9076616771108</v>
      </c>
      <c r="G39" s="30">
        <f t="shared" si="5"/>
        <v>80278.646751483262</v>
      </c>
    </row>
    <row r="40" spans="2:10" x14ac:dyDescent="0.2">
      <c r="B40">
        <f t="shared" si="2"/>
        <v>23</v>
      </c>
      <c r="C40" s="30">
        <f t="shared" si="3"/>
        <v>80278.646751483262</v>
      </c>
      <c r="D40" s="30">
        <f t="shared" si="0"/>
        <v>5860.4159453821621</v>
      </c>
      <c r="E40" s="30">
        <f t="shared" si="1"/>
        <v>234.14605302515955</v>
      </c>
      <c r="F40" s="30">
        <f t="shared" si="4"/>
        <v>5626.2698923570024</v>
      </c>
      <c r="G40" s="30">
        <f t="shared" si="5"/>
        <v>74652.376859126263</v>
      </c>
    </row>
    <row r="41" spans="2:10" x14ac:dyDescent="0.2">
      <c r="B41">
        <f t="shared" si="2"/>
        <v>24</v>
      </c>
      <c r="C41" s="30">
        <f t="shared" si="3"/>
        <v>74652.376859126263</v>
      </c>
      <c r="D41" s="30">
        <f t="shared" si="0"/>
        <v>5860.4159453821621</v>
      </c>
      <c r="E41" s="30">
        <f t="shared" si="1"/>
        <v>217.73609917245162</v>
      </c>
      <c r="F41" s="30">
        <f t="shared" si="4"/>
        <v>5642.6798462097104</v>
      </c>
      <c r="G41" s="30">
        <f t="shared" si="5"/>
        <v>69009.697012916557</v>
      </c>
    </row>
    <row r="42" spans="2:10" x14ac:dyDescent="0.2">
      <c r="B42">
        <f t="shared" si="2"/>
        <v>25</v>
      </c>
      <c r="C42" s="30">
        <f t="shared" si="3"/>
        <v>69009.697012916557</v>
      </c>
      <c r="D42" s="30">
        <f t="shared" si="0"/>
        <v>5860.4159453821621</v>
      </c>
      <c r="E42" s="30">
        <f t="shared" si="1"/>
        <v>201.27828295433997</v>
      </c>
      <c r="F42" s="30">
        <f t="shared" si="4"/>
        <v>5659.1376624278219</v>
      </c>
      <c r="G42" s="30">
        <f t="shared" si="5"/>
        <v>63350.559350488737</v>
      </c>
      <c r="I42" s="46"/>
      <c r="J42" s="37"/>
    </row>
    <row r="43" spans="2:10" x14ac:dyDescent="0.2">
      <c r="B43">
        <f t="shared" si="2"/>
        <v>26</v>
      </c>
      <c r="C43" s="30">
        <f t="shared" si="3"/>
        <v>63350.559350488737</v>
      </c>
      <c r="D43" s="30">
        <f t="shared" si="0"/>
        <v>5860.4159453821621</v>
      </c>
      <c r="E43" s="30">
        <f t="shared" si="1"/>
        <v>184.77246477225881</v>
      </c>
      <c r="F43" s="30">
        <f t="shared" si="4"/>
        <v>5675.6434806099032</v>
      </c>
      <c r="G43" s="30">
        <f t="shared" si="5"/>
        <v>57674.915869878831</v>
      </c>
    </row>
    <row r="44" spans="2:10" x14ac:dyDescent="0.2">
      <c r="B44">
        <f t="shared" si="2"/>
        <v>27</v>
      </c>
      <c r="C44" s="30">
        <f t="shared" si="3"/>
        <v>57674.915869878831</v>
      </c>
      <c r="D44" s="30">
        <f t="shared" si="0"/>
        <v>5860.4159453821621</v>
      </c>
      <c r="E44" s="30">
        <f t="shared" si="1"/>
        <v>168.21850462047993</v>
      </c>
      <c r="F44" s="30">
        <f t="shared" si="4"/>
        <v>5692.1974407616826</v>
      </c>
      <c r="G44" s="30">
        <f t="shared" si="5"/>
        <v>51982.718429117151</v>
      </c>
    </row>
    <row r="45" spans="2:10" x14ac:dyDescent="0.2">
      <c r="B45">
        <f t="shared" si="2"/>
        <v>28</v>
      </c>
      <c r="C45" s="30">
        <f t="shared" si="3"/>
        <v>51982.718429117151</v>
      </c>
      <c r="D45" s="30">
        <f t="shared" si="0"/>
        <v>5860.4159453821621</v>
      </c>
      <c r="E45" s="30">
        <f t="shared" si="1"/>
        <v>151.61626208492504</v>
      </c>
      <c r="F45" s="30">
        <f t="shared" si="4"/>
        <v>5708.7996832972367</v>
      </c>
      <c r="G45" s="30">
        <f t="shared" si="5"/>
        <v>46273.918745819916</v>
      </c>
    </row>
    <row r="46" spans="2:10" x14ac:dyDescent="0.2">
      <c r="B46">
        <f t="shared" si="2"/>
        <v>29</v>
      </c>
      <c r="C46" s="30">
        <f t="shared" si="3"/>
        <v>46273.918745819916</v>
      </c>
      <c r="D46" s="30">
        <f t="shared" si="0"/>
        <v>5860.4159453821621</v>
      </c>
      <c r="E46" s="30">
        <f t="shared" si="1"/>
        <v>134.96559634197476</v>
      </c>
      <c r="F46" s="30">
        <f t="shared" si="4"/>
        <v>5725.4503490401876</v>
      </c>
      <c r="G46" s="30">
        <f t="shared" si="5"/>
        <v>40548.468396779732</v>
      </c>
    </row>
    <row r="47" spans="2:10" x14ac:dyDescent="0.2">
      <c r="B47">
        <f t="shared" si="2"/>
        <v>30</v>
      </c>
      <c r="C47" s="30">
        <f t="shared" si="3"/>
        <v>40548.468396779732</v>
      </c>
      <c r="D47" s="30">
        <f t="shared" si="0"/>
        <v>5860.4159453821621</v>
      </c>
      <c r="E47" s="30">
        <f t="shared" si="1"/>
        <v>118.26636615727422</v>
      </c>
      <c r="F47" s="30">
        <f t="shared" si="4"/>
        <v>5742.1495792248879</v>
      </c>
      <c r="G47" s="30">
        <f t="shared" si="5"/>
        <v>34806.318817554842</v>
      </c>
    </row>
    <row r="48" spans="2:10" x14ac:dyDescent="0.2">
      <c r="B48">
        <f t="shared" si="2"/>
        <v>31</v>
      </c>
      <c r="C48" s="30">
        <f t="shared" si="3"/>
        <v>34806.318817554842</v>
      </c>
      <c r="D48" s="30">
        <f t="shared" si="0"/>
        <v>5860.4159453821621</v>
      </c>
      <c r="E48" s="30">
        <f t="shared" si="1"/>
        <v>101.51842988453497</v>
      </c>
      <c r="F48" s="30">
        <f t="shared" si="4"/>
        <v>5758.897515497627</v>
      </c>
      <c r="G48" s="30">
        <f t="shared" si="5"/>
        <v>29047.421302057213</v>
      </c>
    </row>
    <row r="49" spans="2:7" x14ac:dyDescent="0.2">
      <c r="B49">
        <f t="shared" si="2"/>
        <v>32</v>
      </c>
      <c r="C49" s="30">
        <f t="shared" si="3"/>
        <v>29047.421302057213</v>
      </c>
      <c r="D49" s="30">
        <f t="shared" si="0"/>
        <v>5860.4159453821621</v>
      </c>
      <c r="E49" s="30">
        <f t="shared" si="1"/>
        <v>84.721645464333548</v>
      </c>
      <c r="F49" s="30">
        <f t="shared" si="4"/>
        <v>5775.6942999178282</v>
      </c>
      <c r="G49" s="30">
        <f t="shared" si="5"/>
        <v>23271.727002139385</v>
      </c>
    </row>
    <row r="50" spans="2:7" x14ac:dyDescent="0.2">
      <c r="B50">
        <f t="shared" si="2"/>
        <v>33</v>
      </c>
      <c r="C50" s="30">
        <f t="shared" si="3"/>
        <v>23271.727002139385</v>
      </c>
      <c r="D50" s="30">
        <f t="shared" si="0"/>
        <v>5860.4159453821621</v>
      </c>
      <c r="E50" s="30">
        <f t="shared" si="1"/>
        <v>67.875870422906544</v>
      </c>
      <c r="F50" s="30">
        <f t="shared" si="4"/>
        <v>5792.5400749592554</v>
      </c>
      <c r="G50" s="30">
        <f t="shared" si="5"/>
        <v>17479.18692718013</v>
      </c>
    </row>
    <row r="51" spans="2:7" x14ac:dyDescent="0.2">
      <c r="B51">
        <f t="shared" si="2"/>
        <v>34</v>
      </c>
      <c r="C51" s="30">
        <f t="shared" si="3"/>
        <v>17479.18692718013</v>
      </c>
      <c r="D51" s="30">
        <f t="shared" si="0"/>
        <v>5860.4159453821621</v>
      </c>
      <c r="E51" s="30">
        <f t="shared" si="1"/>
        <v>50.980961870942053</v>
      </c>
      <c r="F51" s="30">
        <f t="shared" si="4"/>
        <v>5809.4349835112198</v>
      </c>
      <c r="G51" s="30">
        <f t="shared" si="5"/>
        <v>11669.751943668911</v>
      </c>
    </row>
    <row r="52" spans="2:7" x14ac:dyDescent="0.2">
      <c r="B52">
        <f t="shared" si="2"/>
        <v>35</v>
      </c>
      <c r="C52" s="30">
        <f t="shared" si="3"/>
        <v>11669.751943668911</v>
      </c>
      <c r="D52" s="30">
        <f t="shared" si="0"/>
        <v>5860.4159453821621</v>
      </c>
      <c r="E52" s="30">
        <f t="shared" si="1"/>
        <v>34.036776502367658</v>
      </c>
      <c r="F52" s="30">
        <f t="shared" si="4"/>
        <v>5826.3791688797946</v>
      </c>
      <c r="G52" s="30">
        <f t="shared" si="5"/>
        <v>5843.3727747891162</v>
      </c>
    </row>
    <row r="53" spans="2:7" x14ac:dyDescent="0.2">
      <c r="B53">
        <f t="shared" si="2"/>
        <v>36</v>
      </c>
      <c r="C53" s="30">
        <f t="shared" si="3"/>
        <v>5843.3727747891162</v>
      </c>
      <c r="D53" s="30">
        <f t="shared" si="0"/>
        <v>5860.4159453821621</v>
      </c>
      <c r="E53" s="30">
        <f t="shared" si="1"/>
        <v>17.043170593134924</v>
      </c>
      <c r="F53" s="30">
        <f t="shared" si="4"/>
        <v>5843.3727747890271</v>
      </c>
      <c r="G53" s="30">
        <f t="shared" si="5"/>
        <v>8.9130480773746967E-11</v>
      </c>
    </row>
    <row r="54" spans="2:7" x14ac:dyDescent="0.2">
      <c r="B54">
        <f>IF(OR(G53=" ",G53&lt;0)," ",B53+1)</f>
        <v>37</v>
      </c>
      <c r="C54" s="30">
        <f t="shared" si="3"/>
        <v>8.9130480773746967E-11</v>
      </c>
      <c r="D54" s="30">
        <f t="shared" si="0"/>
        <v>5860.4159453821621</v>
      </c>
      <c r="E54" s="30">
        <f t="shared" si="1"/>
        <v>2.5996390225676198E-13</v>
      </c>
      <c r="F54" s="30">
        <f t="shared" si="4"/>
        <v>5860.4159453821621</v>
      </c>
      <c r="G54" s="30">
        <f t="shared" si="5"/>
        <v>-5860.415945382073</v>
      </c>
    </row>
    <row r="55" spans="2:7" x14ac:dyDescent="0.2">
      <c r="C55" s="30"/>
      <c r="D55" s="30"/>
      <c r="E55" s="30"/>
      <c r="F55" s="75">
        <f>SUM(F18:F53)</f>
        <v>199999.99999999997</v>
      </c>
      <c r="G55" s="30"/>
    </row>
    <row r="56" spans="2:7" x14ac:dyDescent="0.2">
      <c r="C56" s="30"/>
      <c r="D56" s="30"/>
      <c r="E56" s="30"/>
      <c r="F56" s="30"/>
      <c r="G56" s="30"/>
    </row>
    <row r="57" spans="2:7" x14ac:dyDescent="0.2">
      <c r="C57" s="30"/>
      <c r="D57" s="30"/>
      <c r="E57" s="30"/>
      <c r="F57" s="30"/>
      <c r="G57" s="30"/>
    </row>
    <row r="58" spans="2:7" x14ac:dyDescent="0.2">
      <c r="C58" s="30"/>
      <c r="D58" s="30"/>
      <c r="E58" s="30"/>
      <c r="F58" s="30"/>
      <c r="G58" s="30"/>
    </row>
    <row r="59" spans="2:7" x14ac:dyDescent="0.2">
      <c r="C59" s="30"/>
      <c r="D59" s="30"/>
      <c r="E59" s="30"/>
      <c r="F59" s="30"/>
      <c r="G59" s="30"/>
    </row>
    <row r="60" spans="2:7" x14ac:dyDescent="0.2">
      <c r="C60" s="30"/>
      <c r="D60" s="30"/>
      <c r="E60" s="30"/>
      <c r="F60" s="30"/>
      <c r="G60" s="30"/>
    </row>
    <row r="61" spans="2:7" x14ac:dyDescent="0.2">
      <c r="C61" s="30"/>
      <c r="D61" s="30"/>
      <c r="E61" s="30"/>
      <c r="F61" s="30"/>
      <c r="G61" s="30"/>
    </row>
    <row r="62" spans="2:7" x14ac:dyDescent="0.2">
      <c r="C62" s="30"/>
      <c r="D62" s="30"/>
      <c r="E62" s="30"/>
      <c r="F62" s="30"/>
      <c r="G62" s="30"/>
    </row>
    <row r="63" spans="2:7" x14ac:dyDescent="0.2">
      <c r="C63" s="30"/>
      <c r="D63" s="30"/>
      <c r="E63" s="30"/>
      <c r="F63" s="30"/>
      <c r="G63" s="30"/>
    </row>
    <row r="64" spans="2:7" x14ac:dyDescent="0.2">
      <c r="C64" s="30"/>
      <c r="D64" s="30"/>
      <c r="E64" s="30"/>
      <c r="F64" s="30"/>
      <c r="G64" s="30"/>
    </row>
    <row r="65" spans="3:7" x14ac:dyDescent="0.2">
      <c r="C65" s="30"/>
      <c r="D65" s="30"/>
      <c r="E65" s="30"/>
      <c r="F65" s="30"/>
      <c r="G65" s="30"/>
    </row>
    <row r="66" spans="3:7" x14ac:dyDescent="0.2">
      <c r="C66" s="30"/>
      <c r="D66" s="30"/>
      <c r="E66" s="30"/>
      <c r="F66" s="30"/>
      <c r="G66" s="30"/>
    </row>
  </sheetData>
  <mergeCells count="2">
    <mergeCell ref="B16:G16"/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25C8E-FE2E-7B4D-AF0E-2B5247430770}">
  <sheetPr>
    <tabColor rgb="FFAB7942"/>
  </sheetPr>
  <dimension ref="B2:U8"/>
  <sheetViews>
    <sheetView workbookViewId="0">
      <selection activeCell="F6" sqref="F6"/>
    </sheetView>
  </sheetViews>
  <sheetFormatPr baseColWidth="10" defaultRowHeight="15" x14ac:dyDescent="0.2"/>
  <cols>
    <col min="2" max="2" width="13.6640625" customWidth="1"/>
    <col min="3" max="3" width="12" customWidth="1"/>
    <col min="4" max="4" width="14.5" customWidth="1"/>
    <col min="5" max="5" width="14.6640625" customWidth="1"/>
    <col min="6" max="6" width="15.33203125" customWidth="1"/>
  </cols>
  <sheetData>
    <row r="2" spans="2:21" x14ac:dyDescent="0.2">
      <c r="B2" t="s">
        <v>61</v>
      </c>
      <c r="C2" t="s">
        <v>67</v>
      </c>
      <c r="D2" t="s">
        <v>68</v>
      </c>
      <c r="E2" t="s">
        <v>69</v>
      </c>
      <c r="F2" t="s">
        <v>70</v>
      </c>
    </row>
    <row r="3" spans="2:21" x14ac:dyDescent="0.2">
      <c r="B3" t="s">
        <v>62</v>
      </c>
      <c r="C3" s="8">
        <v>0.77</v>
      </c>
      <c r="D3" s="8">
        <v>0.1</v>
      </c>
      <c r="E3" s="8">
        <v>0.05</v>
      </c>
      <c r="F3" s="8">
        <v>0.22</v>
      </c>
    </row>
    <row r="4" spans="2:21" x14ac:dyDescent="0.2">
      <c r="B4" t="s">
        <v>63</v>
      </c>
      <c r="C4" s="8">
        <v>0.65</v>
      </c>
      <c r="D4" s="8">
        <v>0.34</v>
      </c>
      <c r="E4" s="8">
        <v>0.01</v>
      </c>
      <c r="F4" s="8">
        <v>0.28000000000000003</v>
      </c>
    </row>
    <row r="5" spans="2:21" x14ac:dyDescent="0.2">
      <c r="B5" t="s">
        <v>64</v>
      </c>
      <c r="C5" s="8">
        <v>0.49</v>
      </c>
      <c r="D5" s="8">
        <v>0.49</v>
      </c>
      <c r="E5" s="8">
        <v>0.02</v>
      </c>
      <c r="F5" s="8">
        <v>0.23</v>
      </c>
    </row>
    <row r="6" spans="2:21" x14ac:dyDescent="0.2">
      <c r="B6" t="s">
        <v>65</v>
      </c>
      <c r="C6" s="8">
        <f>COUNTIF(Shelflifestatus,"Excellent")/56</f>
        <v>0.9107142857142857</v>
      </c>
      <c r="D6" s="9">
        <f>COUNTIF(Shelflifestatus,"Satisfactory")/56</f>
        <v>8.9285714285714288E-2</v>
      </c>
      <c r="E6" s="8">
        <f>COUNTIF(Shelflifestatus,"Unsatisfactory")/56</f>
        <v>0</v>
      </c>
      <c r="F6" s="32">
        <f>Analysis!X58/Analysis!W58</f>
        <v>0.32204502506342042</v>
      </c>
      <c r="H6" s="34" t="s">
        <v>98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</row>
    <row r="8" spans="2:21" x14ac:dyDescent="0.2">
      <c r="C8" s="33" t="s">
        <v>71</v>
      </c>
      <c r="D8" s="33"/>
      <c r="E8" s="33"/>
      <c r="F8" s="33"/>
      <c r="G8" s="33"/>
      <c r="H8" s="33"/>
      <c r="I8" s="33"/>
      <c r="J8" s="33"/>
      <c r="K8" s="33"/>
      <c r="L8" s="33"/>
    </row>
  </sheetData>
  <conditionalFormatting sqref="C3:C6">
    <cfRule type="top10" dxfId="5" priority="2" percent="1" rank="1"/>
  </conditionalFormatting>
  <conditionalFormatting sqref="D3:D6">
    <cfRule type="top10" dxfId="4" priority="1" rank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DDFE-A2A6-F343-B21A-960C8D13C771}">
  <sheetPr>
    <tabColor theme="4" tint="0.39997558519241921"/>
  </sheetPr>
  <dimension ref="B2:E15"/>
  <sheetViews>
    <sheetView workbookViewId="0">
      <selection activeCell="E15" sqref="E15"/>
    </sheetView>
  </sheetViews>
  <sheetFormatPr baseColWidth="10" defaultRowHeight="15" x14ac:dyDescent="0.2"/>
  <cols>
    <col min="2" max="3" width="12.1640625" bestFit="1" customWidth="1"/>
    <col min="4" max="4" width="27.6640625" bestFit="1" customWidth="1"/>
    <col min="5" max="5" width="20.5" bestFit="1" customWidth="1"/>
    <col min="6" max="6" width="11" bestFit="1" customWidth="1"/>
    <col min="8" max="8" width="12.1640625" bestFit="1" customWidth="1"/>
  </cols>
  <sheetData>
    <row r="2" spans="2:5" x14ac:dyDescent="0.2">
      <c r="B2" s="13" t="s">
        <v>74</v>
      </c>
      <c r="C2" s="13" t="s">
        <v>95</v>
      </c>
      <c r="D2" t="s">
        <v>96</v>
      </c>
      <c r="E2" t="s">
        <v>97</v>
      </c>
    </row>
    <row r="3" spans="2:5" x14ac:dyDescent="0.2">
      <c r="B3" s="7" t="s">
        <v>29</v>
      </c>
      <c r="C3" s="17">
        <v>155.55000000000001</v>
      </c>
      <c r="D3" s="17">
        <v>223.49250000000001</v>
      </c>
      <c r="E3" s="17">
        <v>61.942499999999995</v>
      </c>
    </row>
    <row r="4" spans="2:5" x14ac:dyDescent="0.2">
      <c r="B4" s="7" t="s">
        <v>17</v>
      </c>
      <c r="C4" s="17">
        <v>175.5</v>
      </c>
      <c r="D4" s="17">
        <v>263.25</v>
      </c>
      <c r="E4" s="17">
        <v>79.349999999999994</v>
      </c>
    </row>
    <row r="5" spans="2:5" x14ac:dyDescent="0.2">
      <c r="B5" s="7" t="s">
        <v>33</v>
      </c>
      <c r="C5" s="17">
        <v>424</v>
      </c>
      <c r="D5" s="17">
        <v>742</v>
      </c>
      <c r="E5" s="17">
        <v>303.59999999999997</v>
      </c>
    </row>
    <row r="6" spans="2:5" x14ac:dyDescent="0.2">
      <c r="B6" s="7" t="s">
        <v>24</v>
      </c>
      <c r="C6" s="17">
        <v>186</v>
      </c>
      <c r="D6" s="17">
        <v>260.39999999999998</v>
      </c>
      <c r="E6" s="17">
        <v>66.399999999999991</v>
      </c>
    </row>
    <row r="7" spans="2:5" x14ac:dyDescent="0.2">
      <c r="B7" s="7" t="s">
        <v>26</v>
      </c>
      <c r="C7" s="17">
        <v>28</v>
      </c>
      <c r="D7" s="17">
        <v>49</v>
      </c>
      <c r="E7" s="17">
        <v>17.8</v>
      </c>
    </row>
    <row r="8" spans="2:5" x14ac:dyDescent="0.2">
      <c r="B8" s="7" t="s">
        <v>42</v>
      </c>
      <c r="C8" s="17">
        <v>164</v>
      </c>
      <c r="D8" s="17">
        <v>240.79999999999998</v>
      </c>
      <c r="E8" s="17">
        <v>67.199999999999989</v>
      </c>
    </row>
    <row r="9" spans="2:5" x14ac:dyDescent="0.2">
      <c r="B9" s="7" t="s">
        <v>31</v>
      </c>
      <c r="C9" s="17">
        <v>83</v>
      </c>
      <c r="D9" s="17">
        <v>121.05000000000001</v>
      </c>
      <c r="E9" s="17">
        <v>32.449999999999996</v>
      </c>
    </row>
    <row r="10" spans="2:5" x14ac:dyDescent="0.2">
      <c r="B10" s="7" t="s">
        <v>21</v>
      </c>
      <c r="C10" s="17">
        <v>192</v>
      </c>
      <c r="D10" s="17">
        <v>283.2</v>
      </c>
      <c r="E10" s="17">
        <v>78</v>
      </c>
    </row>
    <row r="11" spans="2:5" x14ac:dyDescent="0.2">
      <c r="B11" s="7" t="s">
        <v>36</v>
      </c>
      <c r="C11" s="17">
        <v>98.275000000000006</v>
      </c>
      <c r="D11" s="17">
        <v>144.22125</v>
      </c>
      <c r="E11" s="17">
        <v>39.146250000000002</v>
      </c>
    </row>
    <row r="12" spans="2:5" x14ac:dyDescent="0.2">
      <c r="B12" s="7" t="s">
        <v>47</v>
      </c>
      <c r="C12" s="17">
        <v>41</v>
      </c>
      <c r="D12" s="17">
        <v>71.75</v>
      </c>
      <c r="E12" s="17">
        <v>26.75</v>
      </c>
    </row>
    <row r="13" spans="2:5" x14ac:dyDescent="0.2">
      <c r="B13" s="7" t="s">
        <v>75</v>
      </c>
      <c r="C13" s="17">
        <v>1547.325</v>
      </c>
      <c r="D13" s="17">
        <v>2399.1637499999997</v>
      </c>
      <c r="E13" s="17">
        <v>772.63874999999985</v>
      </c>
    </row>
    <row r="15" spans="2:5" x14ac:dyDescent="0.2">
      <c r="D15" t="s">
        <v>102</v>
      </c>
      <c r="E15" s="41">
        <v>814.73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CA71B-BE22-6F43-AB6E-5F49A595D058}">
  <dimension ref="B2:F19"/>
  <sheetViews>
    <sheetView workbookViewId="0">
      <selection activeCell="C18" sqref="C18"/>
    </sheetView>
  </sheetViews>
  <sheetFormatPr baseColWidth="10" defaultRowHeight="15" x14ac:dyDescent="0.2"/>
  <cols>
    <col min="2" max="2" width="15.6640625" customWidth="1"/>
    <col min="3" max="3" width="25.1640625" customWidth="1"/>
    <col min="4" max="4" width="17.33203125" customWidth="1"/>
    <col min="5" max="5" width="17.6640625" customWidth="1"/>
  </cols>
  <sheetData>
    <row r="2" spans="2:6" x14ac:dyDescent="0.2">
      <c r="B2" s="82" t="s">
        <v>66</v>
      </c>
      <c r="C2" s="83"/>
      <c r="D2" s="84"/>
    </row>
    <row r="3" spans="2:6" x14ac:dyDescent="0.2">
      <c r="B3" s="10">
        <v>0</v>
      </c>
      <c r="C3" s="3" t="s">
        <v>58</v>
      </c>
      <c r="D3" s="4"/>
    </row>
    <row r="4" spans="2:6" x14ac:dyDescent="0.2">
      <c r="B4" s="11">
        <v>4</v>
      </c>
      <c r="C4" s="3" t="s">
        <v>59</v>
      </c>
      <c r="D4" s="4"/>
    </row>
    <row r="5" spans="2:6" x14ac:dyDescent="0.2">
      <c r="B5" s="12">
        <v>7</v>
      </c>
      <c r="C5" s="5" t="s">
        <v>60</v>
      </c>
      <c r="D5" s="6"/>
    </row>
    <row r="8" spans="2:6" x14ac:dyDescent="0.2">
      <c r="B8" s="24" t="s">
        <v>6</v>
      </c>
      <c r="C8" s="25" t="s">
        <v>5</v>
      </c>
      <c r="D8" s="25" t="s">
        <v>77</v>
      </c>
      <c r="E8" s="25" t="s">
        <v>78</v>
      </c>
      <c r="F8" s="26"/>
    </row>
    <row r="9" spans="2:6" x14ac:dyDescent="0.2">
      <c r="B9" s="20" t="s">
        <v>79</v>
      </c>
      <c r="C9" s="3" t="s">
        <v>88</v>
      </c>
      <c r="D9" s="3" t="s">
        <v>89</v>
      </c>
      <c r="E9" s="21">
        <v>0.6</v>
      </c>
      <c r="F9" s="4"/>
    </row>
    <row r="10" spans="2:6" x14ac:dyDescent="0.2">
      <c r="B10" s="20" t="s">
        <v>79</v>
      </c>
      <c r="C10" s="3" t="s">
        <v>88</v>
      </c>
      <c r="D10" s="3" t="s">
        <v>87</v>
      </c>
      <c r="E10" s="21">
        <v>0.4</v>
      </c>
      <c r="F10" s="4"/>
    </row>
    <row r="11" spans="2:6" x14ac:dyDescent="0.2">
      <c r="B11" s="20" t="s">
        <v>80</v>
      </c>
      <c r="C11" s="3" t="s">
        <v>84</v>
      </c>
      <c r="D11" s="3" t="s">
        <v>85</v>
      </c>
      <c r="E11" s="21">
        <v>0.5</v>
      </c>
      <c r="F11" s="4"/>
    </row>
    <row r="12" spans="2:6" x14ac:dyDescent="0.2">
      <c r="B12" s="20" t="s">
        <v>80</v>
      </c>
      <c r="C12" s="3" t="s">
        <v>84</v>
      </c>
      <c r="D12" s="3" t="s">
        <v>86</v>
      </c>
      <c r="E12" s="21">
        <v>0.35</v>
      </c>
      <c r="F12" s="4"/>
    </row>
    <row r="13" spans="2:6" x14ac:dyDescent="0.2">
      <c r="B13" s="22" t="s">
        <v>81</v>
      </c>
      <c r="C13" s="5" t="s">
        <v>82</v>
      </c>
      <c r="D13" s="5" t="s">
        <v>83</v>
      </c>
      <c r="E13" s="23">
        <v>0.75</v>
      </c>
      <c r="F13" s="6"/>
    </row>
    <row r="17" spans="2:3" x14ac:dyDescent="0.2">
      <c r="B17" s="27" t="s">
        <v>94</v>
      </c>
      <c r="C17" s="28" t="s">
        <v>52</v>
      </c>
    </row>
    <row r="18" spans="2:3" x14ac:dyDescent="0.2">
      <c r="B18" s="18">
        <v>15</v>
      </c>
      <c r="C18" s="4" t="s">
        <v>59</v>
      </c>
    </row>
    <row r="19" spans="2:3" x14ac:dyDescent="0.2">
      <c r="B19" s="19">
        <v>75</v>
      </c>
      <c r="C19" s="6" t="s">
        <v>58</v>
      </c>
    </row>
  </sheetData>
  <mergeCells count="1">
    <mergeCell ref="B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527A-4972-2140-A747-616EC65A281A}">
  <sheetPr>
    <tabColor theme="7" tint="0.39997558519241921"/>
  </sheetPr>
  <dimension ref="B2:J20"/>
  <sheetViews>
    <sheetView workbookViewId="0">
      <selection activeCell="G7" sqref="G7"/>
    </sheetView>
  </sheetViews>
  <sheetFormatPr baseColWidth="10" defaultRowHeight="15" x14ac:dyDescent="0.2"/>
  <cols>
    <col min="2" max="2" width="12.1640625" bestFit="1" customWidth="1"/>
    <col min="3" max="3" width="19.83203125" bestFit="1" customWidth="1"/>
    <col min="9" max="9" width="12.1640625" bestFit="1" customWidth="1"/>
    <col min="10" max="10" width="19.83203125" bestFit="1" customWidth="1"/>
  </cols>
  <sheetData>
    <row r="2" spans="2:10" x14ac:dyDescent="0.2">
      <c r="B2" s="13" t="s">
        <v>74</v>
      </c>
      <c r="C2" t="s">
        <v>76</v>
      </c>
      <c r="I2" s="13" t="s">
        <v>74</v>
      </c>
      <c r="J2" t="s">
        <v>76</v>
      </c>
    </row>
    <row r="3" spans="2:10" x14ac:dyDescent="0.2">
      <c r="B3" s="7">
        <v>104</v>
      </c>
      <c r="C3" s="1">
        <v>596</v>
      </c>
      <c r="I3" s="7">
        <v>1003</v>
      </c>
      <c r="J3" s="1">
        <v>138</v>
      </c>
    </row>
    <row r="4" spans="2:10" x14ac:dyDescent="0.2">
      <c r="B4" s="7">
        <v>107</v>
      </c>
      <c r="C4" s="1">
        <v>60</v>
      </c>
      <c r="I4" s="7">
        <v>1004</v>
      </c>
      <c r="J4" s="1">
        <v>48</v>
      </c>
    </row>
    <row r="5" spans="2:10" x14ac:dyDescent="0.2">
      <c r="B5" s="7">
        <v>117</v>
      </c>
      <c r="C5" s="1">
        <v>623</v>
      </c>
      <c r="I5" s="7">
        <v>1008</v>
      </c>
      <c r="J5" s="1">
        <v>72</v>
      </c>
    </row>
    <row r="6" spans="2:10" x14ac:dyDescent="0.2">
      <c r="B6" s="7">
        <v>126</v>
      </c>
      <c r="C6" s="1">
        <v>281</v>
      </c>
      <c r="I6" s="7">
        <v>1010</v>
      </c>
      <c r="J6" s="1">
        <v>120</v>
      </c>
    </row>
    <row r="7" spans="2:10" x14ac:dyDescent="0.2">
      <c r="B7" s="7" t="s">
        <v>75</v>
      </c>
      <c r="C7" s="1">
        <v>1560</v>
      </c>
      <c r="I7" s="7">
        <v>1011</v>
      </c>
      <c r="J7" s="1">
        <v>56</v>
      </c>
    </row>
    <row r="8" spans="2:10" x14ac:dyDescent="0.2">
      <c r="I8" s="7">
        <v>1012</v>
      </c>
      <c r="J8" s="1">
        <v>108</v>
      </c>
    </row>
    <row r="9" spans="2:10" x14ac:dyDescent="0.2">
      <c r="I9" s="7">
        <v>1014</v>
      </c>
      <c r="J9" s="1">
        <v>60</v>
      </c>
    </row>
    <row r="10" spans="2:10" x14ac:dyDescent="0.2">
      <c r="I10" s="7">
        <v>1015</v>
      </c>
      <c r="J10" s="1">
        <v>23</v>
      </c>
    </row>
    <row r="11" spans="2:10" x14ac:dyDescent="0.2">
      <c r="I11" s="7">
        <v>1017</v>
      </c>
      <c r="J11" s="1">
        <v>180</v>
      </c>
    </row>
    <row r="12" spans="2:10" x14ac:dyDescent="0.2">
      <c r="I12" s="7">
        <v>1020</v>
      </c>
      <c r="J12" s="1">
        <v>90</v>
      </c>
    </row>
    <row r="13" spans="2:10" x14ac:dyDescent="0.2">
      <c r="I13" s="7">
        <v>1021</v>
      </c>
      <c r="J13" s="1">
        <v>69</v>
      </c>
    </row>
    <row r="14" spans="2:10" x14ac:dyDescent="0.2">
      <c r="I14" s="7">
        <v>1023</v>
      </c>
      <c r="J14" s="1">
        <v>80</v>
      </c>
    </row>
    <row r="15" spans="2:10" x14ac:dyDescent="0.2">
      <c r="I15" s="7">
        <v>1024</v>
      </c>
      <c r="J15" s="1">
        <v>23</v>
      </c>
    </row>
    <row r="16" spans="2:10" x14ac:dyDescent="0.2">
      <c r="I16" s="7">
        <v>1026</v>
      </c>
      <c r="J16" s="1">
        <v>364</v>
      </c>
    </row>
    <row r="17" spans="9:10" x14ac:dyDescent="0.2">
      <c r="I17" s="7">
        <v>1027</v>
      </c>
      <c r="J17" s="1">
        <v>60</v>
      </c>
    </row>
    <row r="18" spans="9:10" x14ac:dyDescent="0.2">
      <c r="I18" s="7">
        <v>1028</v>
      </c>
      <c r="J18" s="1">
        <v>41</v>
      </c>
    </row>
    <row r="19" spans="9:10" x14ac:dyDescent="0.2">
      <c r="I19" s="7">
        <v>1032</v>
      </c>
      <c r="J19" s="1">
        <v>28</v>
      </c>
    </row>
    <row r="20" spans="9:10" x14ac:dyDescent="0.2">
      <c r="I20" s="7" t="s">
        <v>75</v>
      </c>
      <c r="J20" s="1">
        <v>1560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D250-2BF4-435A-809C-296B0D91A082}">
  <sheetPr>
    <tabColor theme="5" tint="0.39997558519241921"/>
  </sheetPr>
  <dimension ref="A1:E58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1640625" bestFit="1" customWidth="1"/>
    <col min="2" max="2" width="8.5" bestFit="1" customWidth="1"/>
    <col min="3" max="3" width="11" bestFit="1" customWidth="1"/>
    <col min="4" max="4" width="12.33203125" bestFit="1" customWidth="1"/>
    <col min="5" max="5" width="8.6640625" bestFit="1" customWidth="1"/>
  </cols>
  <sheetData>
    <row r="1" spans="1:5" x14ac:dyDescent="0.2">
      <c r="A1" s="71" t="s">
        <v>50</v>
      </c>
      <c r="B1" s="72" t="s">
        <v>51</v>
      </c>
      <c r="C1" s="72" t="s">
        <v>4</v>
      </c>
      <c r="D1" s="72" t="s">
        <v>12</v>
      </c>
      <c r="E1" s="73" t="s">
        <v>52</v>
      </c>
    </row>
    <row r="2" spans="1:5" x14ac:dyDescent="0.2">
      <c r="A2" s="67">
        <v>14963</v>
      </c>
      <c r="B2" s="68">
        <v>1028</v>
      </c>
      <c r="C2" s="68">
        <v>1</v>
      </c>
      <c r="D2" s="69">
        <v>39569</v>
      </c>
      <c r="E2" s="70" t="s">
        <v>53</v>
      </c>
    </row>
    <row r="3" spans="1:5" x14ac:dyDescent="0.2">
      <c r="A3" s="55">
        <v>14966</v>
      </c>
      <c r="B3" s="56">
        <v>1020</v>
      </c>
      <c r="C3" s="56">
        <v>3</v>
      </c>
      <c r="D3" s="57">
        <v>39569</v>
      </c>
      <c r="E3" s="58" t="s">
        <v>53</v>
      </c>
    </row>
    <row r="4" spans="1:5" x14ac:dyDescent="0.2">
      <c r="A4" s="51">
        <v>14981</v>
      </c>
      <c r="B4" s="52">
        <v>1021</v>
      </c>
      <c r="C4" s="52">
        <v>2</v>
      </c>
      <c r="D4" s="53">
        <v>39572</v>
      </c>
      <c r="E4" s="54" t="s">
        <v>53</v>
      </c>
    </row>
    <row r="5" spans="1:5" x14ac:dyDescent="0.2">
      <c r="A5" s="55">
        <v>14997</v>
      </c>
      <c r="B5" s="56">
        <v>1015</v>
      </c>
      <c r="C5" s="56">
        <v>2</v>
      </c>
      <c r="D5" s="57">
        <v>39576</v>
      </c>
      <c r="E5" s="58" t="s">
        <v>53</v>
      </c>
    </row>
    <row r="6" spans="1:5" x14ac:dyDescent="0.2">
      <c r="A6" s="51">
        <v>15196</v>
      </c>
      <c r="B6" s="52">
        <v>1015</v>
      </c>
      <c r="C6" s="52">
        <v>2</v>
      </c>
      <c r="D6" s="53">
        <v>39584</v>
      </c>
      <c r="E6" s="54" t="s">
        <v>53</v>
      </c>
    </row>
    <row r="7" spans="1:5" x14ac:dyDescent="0.2">
      <c r="A7" s="55">
        <v>15165</v>
      </c>
      <c r="B7" s="56">
        <v>1020</v>
      </c>
      <c r="C7" s="56">
        <v>3</v>
      </c>
      <c r="D7" s="57">
        <v>39586</v>
      </c>
      <c r="E7" s="58" t="s">
        <v>53</v>
      </c>
    </row>
    <row r="8" spans="1:5" x14ac:dyDescent="0.2">
      <c r="A8" s="51">
        <v>15162</v>
      </c>
      <c r="B8" s="52">
        <v>1028</v>
      </c>
      <c r="C8" s="52">
        <v>1</v>
      </c>
      <c r="D8" s="53">
        <v>39586</v>
      </c>
      <c r="E8" s="54" t="s">
        <v>53</v>
      </c>
    </row>
    <row r="9" spans="1:5" x14ac:dyDescent="0.2">
      <c r="A9" s="55">
        <v>15149</v>
      </c>
      <c r="B9" s="56">
        <v>1026</v>
      </c>
      <c r="C9" s="56">
        <v>2</v>
      </c>
      <c r="D9" s="57">
        <v>39586</v>
      </c>
      <c r="E9" s="58" t="s">
        <v>53</v>
      </c>
    </row>
    <row r="10" spans="1:5" x14ac:dyDescent="0.2">
      <c r="A10" s="51">
        <v>15180</v>
      </c>
      <c r="B10" s="52">
        <v>1021</v>
      </c>
      <c r="C10" s="52">
        <v>2</v>
      </c>
      <c r="D10" s="53">
        <v>39590</v>
      </c>
      <c r="E10" s="54" t="s">
        <v>53</v>
      </c>
    </row>
    <row r="11" spans="1:5" x14ac:dyDescent="0.2">
      <c r="A11" s="55">
        <v>15348</v>
      </c>
      <c r="B11" s="56">
        <v>1026</v>
      </c>
      <c r="C11" s="56">
        <v>2</v>
      </c>
      <c r="D11" s="57">
        <v>39598</v>
      </c>
      <c r="E11" s="58" t="s">
        <v>53</v>
      </c>
    </row>
    <row r="12" spans="1:5" x14ac:dyDescent="0.2">
      <c r="A12" s="59">
        <v>15364</v>
      </c>
      <c r="B12" s="60">
        <v>1020</v>
      </c>
      <c r="C12" s="60">
        <v>3</v>
      </c>
      <c r="D12" s="61">
        <v>39598</v>
      </c>
      <c r="E12" s="62" t="s">
        <v>53</v>
      </c>
    </row>
    <row r="13" spans="1:5" x14ac:dyDescent="0.2">
      <c r="A13" s="51">
        <v>14965</v>
      </c>
      <c r="B13" s="52">
        <v>1023</v>
      </c>
      <c r="C13" s="52">
        <v>2</v>
      </c>
      <c r="D13" s="53">
        <v>39569</v>
      </c>
      <c r="E13" s="54" t="s">
        <v>53</v>
      </c>
    </row>
    <row r="14" spans="1:5" x14ac:dyDescent="0.2">
      <c r="A14" s="55">
        <v>14972</v>
      </c>
      <c r="B14" s="56">
        <v>1027</v>
      </c>
      <c r="C14" s="56">
        <v>1</v>
      </c>
      <c r="D14" s="57">
        <v>39572</v>
      </c>
      <c r="E14" s="58" t="s">
        <v>53</v>
      </c>
    </row>
    <row r="15" spans="1:5" x14ac:dyDescent="0.2">
      <c r="A15" s="51">
        <v>14995</v>
      </c>
      <c r="B15" s="52">
        <v>1011</v>
      </c>
      <c r="C15" s="52">
        <v>2</v>
      </c>
      <c r="D15" s="53">
        <v>39572</v>
      </c>
      <c r="E15" s="54" t="s">
        <v>53</v>
      </c>
    </row>
    <row r="16" spans="1:5" x14ac:dyDescent="0.2">
      <c r="A16" s="55">
        <v>14982</v>
      </c>
      <c r="B16" s="56">
        <v>1027</v>
      </c>
      <c r="C16" s="56">
        <v>1</v>
      </c>
      <c r="D16" s="57">
        <v>39572</v>
      </c>
      <c r="E16" s="58" t="s">
        <v>55</v>
      </c>
    </row>
    <row r="17" spans="1:5" x14ac:dyDescent="0.2">
      <c r="A17" s="51">
        <v>15037</v>
      </c>
      <c r="B17" s="52">
        <v>1012</v>
      </c>
      <c r="C17" s="52">
        <v>3</v>
      </c>
      <c r="D17" s="53">
        <v>39576</v>
      </c>
      <c r="E17" s="54" t="s">
        <v>53</v>
      </c>
    </row>
    <row r="18" spans="1:5" x14ac:dyDescent="0.2">
      <c r="A18" s="55">
        <v>15033</v>
      </c>
      <c r="B18" s="56">
        <v>1021</v>
      </c>
      <c r="C18" s="56">
        <v>2</v>
      </c>
      <c r="D18" s="57">
        <v>39576</v>
      </c>
      <c r="E18" s="58" t="s">
        <v>53</v>
      </c>
    </row>
    <row r="19" spans="1:5" x14ac:dyDescent="0.2">
      <c r="A19" s="51">
        <v>15057</v>
      </c>
      <c r="B19" s="52">
        <v>1010</v>
      </c>
      <c r="C19" s="52">
        <v>3</v>
      </c>
      <c r="D19" s="53">
        <v>39576</v>
      </c>
      <c r="E19" s="54" t="s">
        <v>53</v>
      </c>
    </row>
    <row r="20" spans="1:5" x14ac:dyDescent="0.2">
      <c r="A20" s="55">
        <v>15055</v>
      </c>
      <c r="B20" s="56">
        <v>1026</v>
      </c>
      <c r="C20" s="56">
        <v>3</v>
      </c>
      <c r="D20" s="57">
        <v>39576</v>
      </c>
      <c r="E20" s="58" t="s">
        <v>53</v>
      </c>
    </row>
    <row r="21" spans="1:5" x14ac:dyDescent="0.2">
      <c r="A21" s="51">
        <v>15113</v>
      </c>
      <c r="B21" s="52">
        <v>1014</v>
      </c>
      <c r="C21" s="52">
        <v>2</v>
      </c>
      <c r="D21" s="53">
        <v>39583</v>
      </c>
      <c r="E21" s="54" t="s">
        <v>53</v>
      </c>
    </row>
    <row r="22" spans="1:5" x14ac:dyDescent="0.2">
      <c r="A22" s="55">
        <v>15164</v>
      </c>
      <c r="B22" s="56">
        <v>1023</v>
      </c>
      <c r="C22" s="56">
        <v>2</v>
      </c>
      <c r="D22" s="57">
        <v>39586</v>
      </c>
      <c r="E22" s="58" t="s">
        <v>53</v>
      </c>
    </row>
    <row r="23" spans="1:5" x14ac:dyDescent="0.2">
      <c r="A23" s="51">
        <v>15254</v>
      </c>
      <c r="B23" s="52">
        <v>1026</v>
      </c>
      <c r="C23" s="52">
        <v>3</v>
      </c>
      <c r="D23" s="53">
        <v>39587</v>
      </c>
      <c r="E23" s="54" t="s">
        <v>53</v>
      </c>
    </row>
    <row r="24" spans="1:5" x14ac:dyDescent="0.2">
      <c r="A24" s="55">
        <v>15232</v>
      </c>
      <c r="B24" s="56">
        <v>1021</v>
      </c>
      <c r="C24" s="56">
        <v>2</v>
      </c>
      <c r="D24" s="57">
        <v>39587</v>
      </c>
      <c r="E24" s="58" t="s">
        <v>53</v>
      </c>
    </row>
    <row r="25" spans="1:5" x14ac:dyDescent="0.2">
      <c r="A25" s="51">
        <v>15236</v>
      </c>
      <c r="B25" s="52">
        <v>1012</v>
      </c>
      <c r="C25" s="52">
        <v>3</v>
      </c>
      <c r="D25" s="53">
        <v>39587</v>
      </c>
      <c r="E25" s="54" t="s">
        <v>53</v>
      </c>
    </row>
    <row r="26" spans="1:5" x14ac:dyDescent="0.2">
      <c r="A26" s="55">
        <v>15256</v>
      </c>
      <c r="B26" s="56">
        <v>1010</v>
      </c>
      <c r="C26" s="56">
        <v>3</v>
      </c>
      <c r="D26" s="57">
        <v>39587</v>
      </c>
      <c r="E26" s="58" t="s">
        <v>53</v>
      </c>
    </row>
    <row r="27" spans="1:5" x14ac:dyDescent="0.2">
      <c r="A27" s="51">
        <v>15181</v>
      </c>
      <c r="B27" s="52">
        <v>1027</v>
      </c>
      <c r="C27" s="52">
        <v>1</v>
      </c>
      <c r="D27" s="53">
        <v>39590</v>
      </c>
      <c r="E27" s="54" t="s">
        <v>53</v>
      </c>
    </row>
    <row r="28" spans="1:5" x14ac:dyDescent="0.2">
      <c r="A28" s="55">
        <v>15194</v>
      </c>
      <c r="B28" s="56">
        <v>1011</v>
      </c>
      <c r="C28" s="56">
        <v>2</v>
      </c>
      <c r="D28" s="57">
        <v>39590</v>
      </c>
      <c r="E28" s="58" t="s">
        <v>53</v>
      </c>
    </row>
    <row r="29" spans="1:5" x14ac:dyDescent="0.2">
      <c r="A29" s="51">
        <v>15171</v>
      </c>
      <c r="B29" s="52">
        <v>1027</v>
      </c>
      <c r="C29" s="52">
        <v>1</v>
      </c>
      <c r="D29" s="53">
        <v>39590</v>
      </c>
      <c r="E29" s="54" t="s">
        <v>53</v>
      </c>
    </row>
    <row r="30" spans="1:5" x14ac:dyDescent="0.2">
      <c r="A30" s="55">
        <v>15312</v>
      </c>
      <c r="B30" s="56">
        <v>1014</v>
      </c>
      <c r="C30" s="56">
        <v>2</v>
      </c>
      <c r="D30" s="57">
        <v>39593</v>
      </c>
      <c r="E30" s="58" t="s">
        <v>53</v>
      </c>
    </row>
    <row r="31" spans="1:5" x14ac:dyDescent="0.2">
      <c r="A31" s="59">
        <v>15363</v>
      </c>
      <c r="B31" s="60">
        <v>1023</v>
      </c>
      <c r="C31" s="60">
        <v>2</v>
      </c>
      <c r="D31" s="61">
        <v>39598</v>
      </c>
      <c r="E31" s="62" t="s">
        <v>53</v>
      </c>
    </row>
    <row r="32" spans="1:5" x14ac:dyDescent="0.2">
      <c r="A32" s="51">
        <v>15064</v>
      </c>
      <c r="B32" s="52">
        <v>1017</v>
      </c>
      <c r="C32" s="52">
        <v>3</v>
      </c>
      <c r="D32" s="53">
        <v>39576</v>
      </c>
      <c r="E32" s="54" t="s">
        <v>53</v>
      </c>
    </row>
    <row r="33" spans="1:5" x14ac:dyDescent="0.2">
      <c r="A33" s="63">
        <v>15263</v>
      </c>
      <c r="B33" s="64">
        <v>1017</v>
      </c>
      <c r="C33" s="64">
        <v>3</v>
      </c>
      <c r="D33" s="65">
        <v>39587</v>
      </c>
      <c r="E33" s="66" t="s">
        <v>53</v>
      </c>
    </row>
    <row r="34" spans="1:5" x14ac:dyDescent="0.2">
      <c r="A34" s="51">
        <v>14955</v>
      </c>
      <c r="B34" s="52">
        <v>1017</v>
      </c>
      <c r="C34" s="52">
        <v>2</v>
      </c>
      <c r="D34" s="53">
        <v>39569</v>
      </c>
      <c r="E34" s="54" t="s">
        <v>53</v>
      </c>
    </row>
    <row r="35" spans="1:5" x14ac:dyDescent="0.2">
      <c r="A35" s="55">
        <v>14968</v>
      </c>
      <c r="B35" s="56">
        <v>1008</v>
      </c>
      <c r="C35" s="56">
        <v>2</v>
      </c>
      <c r="D35" s="57">
        <v>39569</v>
      </c>
      <c r="E35" s="58" t="s">
        <v>53</v>
      </c>
    </row>
    <row r="36" spans="1:5" x14ac:dyDescent="0.2">
      <c r="A36" s="51">
        <v>14987</v>
      </c>
      <c r="B36" s="52">
        <v>1032</v>
      </c>
      <c r="C36" s="52">
        <v>1</v>
      </c>
      <c r="D36" s="53">
        <v>39572</v>
      </c>
      <c r="E36" s="54" t="s">
        <v>53</v>
      </c>
    </row>
    <row r="37" spans="1:5" x14ac:dyDescent="0.2">
      <c r="A37" s="55">
        <v>14984</v>
      </c>
      <c r="B37" s="56">
        <v>1004</v>
      </c>
      <c r="C37" s="56">
        <v>1</v>
      </c>
      <c r="D37" s="57">
        <v>39572</v>
      </c>
      <c r="E37" s="58" t="s">
        <v>53</v>
      </c>
    </row>
    <row r="38" spans="1:5" x14ac:dyDescent="0.2">
      <c r="A38" s="51">
        <v>15062</v>
      </c>
      <c r="B38" s="52">
        <v>1014</v>
      </c>
      <c r="C38" s="52">
        <v>1</v>
      </c>
      <c r="D38" s="53">
        <v>39576</v>
      </c>
      <c r="E38" s="54" t="s">
        <v>53</v>
      </c>
    </row>
    <row r="39" spans="1:5" x14ac:dyDescent="0.2">
      <c r="A39" s="55">
        <v>15032</v>
      </c>
      <c r="B39" s="56">
        <v>1021</v>
      </c>
      <c r="C39" s="56">
        <v>2</v>
      </c>
      <c r="D39" s="57">
        <v>39576</v>
      </c>
      <c r="E39" s="58" t="s">
        <v>53</v>
      </c>
    </row>
    <row r="40" spans="1:5" x14ac:dyDescent="0.2">
      <c r="A40" s="51">
        <v>15105</v>
      </c>
      <c r="B40" s="52">
        <v>1008</v>
      </c>
      <c r="C40" s="52">
        <v>1</v>
      </c>
      <c r="D40" s="53">
        <v>39579</v>
      </c>
      <c r="E40" s="54" t="s">
        <v>53</v>
      </c>
    </row>
    <row r="41" spans="1:5" x14ac:dyDescent="0.2">
      <c r="A41" s="55">
        <v>15120</v>
      </c>
      <c r="B41" s="56">
        <v>1026</v>
      </c>
      <c r="C41" s="56">
        <v>2</v>
      </c>
      <c r="D41" s="57">
        <v>39583</v>
      </c>
      <c r="E41" s="58" t="s">
        <v>53</v>
      </c>
    </row>
    <row r="42" spans="1:5" x14ac:dyDescent="0.2">
      <c r="A42" s="51">
        <v>15130</v>
      </c>
      <c r="B42" s="52">
        <v>1003</v>
      </c>
      <c r="C42" s="52">
        <v>3</v>
      </c>
      <c r="D42" s="53">
        <v>39583</v>
      </c>
      <c r="E42" s="54" t="s">
        <v>53</v>
      </c>
    </row>
    <row r="43" spans="1:5" x14ac:dyDescent="0.2">
      <c r="A43" s="55">
        <v>15135</v>
      </c>
      <c r="B43" s="56">
        <v>1017</v>
      </c>
      <c r="C43" s="56">
        <v>3</v>
      </c>
      <c r="D43" s="57">
        <v>39583</v>
      </c>
      <c r="E43" s="58" t="s">
        <v>53</v>
      </c>
    </row>
    <row r="44" spans="1:5" x14ac:dyDescent="0.2">
      <c r="A44" s="51">
        <v>15121</v>
      </c>
      <c r="B44" s="52">
        <v>1024</v>
      </c>
      <c r="C44" s="52">
        <v>2</v>
      </c>
      <c r="D44" s="53">
        <v>39583</v>
      </c>
      <c r="E44" s="54" t="s">
        <v>53</v>
      </c>
    </row>
    <row r="45" spans="1:5" x14ac:dyDescent="0.2">
      <c r="A45" s="55">
        <v>15134</v>
      </c>
      <c r="B45" s="56">
        <v>1023</v>
      </c>
      <c r="C45" s="56">
        <v>1</v>
      </c>
      <c r="D45" s="57">
        <v>39583</v>
      </c>
      <c r="E45" s="58" t="s">
        <v>53</v>
      </c>
    </row>
    <row r="46" spans="1:5" x14ac:dyDescent="0.2">
      <c r="A46" s="51">
        <v>15154</v>
      </c>
      <c r="B46" s="52">
        <v>1017</v>
      </c>
      <c r="C46" s="52">
        <v>2</v>
      </c>
      <c r="D46" s="53">
        <v>39586</v>
      </c>
      <c r="E46" s="54" t="s">
        <v>53</v>
      </c>
    </row>
    <row r="47" spans="1:5" x14ac:dyDescent="0.2">
      <c r="A47" s="55">
        <v>15167</v>
      </c>
      <c r="B47" s="56">
        <v>1008</v>
      </c>
      <c r="C47" s="56">
        <v>2</v>
      </c>
      <c r="D47" s="57">
        <v>39586</v>
      </c>
      <c r="E47" s="58" t="s">
        <v>53</v>
      </c>
    </row>
    <row r="48" spans="1:5" x14ac:dyDescent="0.2">
      <c r="A48" s="51">
        <v>15261</v>
      </c>
      <c r="B48" s="52">
        <v>1014</v>
      </c>
      <c r="C48" s="52">
        <v>1</v>
      </c>
      <c r="D48" s="53">
        <v>39587</v>
      </c>
      <c r="E48" s="54" t="s">
        <v>53</v>
      </c>
    </row>
    <row r="49" spans="1:5" x14ac:dyDescent="0.2">
      <c r="A49" s="55">
        <v>15231</v>
      </c>
      <c r="B49" s="56">
        <v>1021</v>
      </c>
      <c r="C49" s="56">
        <v>2</v>
      </c>
      <c r="D49" s="57">
        <v>39587</v>
      </c>
      <c r="E49" s="58" t="s">
        <v>53</v>
      </c>
    </row>
    <row r="50" spans="1:5" x14ac:dyDescent="0.2">
      <c r="A50" s="51">
        <v>15304</v>
      </c>
      <c r="B50" s="52">
        <v>1008</v>
      </c>
      <c r="C50" s="52">
        <v>1</v>
      </c>
      <c r="D50" s="53">
        <v>39590</v>
      </c>
      <c r="E50" s="54" t="s">
        <v>53</v>
      </c>
    </row>
    <row r="51" spans="1:5" x14ac:dyDescent="0.2">
      <c r="A51" s="55">
        <v>15183</v>
      </c>
      <c r="B51" s="56">
        <v>1004</v>
      </c>
      <c r="C51" s="56">
        <v>1</v>
      </c>
      <c r="D51" s="57">
        <v>39590</v>
      </c>
      <c r="E51" s="58" t="s">
        <v>53</v>
      </c>
    </row>
    <row r="52" spans="1:5" x14ac:dyDescent="0.2">
      <c r="A52" s="51">
        <v>15186</v>
      </c>
      <c r="B52" s="52">
        <v>1032</v>
      </c>
      <c r="C52" s="52">
        <v>1</v>
      </c>
      <c r="D52" s="53">
        <v>39590</v>
      </c>
      <c r="E52" s="54" t="s">
        <v>53</v>
      </c>
    </row>
    <row r="53" spans="1:5" x14ac:dyDescent="0.2">
      <c r="A53" s="55">
        <v>15333</v>
      </c>
      <c r="B53" s="56">
        <v>1023</v>
      </c>
      <c r="C53" s="56">
        <v>1</v>
      </c>
      <c r="D53" s="57">
        <v>39593</v>
      </c>
      <c r="E53" s="58" t="s">
        <v>53</v>
      </c>
    </row>
    <row r="54" spans="1:5" x14ac:dyDescent="0.2">
      <c r="A54" s="51">
        <v>15329</v>
      </c>
      <c r="B54" s="52">
        <v>1003</v>
      </c>
      <c r="C54" s="52">
        <v>3</v>
      </c>
      <c r="D54" s="53">
        <v>39593</v>
      </c>
      <c r="E54" s="54" t="s">
        <v>53</v>
      </c>
    </row>
    <row r="55" spans="1:5" x14ac:dyDescent="0.2">
      <c r="A55" s="55">
        <v>15319</v>
      </c>
      <c r="B55" s="56">
        <v>1026</v>
      </c>
      <c r="C55" s="56">
        <v>2</v>
      </c>
      <c r="D55" s="57">
        <v>39593</v>
      </c>
      <c r="E55" s="58" t="s">
        <v>53</v>
      </c>
    </row>
    <row r="56" spans="1:5" x14ac:dyDescent="0.2">
      <c r="A56" s="51">
        <v>15334</v>
      </c>
      <c r="B56" s="52">
        <v>1017</v>
      </c>
      <c r="C56" s="52">
        <v>3</v>
      </c>
      <c r="D56" s="53">
        <v>39593</v>
      </c>
      <c r="E56" s="54" t="s">
        <v>54</v>
      </c>
    </row>
    <row r="57" spans="1:5" x14ac:dyDescent="0.2">
      <c r="A57" s="55">
        <v>15320</v>
      </c>
      <c r="B57" s="56">
        <v>1024</v>
      </c>
      <c r="C57" s="56">
        <v>2</v>
      </c>
      <c r="D57" s="57">
        <v>39593</v>
      </c>
      <c r="E57" s="58" t="s">
        <v>53</v>
      </c>
    </row>
    <row r="58" spans="1:5" x14ac:dyDescent="0.2">
      <c r="A58" s="59">
        <v>15353</v>
      </c>
      <c r="B58" s="60">
        <v>1017</v>
      </c>
      <c r="C58" s="60">
        <v>2</v>
      </c>
      <c r="D58" s="61">
        <v>39598</v>
      </c>
      <c r="E58" s="62" t="s">
        <v>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F A A B Q S w M E F A A C A A g A G G K c V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Y Y p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G K c V L 5 R D a d p A g A A 1 h 8 A A B M A H A B G b 3 J t d W x h c y 9 T Z W N 0 a W 9 u M S 5 t I K I Y A C i g F A A A A A A A A A A A A A A A A A A A A A A A A A A A A O 2 Y 3 2 / a M B D H n 4 f E / 2 C Z l y B l U Z P x Y z + U h x Z W r Q + r 1 o Y 9 A U I m u Y E l x 0 a 2 0 x U h / v c 5 I z S F M j Z N i 4 Z a 8 0 J 0 5 9 j f u 4 9 z 5 0 R B r K n g K N r 8 + x / q t X p N z Y m E B F 2 A 0 p N L C W o + i e Z 0 k Q L X k 4 v l 5 E p D i k L E Q N d r y P w i k c k Y j O U 8 j k E p r 0 8 0 m R I F z i V l 4 P U E 1 + Z G 5 e D e + 9 F X B V K N / E 7 3 7 d m 7 U V 9 8 5 0 y Q R I 1 u C U 8 I Y 9 s b X 3 8 W e p 4 p i v q M p J R T j 8 R x M s V N F w 1 7 E o i G a 3 J H Z y T X + 0 W K B U h N Q Y V a Z j B u u h t N k + P a N 5 J X w y i e Q 0 p C j N 3 c E e I j d + H x e p g L H N d r l P 9 + k f 0 8 / h z l n 7 U O J q 6 n 7 r y + i L N 8 g j / P 2 u N p P X 2 v T Y K G f W A 0 p R p k i F 9 h F / U E y 1 K u w r a L P v J Y J J T P Q j 9 o B y 6 6 y Y S G S C 8 Z h O W l d y 1 4 m c M G N t l N j S 9 B n 4 A k R g M 2 W g d k a g Y W n s L u b C I x f A r 7 O W N R T B i R e 1 g a u D c n f G Z m H C w X U E 4 3 k I S r b 0 K m G 8 G 5 U z k H 1 n d X K 5 x n u m F i u + K 6 0 / L y o W s X r X C e 9 A P m m 4 x w T f X y q S e f Z 2 K I g n F p Y 0 S J u d 5 4 N N G Z 2 p o 1 3 O v 1 u l l i 3 w v i F 6 S 7 1 Z D u W t I n Q b q B d 1 g 7 Q R N b 4 M 8 Z e I k k 6 F R C O u h Y 0 i d G 2 q + m i P v 2 m T 6 E 5 x 9 u g L 8 o 4 n 6 F R d w C r x 7 4 Q w S 3 I K Q R Y 1 Q V 2 S 3 D K F y F 3 d m L 1 i 2 1 P 8 h 6 L G R n 6 W 0 8 u z v t 6 d r H z g x v 7 J n h e X e S H e C t C g + J 9 v 3 v 9 I D 7 F T 7 h t q H Y h n K g o b R s Q 3 k 5 9 S V v K J W d I G x D O U 3 g l T 3 h F v g J A j c l v W 1 L + s s B 7 l f Y w + 2 R 0 R 4 Z 9 7 Z b 0 K n u l d R + z f 6 f 9 e U H U E s B A i 0 A F A A C A A g A G G K c V K p L d 7 G m A A A A + Q A A A B I A A A A A A A A A A A A A A A A A A A A A A E N v b m Z p Z y 9 Q Y W N r Y W d l L n h t b F B L A Q I t A B Q A A g A I A B h i n F Q P y u m r p A A A A O k A A A A T A A A A A A A A A A A A A A A A A P I A A A B b Q 2 9 u d G V u d F 9 U e X B l c 1 0 u e G 1 s U E s B A i 0 A F A A C A A g A G G K c V L 5 R D a d p A g A A 1 h 8 A A B M A A A A A A A A A A A A A A A A A 4 w E A A E Z v c m 1 1 b G F z L 1 N l Y 3 R p b 2 4 x L m 1 Q S w U G A A A A A A M A A w D C A A A A m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6 c A A A A A A A C 1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m V z d F 9 G c m V z a F 9 T a G l w b W V u d F 9 C e V 9 J d G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V z d F 9 G c m V z a F 9 T a G l w b W V u d F 9 C e V 9 J d G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4 V D E 2 O j M 3 O j I z L j g 4 N T k z M j J a I i A v P j x F b n R y e S B U e X B l P S J G a W x s Q 2 9 s d W 1 u V H l w Z X M i I F Z h b H V l P S J z R E F 3 R 0 R B N E d C Z 1 l P R G h F S E J 3 d 0 c i I C 8 + P E V u d H J 5 I F R 5 c G U 9 I k Z p b G x D b 2 x 1 b W 5 O Y W 1 l c y I g V m F s d W U 9 I n N b J n F 1 b 3 Q 7 U 2 h p c E l E J n F 1 b 3 Q 7 L C Z x d W 9 0 O 1 N 0 b 3 J l S U Q m c X V v d D s s J n F 1 b 3 Q 7 W m l w Q 2 9 k Z S Z x d W 9 0 O y w m c X V v d D t J d G V t X 0 5 1 b W J l c i Z x d W 9 0 O y w m c X V v d D t R d W F u d G l 0 e S Z x d W 9 0 O y w m c X V v d D t E Z X N j c m l w d G l v b i Z x d W 9 0 O y w m c X V v d D t D Y X R l Z 2 9 y e S Z x d W 9 0 O y w m c X V v d D t V b m l 0 J n F 1 b 3 Q 7 L C Z x d W 9 0 O 0 N v b n R h a W 5 l c l 9 T a X p l J n F 1 b 3 Q 7 L C Z x d W 9 0 O 0 N v b n R h a W 5 l c n M v Q 2 F z Z S Z x d W 9 0 O y w m c X V v d D s k L 0 N h c 2 U m c X V v d D s s J n F 1 b 3 Q 7 U H J v Z F 9 E Y X R l J n F 1 b 3 Q 7 L C Z x d W 9 0 O 1 N o a X B f R G F 0 Z S Z x d W 9 0 O y w m c X V v d D t T a G V s Z l 9 M a W Z l J n F 1 b 3 Q 7 L C Z x d W 9 0 O 0 N o Y W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w x N j c 4 M D l c X F x c Z G 9 3 b m x v Y W R z X F x c X H J h b m R h b G x k Y X R h Y m F z Z S 1 t b 3 R o d X N p I G R s Y W 1 p b m k u Y W N j Z G I v L 0 J l c 3 R f R n J l c 2 h f U 2 h p c G 1 l b n R f Q n l f S X R l b S 5 7 U 2 h p c E l E L D B 9 J n F 1 b 3 Q 7 L C Z x d W 9 0 O 1 N l c n Z l c i 5 E Y X R h Y m F z Z V x c L z I v R m l s Z S 9 j O l x c X F x 1 c 2 V y c 1 x c X F w x N j c 4 M D l c X F x c Z G 9 3 b m x v Y W R z X F x c X H J h b m R h b G x k Y X R h Y m F z Z S 1 t b 3 R o d X N p I G R s Y W 1 p b m k u Y W N j Z G I v L 0 J l c 3 R f R n J l c 2 h f U 2 h p c G 1 l b n R f Q n l f S X R l b S 5 7 U 3 R v c m V J R C w x f S Z x d W 9 0 O y w m c X V v d D t T Z X J 2 Z X I u R G F 0 Y W J h c 2 V c X C 8 y L 0 Z p b G U v Y z p c X F x c d X N l c n N c X F x c M T Y 3 O D A 5 X F x c X G R v d 2 5 s b 2 F k c 1 x c X F x y Y W 5 k Y W x s Z G F 0 Y W J h c 2 U t b W 9 0 a H V z a S B k b G F t a W 5 p L m F j Y 2 R i L y 9 C Z X N 0 X 0 Z y Z X N o X 1 N o a X B t Z W 5 0 X 0 J 5 X 0 l 0 Z W 0 u e 1 p p c E N v Z G U s M n 0 m c X V v d D s s J n F 1 b 3 Q 7 U 2 V y d m V y L k R h d G F i Y X N l X F w v M i 9 G a W x l L 2 M 6 X F x c X H V z Z X J z X F x c X D E 2 N z g w O V x c X F x k b 3 d u b G 9 h Z H N c X F x c c m F u Z G F s b G R h d G F i Y X N l L W 1 v d G h 1 c 2 k g Z G x h b W l u a S 5 h Y 2 N k Y i 8 v Q m V z d F 9 G c m V z a F 9 T a G l w b W V u d F 9 C e V 9 J d G V t L n t J d G V t X 0 5 1 b W J l c i w z f S Z x d W 9 0 O y w m c X V v d D t T Z X J 2 Z X I u R G F 0 Y W J h c 2 V c X C 8 y L 0 Z p b G U v Y z p c X F x c d X N l c n N c X F x c M T Y 3 O D A 5 X F x c X G R v d 2 5 s b 2 F k c 1 x c X F x y Y W 5 k Y W x s Z G F 0 Y W J h c 2 U t b W 9 0 a H V z a S B k b G F t a W 5 p L m F j Y 2 R i L y 9 C Z X N 0 X 0 Z y Z X N o X 1 N o a X B t Z W 5 0 X 0 J 5 X 0 l 0 Z W 0 u e 1 F 1 Y W 5 0 a X R 5 L D R 9 J n F 1 b 3 Q 7 L C Z x d W 9 0 O 1 N l c n Z l c i 5 E Y X R h Y m F z Z V x c L z I v R m l s Z S 9 j O l x c X F x 1 c 2 V y c 1 x c X F w x N j c 4 M D l c X F x c Z G 9 3 b m x v Y W R z X F x c X H J h b m R h b G x k Y X R h Y m F z Z S 1 t b 3 R o d X N p I G R s Y W 1 p b m k u Y W N j Z G I v L 0 J l c 3 R f R n J l c 2 h f U 2 h p c G 1 l b n R f Q n l f S X R l b S 5 7 R G V z Y 3 J p c H R p b 2 4 s N X 0 m c X V v d D s s J n F 1 b 3 Q 7 U 2 V y d m V y L k R h d G F i Y X N l X F w v M i 9 G a W x l L 2 M 6 X F x c X H V z Z X J z X F x c X D E 2 N z g w O V x c X F x k b 3 d u b G 9 h Z H N c X F x c c m F u Z G F s b G R h d G F i Y X N l L W 1 v d G h 1 c 2 k g Z G x h b W l u a S 5 h Y 2 N k Y i 8 v Q m V z d F 9 G c m V z a F 9 T a G l w b W V u d F 9 C e V 9 J d G V t L n t D Y X R l Z 2 9 y e S w 2 f S Z x d W 9 0 O y w m c X V v d D t T Z X J 2 Z X I u R G F 0 Y W J h c 2 V c X C 8 y L 0 Z p b G U v Y z p c X F x c d X N l c n N c X F x c M T Y 3 O D A 5 X F x c X G R v d 2 5 s b 2 F k c 1 x c X F x y Y W 5 k Y W x s Z G F 0 Y W J h c 2 U t b W 9 0 a H V z a S B k b G F t a W 5 p L m F j Y 2 R i L y 9 C Z X N 0 X 0 Z y Z X N o X 1 N o a X B t Z W 5 0 X 0 J 5 X 0 l 0 Z W 0 u e 1 V u a X Q s N 3 0 m c X V v d D s s J n F 1 b 3 Q 7 U 2 V y d m V y L k R h d G F i Y X N l X F w v M i 9 G a W x l L 2 M 6 X F x c X H V z Z X J z X F x c X D E 2 N z g w O V x c X F x k b 3 d u b G 9 h Z H N c X F x c c m F u Z G F s b G R h d G F i Y X N l L W 1 v d G h 1 c 2 k g Z G x h b W l u a S 5 h Y 2 N k Y i 8 v Q m V z d F 9 G c m V z a F 9 T a G l w b W V u d F 9 C e V 9 J d G V t L n t D b 2 5 0 Y W l u Z X J f U 2 l 6 Z S w 4 f S Z x d W 9 0 O y w m c X V v d D t T Z X J 2 Z X I u R G F 0 Y W J h c 2 V c X C 8 y L 0 Z p b G U v Y z p c X F x c d X N l c n N c X F x c M T Y 3 O D A 5 X F x c X G R v d 2 5 s b 2 F k c 1 x c X F x y Y W 5 k Y W x s Z G F 0 Y W J h c 2 U t b W 9 0 a H V z a S B k b G F t a W 5 p L m F j Y 2 R i L y 9 C Z X N 0 X 0 Z y Z X N o X 1 N o a X B t Z W 5 0 X 0 J 5 X 0 l 0 Z W 0 u e 0 N v b n R h a W 5 l c n M v Q 2 F z Z S w 5 f S Z x d W 9 0 O y w m c X V v d D t T Z X J 2 Z X I u R G F 0 Y W J h c 2 V c X C 8 y L 0 Z p b G U v Y z p c X F x c d X N l c n N c X F x c M T Y 3 O D A 5 X F x c X G R v d 2 5 s b 2 F k c 1 x c X F x y Y W 5 k Y W x s Z G F 0 Y W J h c 2 U t b W 9 0 a H V z a S B k b G F t a W 5 p L m F j Y 2 R i L y 9 C Z X N 0 X 0 Z y Z X N o X 1 N o a X B t Z W 5 0 X 0 J 5 X 0 l 0 Z W 0 u e y Q v Q 2 F z Z S w x M H 0 m c X V v d D s s J n F 1 b 3 Q 7 U 2 V y d m V y L k R h d G F i Y X N l X F w v M i 9 G a W x l L 2 M 6 X F x c X H V z Z X J z X F x c X D E 2 N z g w O V x c X F x k b 3 d u b G 9 h Z H N c X F x c c m F u Z G F s b G R h d G F i Y X N l L W 1 v d G h 1 c 2 k g Z G x h b W l u a S 5 h Y 2 N k Y i 8 v Q m V z d F 9 G c m V z a F 9 T a G l w b W V u d F 9 C e V 9 J d G V t L n t Q c m 9 k X 0 R h d G U s M T F 9 J n F 1 b 3 Q 7 L C Z x d W 9 0 O 1 N l c n Z l c i 5 E Y X R h Y m F z Z V x c L z I v R m l s Z S 9 j O l x c X F x 1 c 2 V y c 1 x c X F w x N j c 4 M D l c X F x c Z G 9 3 b m x v Y W R z X F x c X H J h b m R h b G x k Y X R h Y m F z Z S 1 t b 3 R o d X N p I G R s Y W 1 p b m k u Y W N j Z G I v L 0 J l c 3 R f R n J l c 2 h f U 2 h p c G 1 l b n R f Q n l f S X R l b S 5 7 U 2 h p c F 9 E Y X R l L D E y f S Z x d W 9 0 O y w m c X V v d D t T Z X J 2 Z X I u R G F 0 Y W J h c 2 V c X C 8 y L 0 Z p b G U v Y z p c X F x c d X N l c n N c X F x c M T Y 3 O D A 5 X F x c X G R v d 2 5 s b 2 F k c 1 x c X F x y Y W 5 k Y W x s Z G F 0 Y W J h c 2 U t b W 9 0 a H V z a S B k b G F t a W 5 p L m F j Y 2 R i L y 9 C Z X N 0 X 0 Z y Z X N o X 1 N o a X B t Z W 5 0 X 0 J 5 X 0 l 0 Z W 0 u e 1 N o Z W x m X 0 x p Z m U s M T N 9 J n F 1 b 3 Q 7 L C Z x d W 9 0 O 1 N l c n Z l c i 5 E Y X R h Y m F z Z V x c L z I v R m l s Z S 9 j O l x c X F x 1 c 2 V y c 1 x c X F w x N j c 4 M D l c X F x c Z G 9 3 b m x v Y W R z X F x c X H J h b m R h b G x k Y X R h Y m F z Z S 1 t b 3 R o d X N p I G R s Y W 1 p b m k u Y W N j Z G I v L 0 J l c 3 R f R n J l c 2 h f U 2 h p c G 1 l b n R f Q n l f S X R l b S 5 7 Q 2 h h a W 4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X J 2 Z X I u R G F 0 Y W J h c 2 V c X C 8 y L 0 Z p b G U v Y z p c X F x c d X N l c n N c X F x c M T Y 3 O D A 5 X F x c X G R v d 2 5 s b 2 F k c 1 x c X F x y Y W 5 k Y W x s Z G F 0 Y W J h c 2 U t b W 9 0 a H V z a S B k b G F t a W 5 p L m F j Y 2 R i L y 9 C Z X N 0 X 0 Z y Z X N o X 1 N o a X B t Z W 5 0 X 0 J 5 X 0 l 0 Z W 0 u e 1 N o a X B J R C w w f S Z x d W 9 0 O y w m c X V v d D t T Z X J 2 Z X I u R G F 0 Y W J h c 2 V c X C 8 y L 0 Z p b G U v Y z p c X F x c d X N l c n N c X F x c M T Y 3 O D A 5 X F x c X G R v d 2 5 s b 2 F k c 1 x c X F x y Y W 5 k Y W x s Z G F 0 Y W J h c 2 U t b W 9 0 a H V z a S B k b G F t a W 5 p L m F j Y 2 R i L y 9 C Z X N 0 X 0 Z y Z X N o X 1 N o a X B t Z W 5 0 X 0 J 5 X 0 l 0 Z W 0 u e 1 N 0 b 3 J l S U Q s M X 0 m c X V v d D s s J n F 1 b 3 Q 7 U 2 V y d m V y L k R h d G F i Y X N l X F w v M i 9 G a W x l L 2 M 6 X F x c X H V z Z X J z X F x c X D E 2 N z g w O V x c X F x k b 3 d u b G 9 h Z H N c X F x c c m F u Z G F s b G R h d G F i Y X N l L W 1 v d G h 1 c 2 k g Z G x h b W l u a S 5 h Y 2 N k Y i 8 v Q m V z d F 9 G c m V z a F 9 T a G l w b W V u d F 9 C e V 9 J d G V t L n t a a X B D b 2 R l L D J 9 J n F 1 b 3 Q 7 L C Z x d W 9 0 O 1 N l c n Z l c i 5 E Y X R h Y m F z Z V x c L z I v R m l s Z S 9 j O l x c X F x 1 c 2 V y c 1 x c X F w x N j c 4 M D l c X F x c Z G 9 3 b m x v Y W R z X F x c X H J h b m R h b G x k Y X R h Y m F z Z S 1 t b 3 R o d X N p I G R s Y W 1 p b m k u Y W N j Z G I v L 0 J l c 3 R f R n J l c 2 h f U 2 h p c G 1 l b n R f Q n l f S X R l b S 5 7 S X R l b V 9 O d W 1 i Z X I s M 3 0 m c X V v d D s s J n F 1 b 3 Q 7 U 2 V y d m V y L k R h d G F i Y X N l X F w v M i 9 G a W x l L 2 M 6 X F x c X H V z Z X J z X F x c X D E 2 N z g w O V x c X F x k b 3 d u b G 9 h Z H N c X F x c c m F u Z G F s b G R h d G F i Y X N l L W 1 v d G h 1 c 2 k g Z G x h b W l u a S 5 h Y 2 N k Y i 8 v Q m V z d F 9 G c m V z a F 9 T a G l w b W V u d F 9 C e V 9 J d G V t L n t R d W F u d G l 0 e S w 0 f S Z x d W 9 0 O y w m c X V v d D t T Z X J 2 Z X I u R G F 0 Y W J h c 2 V c X C 8 y L 0 Z p b G U v Y z p c X F x c d X N l c n N c X F x c M T Y 3 O D A 5 X F x c X G R v d 2 5 s b 2 F k c 1 x c X F x y Y W 5 k Y W x s Z G F 0 Y W J h c 2 U t b W 9 0 a H V z a S B k b G F t a W 5 p L m F j Y 2 R i L y 9 C Z X N 0 X 0 Z y Z X N o X 1 N o a X B t Z W 5 0 X 0 J 5 X 0 l 0 Z W 0 u e 0 R l c 2 N y a X B 0 a W 9 u L D V 9 J n F 1 b 3 Q 7 L C Z x d W 9 0 O 1 N l c n Z l c i 5 E Y X R h Y m F z Z V x c L z I v R m l s Z S 9 j O l x c X F x 1 c 2 V y c 1 x c X F w x N j c 4 M D l c X F x c Z G 9 3 b m x v Y W R z X F x c X H J h b m R h b G x k Y X R h Y m F z Z S 1 t b 3 R o d X N p I G R s Y W 1 p b m k u Y W N j Z G I v L 0 J l c 3 R f R n J l c 2 h f U 2 h p c G 1 l b n R f Q n l f S X R l b S 5 7 Q 2 F 0 Z W d v c n k s N n 0 m c X V v d D s s J n F 1 b 3 Q 7 U 2 V y d m V y L k R h d G F i Y X N l X F w v M i 9 G a W x l L 2 M 6 X F x c X H V z Z X J z X F x c X D E 2 N z g w O V x c X F x k b 3 d u b G 9 h Z H N c X F x c c m F u Z G F s b G R h d G F i Y X N l L W 1 v d G h 1 c 2 k g Z G x h b W l u a S 5 h Y 2 N k Y i 8 v Q m V z d F 9 G c m V z a F 9 T a G l w b W V u d F 9 C e V 9 J d G V t L n t V b m l 0 L D d 9 J n F 1 b 3 Q 7 L C Z x d W 9 0 O 1 N l c n Z l c i 5 E Y X R h Y m F z Z V x c L z I v R m l s Z S 9 j O l x c X F x 1 c 2 V y c 1 x c X F w x N j c 4 M D l c X F x c Z G 9 3 b m x v Y W R z X F x c X H J h b m R h b G x k Y X R h Y m F z Z S 1 t b 3 R o d X N p I G R s Y W 1 p b m k u Y W N j Z G I v L 0 J l c 3 R f R n J l c 2 h f U 2 h p c G 1 l b n R f Q n l f S X R l b S 5 7 Q 2 9 u d G F p b m V y X 1 N p e m U s O H 0 m c X V v d D s s J n F 1 b 3 Q 7 U 2 V y d m V y L k R h d G F i Y X N l X F w v M i 9 G a W x l L 2 M 6 X F x c X H V z Z X J z X F x c X D E 2 N z g w O V x c X F x k b 3 d u b G 9 h Z H N c X F x c c m F u Z G F s b G R h d G F i Y X N l L W 1 v d G h 1 c 2 k g Z G x h b W l u a S 5 h Y 2 N k Y i 8 v Q m V z d F 9 G c m V z a F 9 T a G l w b W V u d F 9 C e V 9 J d G V t L n t D b 2 5 0 Y W l u Z X J z L 0 N h c 2 U s O X 0 m c X V v d D s s J n F 1 b 3 Q 7 U 2 V y d m V y L k R h d G F i Y X N l X F w v M i 9 G a W x l L 2 M 6 X F x c X H V z Z X J z X F x c X D E 2 N z g w O V x c X F x k b 3 d u b G 9 h Z H N c X F x c c m F u Z G F s b G R h d G F i Y X N l L W 1 v d G h 1 c 2 k g Z G x h b W l u a S 5 h Y 2 N k Y i 8 v Q m V z d F 9 G c m V z a F 9 T a G l w b W V u d F 9 C e V 9 J d G V t L n s k L 0 N h c 2 U s M T B 9 J n F 1 b 3 Q 7 L C Z x d W 9 0 O 1 N l c n Z l c i 5 E Y X R h Y m F z Z V x c L z I v R m l s Z S 9 j O l x c X F x 1 c 2 V y c 1 x c X F w x N j c 4 M D l c X F x c Z G 9 3 b m x v Y W R z X F x c X H J h b m R h b G x k Y X R h Y m F z Z S 1 t b 3 R o d X N p I G R s Y W 1 p b m k u Y W N j Z G I v L 0 J l c 3 R f R n J l c 2 h f U 2 h p c G 1 l b n R f Q n l f S X R l b S 5 7 U H J v Z F 9 E Y X R l L D E x f S Z x d W 9 0 O y w m c X V v d D t T Z X J 2 Z X I u R G F 0 Y W J h c 2 V c X C 8 y L 0 Z p b G U v Y z p c X F x c d X N l c n N c X F x c M T Y 3 O D A 5 X F x c X G R v d 2 5 s b 2 F k c 1 x c X F x y Y W 5 k Y W x s Z G F 0 Y W J h c 2 U t b W 9 0 a H V z a S B k b G F t a W 5 p L m F j Y 2 R i L y 9 C Z X N 0 X 0 Z y Z X N o X 1 N o a X B t Z W 5 0 X 0 J 5 X 0 l 0 Z W 0 u e 1 N o a X B f R G F 0 Z S w x M n 0 m c X V v d D s s J n F 1 b 3 Q 7 U 2 V y d m V y L k R h d G F i Y X N l X F w v M i 9 G a W x l L 2 M 6 X F x c X H V z Z X J z X F x c X D E 2 N z g w O V x c X F x k b 3 d u b G 9 h Z H N c X F x c c m F u Z G F s b G R h d G F i Y X N l L W 1 v d G h 1 c 2 k g Z G x h b W l u a S 5 h Y 2 N k Y i 8 v Q m V z d F 9 G c m V z a F 9 T a G l w b W V u d F 9 C e V 9 J d G V t L n t T a G V s Z l 9 M a W Z l L D E z f S Z x d W 9 0 O y w m c X V v d D t T Z X J 2 Z X I u R G F 0 Y W J h c 2 V c X C 8 y L 0 Z p b G U v Y z p c X F x c d X N l c n N c X F x c M T Y 3 O D A 5 X F x c X G R v d 2 5 s b 2 F k c 1 x c X F x y Y W 5 k Y W x s Z G F 0 Y W J h c 2 U t b W 9 0 a H V z a S B k b G F t a W 5 p L m F j Y 2 R i L y 9 C Z X N 0 X 0 Z y Z X N o X 1 N o a X B t Z W 5 0 X 0 J 5 X 0 l 0 Z W 0 u e 0 N o Y W l u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z d F 9 G c m V z a F 9 T a G l w b W V u d F 9 C e V 9 J d G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f R n J l c 2 h f U 2 h p c G 1 l b n R f Q n l f S X R l b S 9 f Q m V z d F 9 G c m V z a F 9 T a G l w b W V u d F 9 C e V 9 J d G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h U M T Y 6 N D I 6 M T U u N j I 5 M T Y 0 O F o i I C 8 + P E V u d H J 5 I F R 5 c G U 9 I k Z p b G x D b 2 x 1 b W 5 U e X B l c y I g V m F s d W U 9 I n N B d 0 1 E Q 1 F Z P S I g L z 4 8 R W 5 0 c n k g V H l w Z T 0 i R m l s b E N v b H V t b k 5 h b W V z I i B W Y W x 1 Z T 0 i c 1 s m c X V v d D t T a G l w I y Z x d W 9 0 O y w m c X V v d D t J d G V t I y Z x d W 9 0 O y w m c X V v d D t R d W F u d G l 0 e S Z x d W 9 0 O y w m c X V v d D t T a G l w X 0 R h d G U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z d E Z y Z X N o M T A 0 L 0 N o Y W 5 n Z W Q g V H l w Z S 5 7 U 2 h p c C M s M H 0 m c X V v d D s s J n F 1 b 3 Q 7 U 2 V j d G l v b j E v Q m V z d E Z y Z X N o M T A 0 L 0 N o Y W 5 n Z W Q g V H l w Z S 5 7 S X R l b S M s M X 0 m c X V v d D s s J n F 1 b 3 Q 7 U 2 V j d G l v b j E v Q m V z d E Z y Z X N o M T A 0 L 0 N o Y W 5 n Z W Q g V H l w Z S 5 7 U X V h b n R p d H k s M n 0 m c X V v d D s s J n F 1 b 3 Q 7 U 2 V j d G l v b j E v Q m V z d E Z y Z X N o M T A 0 L 0 N o Y W 5 n Z W Q g V H l w Z S 5 7 U 2 h p c F 9 E Y X R l L D N 9 J n F 1 b 3 Q 7 L C Z x d W 9 0 O 1 N l Y 3 R p b 2 4 x L 0 J l c 3 R G c m V z a D E w N C 9 D a G F u Z 2 V k I F R 5 c G U u e 1 N 0 Y X R 1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X N 0 R n J l c 2 g x M D Q v Q 2 h h b m d l Z C B U e X B l L n t T a G l w I y w w f S Z x d W 9 0 O y w m c X V v d D t T Z W N 0 a W 9 u M S 9 C Z X N 0 R n J l c 2 g x M D Q v Q 2 h h b m d l Z C B U e X B l L n t J d G V t I y w x f S Z x d W 9 0 O y w m c X V v d D t T Z W N 0 a W 9 u M S 9 C Z X N 0 R n J l c 2 g x M D Q v Q 2 h h b m d l Z C B U e X B l L n t R d W F u d G l 0 e S w y f S Z x d W 9 0 O y w m c X V v d D t T Z W N 0 a W 9 u M S 9 C Z X N 0 R n J l c 2 g x M D Q v Q 2 h h b m d l Z C B U e X B l L n t T a G l w X 0 R h d G U s M 3 0 m c X V v d D s s J n F 1 b 3 Q 7 U 2 V j d G l v b j E v Q m V z d E Z y Z X N o M T A 0 L 0 N o Y W 5 n Z W Q g V H l w Z S 5 7 U 3 R h d H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N 0 R n J l c 2 g x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h U M T Y 6 N D I 6 M z Q u O D I 4 N z M 0 O F o i I C 8 + P E V u d H J 5 I F R 5 c G U 9 I k Z p b G x D b 2 x 1 b W 5 U e X B l c y I g V m F s d W U 9 I n N B d 0 1 E Q 1 F Z P S I g L z 4 8 R W 5 0 c n k g V H l w Z T 0 i R m l s b E N v b H V t b k 5 h b W V z I i B W Y W x 1 Z T 0 i c 1 s m c X V v d D t T a G l w I y Z x d W 9 0 O y w m c X V v d D t J d G V t I y Z x d W 9 0 O y w m c X V v d D t R d W F u d G l 0 e S Z x d W 9 0 O y w m c X V v d D t T a G l w X 0 R h d G U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z d E Z y Z X N o M T A 3 L 0 N o Y W 5 n Z W Q g V H l w Z S 5 7 U 2 h p c C M s M H 0 m c X V v d D s s J n F 1 b 3 Q 7 U 2 V j d G l v b j E v Q m V z d E Z y Z X N o M T A 3 L 0 N o Y W 5 n Z W Q g V H l w Z S 5 7 S X R l b S M s M X 0 m c X V v d D s s J n F 1 b 3 Q 7 U 2 V j d G l v b j E v Q m V z d E Z y Z X N o M T A 3 L 0 N o Y W 5 n Z W Q g V H l w Z S 5 7 U X V h b n R p d H k s M n 0 m c X V v d D s s J n F 1 b 3 Q 7 U 2 V j d G l v b j E v Q m V z d E Z y Z X N o M T A 3 L 0 N o Y W 5 n Z W Q g V H l w Z S 5 7 U 2 h p c F 9 E Y X R l L D N 9 J n F 1 b 3 Q 7 L C Z x d W 9 0 O 1 N l Y 3 R p b 2 4 x L 0 J l c 3 R G c m V z a D E w N y 9 D a G F u Z 2 V k I F R 5 c G U u e 1 N 0 Y X R 1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X N 0 R n J l c 2 g x M D c v Q 2 h h b m d l Z C B U e X B l L n t T a G l w I y w w f S Z x d W 9 0 O y w m c X V v d D t T Z W N 0 a W 9 u M S 9 C Z X N 0 R n J l c 2 g x M D c v Q 2 h h b m d l Z C B U e X B l L n t J d G V t I y w x f S Z x d W 9 0 O y w m c X V v d D t T Z W N 0 a W 9 u M S 9 C Z X N 0 R n J l c 2 g x M D c v Q 2 h h b m d l Z C B U e X B l L n t R d W F u d G l 0 e S w y f S Z x d W 9 0 O y w m c X V v d D t T Z W N 0 a W 9 u M S 9 C Z X N 0 R n J l c 2 g x M D c v Q 2 h h b m d l Z C B U e X B l L n t T a G l w X 0 R h d G U s M 3 0 m c X V v d D s s J n F 1 b 3 Q 7 U 2 V j d G l v b j E v Q m V z d E Z y Z X N o M T A 3 L 0 N o Y W 5 n Z W Q g V H l w Z S 5 7 U 3 R h d H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N 0 R n J l c 2 g x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A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w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w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h U M T Y 6 N D Q 6 M z E u M z c w N D c 4 M l o i I C 8 + P E V u d H J 5 I F R 5 c G U 9 I k Z p b G x D b 2 x 1 b W 5 U e X B l c y I g V m F s d W U 9 I n N B d 0 1 E Q 1 F Z P S I g L z 4 8 R W 5 0 c n k g V H l w Z T 0 i R m l s b E N v b H V t b k 5 h b W V z I i B W Y W x 1 Z T 0 i c 1 s m c X V v d D t T a G l w I y Z x d W 9 0 O y w m c X V v d D t J d G V t I y Z x d W 9 0 O y w m c X V v d D t R d W F u d G l 0 e S Z x d W 9 0 O y w m c X V v d D t T a G l w X 0 R h d G U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z d E Z y Z X N o M T A 3 I C g y K S 9 D a G F u Z 2 V k I F R 5 c G U u e 1 N o a X A j L D B 9 J n F 1 b 3 Q 7 L C Z x d W 9 0 O 1 N l Y 3 R p b 2 4 x L 0 J l c 3 R G c m V z a D E w N y A o M i k v Q 2 h h b m d l Z C B U e X B l L n t J d G V t I y w x f S Z x d W 9 0 O y w m c X V v d D t T Z W N 0 a W 9 u M S 9 C Z X N 0 R n J l c 2 g x M D c g K D I p L 0 N o Y W 5 n Z W Q g V H l w Z S 5 7 U X V h b n R p d H k s M n 0 m c X V v d D s s J n F 1 b 3 Q 7 U 2 V j d G l v b j E v Q m V z d E Z y Z X N o M T A 3 I C g y K S 9 D a G F u Z 2 V k I F R 5 c G U u e 1 N o a X B f R G F 0 Z S w z f S Z x d W 9 0 O y w m c X V v d D t T Z W N 0 a W 9 u M S 9 C Z X N 0 R n J l c 2 g x M D c g K D I p L 0 N o Y W 5 n Z W Q g V H l w Z S 5 7 U 3 R h d H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l c 3 R G c m V z a D E w N y A o M i k v Q 2 h h b m d l Z C B U e X B l L n t T a G l w I y w w f S Z x d W 9 0 O y w m c X V v d D t T Z W N 0 a W 9 u M S 9 C Z X N 0 R n J l c 2 g x M D c g K D I p L 0 N o Y W 5 n Z W Q g V H l w Z S 5 7 S X R l b S M s M X 0 m c X V v d D s s J n F 1 b 3 Q 7 U 2 V j d G l v b j E v Q m V z d E Z y Z X N o M T A 3 I C g y K S 9 D a G F u Z 2 V k I F R 5 c G U u e 1 F 1 Y W 5 0 a X R 5 L D J 9 J n F 1 b 3 Q 7 L C Z x d W 9 0 O 1 N l Y 3 R p b 2 4 x L 0 J l c 3 R G c m V z a D E w N y A o M i k v Q 2 h h b m d l Z C B U e X B l L n t T a G l w X 0 R h d G U s M 3 0 m c X V v d D s s J n F 1 b 3 Q 7 U 2 V j d G l v b j E v Q m V z d E Z y Z X N o M T A 3 I C g y K S 9 D a G F u Z 2 V k I F R 5 c G U u e 1 N 0 Y X R 1 c y w 0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J l c 3 R G c m V z a D E w N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R n J l c 2 g x M D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A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h U M T Y 6 N D U 6 M D A u M T Q 2 M z A x M F o i I C 8 + P E V u d H J 5 I F R 5 c G U 9 I k Z p b G x D b 2 x 1 b W 5 U e X B l c y I g V m F s d W U 9 I n N B d 0 1 E Q 1 F Z P S I g L z 4 8 R W 5 0 c n k g V H l w Z T 0 i R m l s b E N v b H V t b k 5 h b W V z I i B W Y W x 1 Z T 0 i c 1 s m c X V v d D t T a G l w I y Z x d W 9 0 O y w m c X V v d D t J d G V t I y Z x d W 9 0 O y w m c X V v d D t R d W F u d G l 0 e S Z x d W 9 0 O y w m c X V v d D t T a G l w X 0 R h d G U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z d E Z y Z X N o M T I 2 L 0 N o Y W 5 n Z W Q g V H l w Z S 5 7 U 2 h p c C M s M H 0 m c X V v d D s s J n F 1 b 3 Q 7 U 2 V j d G l v b j E v Q m V z d E Z y Z X N o M T I 2 L 0 N o Y W 5 n Z W Q g V H l w Z S 5 7 S X R l b S M s M X 0 m c X V v d D s s J n F 1 b 3 Q 7 U 2 V j d G l v b j E v Q m V z d E Z y Z X N o M T I 2 L 0 N o Y W 5 n Z W Q g V H l w Z S 5 7 U X V h b n R p d H k s M n 0 m c X V v d D s s J n F 1 b 3 Q 7 U 2 V j d G l v b j E v Q m V z d E Z y Z X N o M T I 2 L 0 N o Y W 5 n Z W Q g V H l w Z S 5 7 U 2 h p c F 9 E Y X R l L D N 9 J n F 1 b 3 Q 7 L C Z x d W 9 0 O 1 N l Y 3 R p b 2 4 x L 0 J l c 3 R G c m V z a D E y N i 9 D a G F u Z 2 V k I F R 5 c G U u e 1 N 0 Y X R 1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X N 0 R n J l c 2 g x M j Y v Q 2 h h b m d l Z C B U e X B l L n t T a G l w I y w w f S Z x d W 9 0 O y w m c X V v d D t T Z W N 0 a W 9 u M S 9 C Z X N 0 R n J l c 2 g x M j Y v Q 2 h h b m d l Z C B U e X B l L n t J d G V t I y w x f S Z x d W 9 0 O y w m c X V v d D t T Z W N 0 a W 9 u M S 9 C Z X N 0 R n J l c 2 g x M j Y v Q 2 h h b m d l Z C B U e X B l L n t R d W F u d G l 0 e S w y f S Z x d W 9 0 O y w m c X V v d D t T Z W N 0 a W 9 u M S 9 C Z X N 0 R n J l c 2 g x M j Y v Q 2 h h b m d l Z C B U e X B l L n t T a G l w X 0 R h d G U s M 3 0 m c X V v d D s s J n F 1 b 3 Q 7 U 2 V j d G l v b j E v Q m V z d E Z y Z X N o M T I 2 L 0 N o Y W 5 n Z W Q g V H l w Z S 5 7 U 3 R h d H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N 0 R n J l c 2 g x M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I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y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4 V D E 2 O j Q 1 O j I x L j A x N T c y M T Z a I i A v P j x F b n R y e S B U e X B l P S J G a W x s Q 2 9 s d W 1 u V H l w Z X M i I F Z h b H V l P S J z Q X d Z R E F 3 a z 0 i I C 8 + P E V u d H J 5 I F R 5 c G U 9 I k Z p b G x D b 2 x 1 b W 5 O Y W 1 l c y I g V m F s d W U 9 I n N b J n F 1 b 3 Q 7 U 2 h p c C M m c X V v d D s s J n F 1 b 3 Q 7 U 3 R h d H V z J n F 1 b 3 Q 7 L C Z x d W 9 0 O 0 l 0 Z W 0 j J n F 1 b 3 Q 7 L C Z x d W 9 0 O 1 F 1 Y W 5 0 a X R 5 J n F 1 b 3 Q 7 L C Z x d W 9 0 O 1 N o a X B f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3 R G c m V z a D E x N y 9 D a G F u Z 2 V k I F R 5 c G U u e 1 N o a X A j L D B 9 J n F 1 b 3 Q 7 L C Z x d W 9 0 O 1 N l Y 3 R p b 2 4 x L 0 J l c 3 R G c m V z a D E x N y 9 D a G F u Z 2 V k I F R 5 c G U u e 1 N 0 Y X R 1 c y w x f S Z x d W 9 0 O y w m c X V v d D t T Z W N 0 a W 9 u M S 9 C Z X N 0 R n J l c 2 g x M T c v Q 2 h h b m d l Z C B U e X B l L n t J d G V t I y w y f S Z x d W 9 0 O y w m c X V v d D t T Z W N 0 a W 9 u M S 9 C Z X N 0 R n J l c 2 g x M T c v Q 2 h h b m d l Z C B U e X B l L n t R d W F u d G l 0 e S w z f S Z x d W 9 0 O y w m c X V v d D t T Z W N 0 a W 9 u M S 9 C Z X N 0 R n J l c 2 g x M T c v Q 2 h h b m d l Z C B U e X B l L n t T a G l w X 0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m V z d E Z y Z X N o M T E 3 L 0 N o Y W 5 n Z W Q g V H l w Z S 5 7 U 2 h p c C M s M H 0 m c X V v d D s s J n F 1 b 3 Q 7 U 2 V j d G l v b j E v Q m V z d E Z y Z X N o M T E 3 L 0 N o Y W 5 n Z W Q g V H l w Z S 5 7 U 3 R h d H V z L D F 9 J n F 1 b 3 Q 7 L C Z x d W 9 0 O 1 N l Y 3 R p b 2 4 x L 0 J l c 3 R G c m V z a D E x N y 9 D a G F u Z 2 V k I F R 5 c G U u e 0 l 0 Z W 0 j L D J 9 J n F 1 b 3 Q 7 L C Z x d W 9 0 O 1 N l Y 3 R p b 2 4 x L 0 J l c 3 R G c m V z a D E x N y 9 D a G F u Z 2 V k I F R 5 c G U u e 1 F 1 Y W 5 0 a X R 5 L D N 9 J n F 1 b 3 Q 7 L C Z x d W 9 0 O 1 N l Y 3 R p b 2 4 x L 0 J l c 3 R G c m V z a D E x N y 9 D a G F u Z 2 V k I F R 5 c G U u e 1 N o a X B f R G F 0 Z S w 0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J l c 3 R G c m V z a D E x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R n J l c 2 g x M T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E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E 3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4 V D E 2 O j U x O j E 1 L j Y 3 N j Y 3 M z J a I i A v P j x F b n R y e S B U e X B l P S J G a W x s Q 2 9 s d W 1 u V H l w Z X M i I F Z h b H V l P S J z Q X d N R E N R W T 0 i I C 8 + P E V u d H J 5 I F R 5 c G U 9 I k Z p b G x D b 2 x 1 b W 5 O Y W 1 l c y I g V m F s d W U 9 I n N b J n F 1 b 3 Q 7 U 2 h p c C M m c X V v d D s s J n F 1 b 3 Q 7 S X R l b S M m c X V v d D s s J n F 1 b 3 Q 7 U X V h b n R p d H k m c X V v d D s s J n F 1 b 3 Q 7 U 2 h p c F 9 E Y X R l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3 R G c m V z a D E x N y A o M i k v Q 2 h h b m d l Z C B U e X B l L n t T a G l w I y w w f S Z x d W 9 0 O y w m c X V v d D t T Z W N 0 a W 9 u M S 9 C Z X N 0 R n J l c 2 g x M T c g K D I p L 0 N o Y W 5 n Z W Q g V H l w Z S 5 7 S X R l b S M s M n 0 m c X V v d D s s J n F 1 b 3 Q 7 U 2 V j d G l v b j E v Q m V z d E Z y Z X N o M T E 3 I C g y K S 9 D a G F u Z 2 V k I F R 5 c G U u e 1 F 1 Y W 5 0 a X R 5 L D N 9 J n F 1 b 3 Q 7 L C Z x d W 9 0 O 1 N l Y 3 R p b 2 4 x L 0 J l c 3 R G c m V z a D E x N y A o M i k v Q 2 h h b m d l Z C B U e X B l L n t T a G l w X 0 R h d G U s N H 0 m c X V v d D s s J n F 1 b 3 Q 7 U 2 V j d G l v b j E v Q m V z d E Z y Z X N o M T E 3 I C g y K S 9 D a G F u Z 2 V k I F R 5 c G U u e 1 N 0 Y X R 1 c y w x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X N 0 R n J l c 2 g x M T c g K D I p L 0 N o Y W 5 n Z W Q g V H l w Z S 5 7 U 2 h p c C M s M H 0 m c X V v d D s s J n F 1 b 3 Q 7 U 2 V j d G l v b j E v Q m V z d E Z y Z X N o M T E 3 I C g y K S 9 D a G F u Z 2 V k I F R 5 c G U u e 0 l 0 Z W 0 j L D J 9 J n F 1 b 3 Q 7 L C Z x d W 9 0 O 1 N l Y 3 R p b 2 4 x L 0 J l c 3 R G c m V z a D E x N y A o M i k v Q 2 h h b m d l Z C B U e X B l L n t R d W F u d G l 0 e S w z f S Z x d W 9 0 O y w m c X V v d D t T Z W N 0 a W 9 u M S 9 C Z X N 0 R n J l c 2 g x M T c g K D I p L 0 N o Y W 5 n Z W Q g V H l w Z S 5 7 U 2 h p c F 9 E Y X R l L D R 9 J n F 1 b 3 Q 7 L C Z x d W 9 0 O 1 N l Y 3 R p b 2 4 x L 0 J l c 3 R G c m V z a D E x N y A o M i k v Q 2 h h b m d l Z C B U e X B l L n t T d G F 0 d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c 3 R G c m V z a D E x N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R n J l c 2 g x M T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E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E 3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R n J l c 2 g x M D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4 V D E 2 O j U x O j Q 0 L j A 1 M z Y 3 M z J a I i A v P j x F b n R y e S B U e X B l P S J G a W x s Q 2 9 s d W 1 u V H l w Z X M i I F Z h b H V l P S J z Q X d N R E N R W T 0 i I C 8 + P E V u d H J 5 I F R 5 c G U 9 I k Z p b G x D b 2 x 1 b W 5 O Y W 1 l c y I g V m F s d W U 9 I n N b J n F 1 b 3 Q 7 U 2 h p c C M m c X V v d D s s J n F 1 b 3 Q 7 S X R l b S M m c X V v d D s s J n F 1 b 3 Q 7 U X V h b n R p d H k m c X V v d D s s J n F 1 b 3 Q 7 U 2 h p c F 9 E Y X R l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3 R G c m V z a D E w N y A o M y k v Q 2 h h b m d l Z C B U e X B l L n t T a G l w I y w w f S Z x d W 9 0 O y w m c X V v d D t T Z W N 0 a W 9 u M S 9 C Z X N 0 R n J l c 2 g x M D c g K D M p L 0 N o Y W 5 n Z W Q g V H l w Z S 5 7 S X R l b S M s M X 0 m c X V v d D s s J n F 1 b 3 Q 7 U 2 V j d G l v b j E v Q m V z d E Z y Z X N o M T A 3 I C g z K S 9 D a G F u Z 2 V k I F R 5 c G U u e 1 F 1 Y W 5 0 a X R 5 L D J 9 J n F 1 b 3 Q 7 L C Z x d W 9 0 O 1 N l Y 3 R p b 2 4 x L 0 J l c 3 R G c m V z a D E w N y A o M y k v Q 2 h h b m d l Z C B U e X B l L n t T a G l w X 0 R h d G U s M 3 0 m c X V v d D s s J n F 1 b 3 Q 7 U 2 V j d G l v b j E v Q m V z d E Z y Z X N o M T A 3 I C g z K S 9 D a G F u Z 2 V k I F R 5 c G U u e 1 N 0 Y X R 1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X N 0 R n J l c 2 g x M D c g K D M p L 0 N o Y W 5 n Z W Q g V H l w Z S 5 7 U 2 h p c C M s M H 0 m c X V v d D s s J n F 1 b 3 Q 7 U 2 V j d G l v b j E v Q m V z d E Z y Z X N o M T A 3 I C g z K S 9 D a G F u Z 2 V k I F R 5 c G U u e 0 l 0 Z W 0 j L D F 9 J n F 1 b 3 Q 7 L C Z x d W 9 0 O 1 N l Y 3 R p b 2 4 x L 0 J l c 3 R G c m V z a D E w N y A o M y k v Q 2 h h b m d l Z C B U e X B l L n t R d W F u d G l 0 e S w y f S Z x d W 9 0 O y w m c X V v d D t T Z W N 0 a W 9 u M S 9 C Z X N 0 R n J l c 2 g x M D c g K D M p L 0 N o Y W 5 n Z W Q g V H l w Z S 5 7 U 2 h p c F 9 E Y X R l L D N 9 J n F 1 b 3 Q 7 L C Z x d W 9 0 O 1 N l Y 3 R p b 2 4 x L 0 J l c 3 R G c m V z a D E w N y A o M y k v Q 2 h h b m d l Z C B U e X B l L n t T d G F 0 d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c 3 R G c m V z a D E w N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R n J l c 2 g x M D c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A 3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A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h U M T Y 6 N T E 6 N T c u N j g 1 M z M 5 N V o i I C 8 + P E V u d H J 5 I F R 5 c G U 9 I k Z p b G x D b 2 x 1 b W 5 U e X B l c y I g V m F s d W U 9 I n N B d 0 1 E Q 1 F Z P S I g L z 4 8 R W 5 0 c n k g V H l w Z T 0 i R m l s b E N v b H V t b k 5 h b W V z I i B W Y W x 1 Z T 0 i c 1 s m c X V v d D t T a G l w I y Z x d W 9 0 O y w m c X V v d D t J d G V t I y Z x d W 9 0 O y w m c X V v d D t R d W F u d G l 0 e S Z x d W 9 0 O y w m c X V v d D t T a G l w X 0 R h d G U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z d E Z y Z X N o M T A 0 I C g y K S 9 D a G F u Z 2 V k I F R 5 c G U u e 1 N o a X A j L D B 9 J n F 1 b 3 Q 7 L C Z x d W 9 0 O 1 N l Y 3 R p b 2 4 x L 0 J l c 3 R G c m V z a D E w N C A o M i k v Q 2 h h b m d l Z C B U e X B l L n t J d G V t I y w x f S Z x d W 9 0 O y w m c X V v d D t T Z W N 0 a W 9 u M S 9 C Z X N 0 R n J l c 2 g x M D Q g K D I p L 0 N o Y W 5 n Z W Q g V H l w Z S 5 7 U X V h b n R p d H k s M n 0 m c X V v d D s s J n F 1 b 3 Q 7 U 2 V j d G l v b j E v Q m V z d E Z y Z X N o M T A 0 I C g y K S 9 D a G F u Z 2 V k I F R 5 c G U u e 1 N o a X B f R G F 0 Z S w z f S Z x d W 9 0 O y w m c X V v d D t T Z W N 0 a W 9 u M S 9 C Z X N 0 R n J l c 2 g x M D Q g K D I p L 0 N o Y W 5 n Z W Q g V H l w Z S 5 7 U 3 R h d H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l c 3 R G c m V z a D E w N C A o M i k v Q 2 h h b m d l Z C B U e X B l L n t T a G l w I y w w f S Z x d W 9 0 O y w m c X V v d D t T Z W N 0 a W 9 u M S 9 C Z X N 0 R n J l c 2 g x M D Q g K D I p L 0 N o Y W 5 n Z W Q g V H l w Z S 5 7 S X R l b S M s M X 0 m c X V v d D s s J n F 1 b 3 Q 7 U 2 V j d G l v b j E v Q m V z d E Z y Z X N o M T A 0 I C g y K S 9 D a G F u Z 2 V k I F R 5 c G U u e 1 F 1 Y W 5 0 a X R 5 L D J 9 J n F 1 b 3 Q 7 L C Z x d W 9 0 O 1 N l Y 3 R p b 2 4 x L 0 J l c 3 R G c m V z a D E w N C A o M i k v Q 2 h h b m d l Z C B U e X B l L n t T a G l w X 0 R h d G U s M 3 0 m c X V v d D s s J n F 1 b 3 Q 7 U 2 V j d G l v b j E v Q m V z d E Z y Z X N o M T A 0 I C g y K S 9 D a G F u Z 2 V k I F R 5 c G U u e 1 N 0 Y X R 1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z d E Z y Z X N o M T A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w N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R n J l c 2 g x M D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R n J l c 2 g x M T c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4 V D E 2 O j U x O j E 1 L j Y 3 N j Y 3 M z J a I i A v P j x F b n R y e S B U e X B l P S J G a W x s Q 2 9 s d W 1 u V H l w Z X M i I F Z h b H V l P S J z Q X d N R E N R W T 0 i I C 8 + P E V u d H J 5 I F R 5 c G U 9 I k Z p b G x D b 2 x 1 b W 5 O Y W 1 l c y I g V m F s d W U 9 I n N b J n F 1 b 3 Q 7 U 2 h p c C M m c X V v d D s s J n F 1 b 3 Q 7 S X R l b S M m c X V v d D s s J n F 1 b 3 Q 7 U X V h b n R p d H k m c X V v d D s s J n F 1 b 3 Q 7 U 2 h p c F 9 E Y X R l J n F 1 b 3 Q 7 L C Z x d W 9 0 O 1 N 0 Y X R 1 c y Z x d W 9 0 O 1 0 i I C 8 + P E V u d H J 5 I F R 5 c G U 9 I k Z p b G x T d G F 0 d X M i I F Z h b H V l P S J z Q 2 9 t c G x l d G U i I C 8 + P E V u d H J 5 I F R 5 c G U 9 I k Z p b G x D b 3 V u d C I g V m F s d W U 9 I m w x O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z d E Z y Z X N o M T E 3 I C g y K S 9 D a G F u Z 2 V k I F R 5 c G U u e 1 N o a X A j L D B 9 J n F 1 b 3 Q 7 L C Z x d W 9 0 O 1 N l Y 3 R p b 2 4 x L 0 J l c 3 R G c m V z a D E x N y A o M i k v Q 2 h h b m d l Z C B U e X B l L n t J d G V t I y w y f S Z x d W 9 0 O y w m c X V v d D t T Z W N 0 a W 9 u M S 9 C Z X N 0 R n J l c 2 g x M T c g K D I p L 0 N o Y W 5 n Z W Q g V H l w Z S 5 7 U X V h b n R p d H k s M 3 0 m c X V v d D s s J n F 1 b 3 Q 7 U 2 V j d G l v b j E v Q m V z d E Z y Z X N o M T E 3 I C g y K S 9 D a G F u Z 2 V k I F R 5 c G U u e 1 N o a X B f R G F 0 Z S w 0 f S Z x d W 9 0 O y w m c X V v d D t T Z W N 0 a W 9 u M S 9 C Z X N 0 R n J l c 2 g x M T c g K D I p L 0 N o Y W 5 n Z W Q g V H l w Z S 5 7 U 3 R h d H V z L D F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l c 3 R G c m V z a D E x N y A o M i k v Q 2 h h b m d l Z C B U e X B l L n t T a G l w I y w w f S Z x d W 9 0 O y w m c X V v d D t T Z W N 0 a W 9 u M S 9 C Z X N 0 R n J l c 2 g x M T c g K D I p L 0 N o Y W 5 n Z W Q g V H l w Z S 5 7 S X R l b S M s M n 0 m c X V v d D s s J n F 1 b 3 Q 7 U 2 V j d G l v b j E v Q m V z d E Z y Z X N o M T E 3 I C g y K S 9 D a G F u Z 2 V k I F R 5 c G U u e 1 F 1 Y W 5 0 a X R 5 L D N 9 J n F 1 b 3 Q 7 L C Z x d W 9 0 O 1 N l Y 3 R p b 2 4 x L 0 J l c 3 R G c m V z a D E x N y A o M i k v Q 2 h h b m d l Z C B U e X B l L n t T a G l w X 0 R h d G U s N H 0 m c X V v d D s s J n F 1 b 3 Q 7 U 2 V j d G l v b j E v Q m V z d E Z y Z X N o M T E 3 I C g y K S 9 D a G F u Z 2 V k I F R 5 c G U u e 1 N 0 Y X R 1 c y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l c 3 R G c m V z a D E x N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R n J l c 2 g x M T c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E 3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E 3 J T I w K D M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R n J l c 2 g x M D c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h U M T Y 6 N T E 6 N D Q u M D U z N j c z M l o i I C 8 + P E V u d H J 5 I F R 5 c G U 9 I k Z p b G x D b 2 x 1 b W 5 U e X B l c y I g V m F s d W U 9 I n N B d 0 1 E Q 1 F Z P S I g L z 4 8 R W 5 0 c n k g V H l w Z T 0 i R m l s b E N v b H V t b k 5 h b W V z I i B W Y W x 1 Z T 0 i c 1 s m c X V v d D t T a G l w I y Z x d W 9 0 O y w m c X V v d D t J d G V t I y Z x d W 9 0 O y w m c X V v d D t R d W F u d G l 0 e S Z x d W 9 0 O y w m c X V v d D t T a G l w X 0 R h d G U m c X V v d D s s J n F 1 b 3 Q 7 U 3 R h d H V z J n F 1 b 3 Q 7 X S I g L z 4 8 R W 5 0 c n k g V H l w Z T 0 i R m l s b F N 0 Y X R 1 c y I g V m F s d W U 9 I n N D b 2 1 w b G V 0 Z S I g L z 4 8 R W 5 0 c n k g V H l w Z T 0 i R m l s b E N v d W 5 0 I i B W Y W x 1 Z T 0 i b D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3 R G c m V z a D E w N y A o M y k v Q 2 h h b m d l Z C B U e X B l L n t T a G l w I y w w f S Z x d W 9 0 O y w m c X V v d D t T Z W N 0 a W 9 u M S 9 C Z X N 0 R n J l c 2 g x M D c g K D M p L 0 N o Y W 5 n Z W Q g V H l w Z S 5 7 S X R l b S M s M X 0 m c X V v d D s s J n F 1 b 3 Q 7 U 2 V j d G l v b j E v Q m V z d E Z y Z X N o M T A 3 I C g z K S 9 D a G F u Z 2 V k I F R 5 c G U u e 1 F 1 Y W 5 0 a X R 5 L D J 9 J n F 1 b 3 Q 7 L C Z x d W 9 0 O 1 N l Y 3 R p b 2 4 x L 0 J l c 3 R G c m V z a D E w N y A o M y k v Q 2 h h b m d l Z C B U e X B l L n t T a G l w X 0 R h d G U s M 3 0 m c X V v d D s s J n F 1 b 3 Q 7 U 2 V j d G l v b j E v Q m V z d E Z y Z X N o M T A 3 I C g z K S 9 D a G F u Z 2 V k I F R 5 c G U u e 1 N 0 Y X R 1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X N 0 R n J l c 2 g x M D c g K D M p L 0 N o Y W 5 n Z W Q g V H l w Z S 5 7 U 2 h p c C M s M H 0 m c X V v d D s s J n F 1 b 3 Q 7 U 2 V j d G l v b j E v Q m V z d E Z y Z X N o M T A 3 I C g z K S 9 D a G F u Z 2 V k I F R 5 c G U u e 0 l 0 Z W 0 j L D F 9 J n F 1 b 3 Q 7 L C Z x d W 9 0 O 1 N l Y 3 R p b 2 4 x L 0 J l c 3 R G c m V z a D E w N y A o M y k v Q 2 h h b m d l Z C B U e X B l L n t R d W F u d G l 0 e S w y f S Z x d W 9 0 O y w m c X V v d D t T Z W N 0 a W 9 u M S 9 C Z X N 0 R n J l c 2 g x M D c g K D M p L 0 N o Y W 5 n Z W Q g V H l w Z S 5 7 U 2 h p c F 9 E Y X R l L D N 9 J n F 1 b 3 Q 7 L C Z x d W 9 0 O 1 N l Y 3 R p b 2 4 x L 0 J l c 3 R G c m V z a D E w N y A o M y k v Q 2 h h b m d l Z C B U e X B l L n t T d G F 0 d X M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X N 0 R n J l c 2 g x M D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A 3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w N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w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O F Q x N j o 1 M T o 1 N y 4 2 O D U z M z k 1 W i I g L z 4 8 R W 5 0 c n k g V H l w Z T 0 i R m l s b E N v b H V t b l R 5 c G V z I i B W Y W x 1 Z T 0 i c 0 F 3 T U R D U V k 9 I i A v P j x F b n R y e S B U e X B l P S J G a W x s Q 2 9 s d W 1 u T m F t Z X M i I F Z h b H V l P S J z W y Z x d W 9 0 O 1 N o a X A j J n F 1 b 3 Q 7 L C Z x d W 9 0 O 0 l 0 Z W 0 j J n F 1 b 3 Q 7 L C Z x d W 9 0 O 1 F 1 Y W 5 0 a X R 5 J n F 1 b 3 Q 7 L C Z x d W 9 0 O 1 N o a X B f R G F 0 Z S Z x d W 9 0 O y w m c X V v d D t T d G F 0 d X M m c X V v d D t d I i A v P j x F b n R y e S B U e X B l P S J G a W x s U 3 R h d H V z I i B W Y W x 1 Z T 0 i c 0 N v b X B s Z X R l I i A v P j x F b n R y e S B U e X B l P S J G a W x s Q 2 9 1 b n Q i I F Z h b H V l P S J s M j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3 R G c m V z a D E w N C A o M i k v Q 2 h h b m d l Z C B U e X B l L n t T a G l w I y w w f S Z x d W 9 0 O y w m c X V v d D t T Z W N 0 a W 9 u M S 9 C Z X N 0 R n J l c 2 g x M D Q g K D I p L 0 N o Y W 5 n Z W Q g V H l w Z S 5 7 S X R l b S M s M X 0 m c X V v d D s s J n F 1 b 3 Q 7 U 2 V j d G l v b j E v Q m V z d E Z y Z X N o M T A 0 I C g y K S 9 D a G F u Z 2 V k I F R 5 c G U u e 1 F 1 Y W 5 0 a X R 5 L D J 9 J n F 1 b 3 Q 7 L C Z x d W 9 0 O 1 N l Y 3 R p b 2 4 x L 0 J l c 3 R G c m V z a D E w N C A o M i k v Q 2 h h b m d l Z C B U e X B l L n t T a G l w X 0 R h d G U s M 3 0 m c X V v d D s s J n F 1 b 3 Q 7 U 2 V j d G l v b j E v Q m V z d E Z y Z X N o M T A 0 I C g y K S 9 D a G F u Z 2 V k I F R 5 c G U u e 1 N 0 Y X R 1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X N 0 R n J l c 2 g x M D Q g K D I p L 0 N o Y W 5 n Z W Q g V H l w Z S 5 7 U 2 h p c C M s M H 0 m c X V v d D s s J n F 1 b 3 Q 7 U 2 V j d G l v b j E v Q m V z d E Z y Z X N o M T A 0 I C g y K S 9 D a G F u Z 2 V k I F R 5 c G U u e 0 l 0 Z W 0 j L D F 9 J n F 1 b 3 Q 7 L C Z x d W 9 0 O 1 N l Y 3 R p b 2 4 x L 0 J l c 3 R G c m V z a D E w N C A o M i k v Q 2 h h b m d l Z C B U e X B l L n t R d W F u d G l 0 e S w y f S Z x d W 9 0 O y w m c X V v d D t T Z W N 0 a W 9 u M S 9 C Z X N 0 R n J l c 2 g x M D Q g K D I p L 0 N o Y W 5 n Z W Q g V H l w Z S 5 7 U 2 h p c F 9 E Y X R l L D N 9 J n F 1 b 3 Q 7 L C Z x d W 9 0 O 1 N l Y 3 R p b 2 4 x L 0 J l c 3 R G c m V z a D E w N C A o M i k v Q 2 h h b m d l Z C B U e X B l L n t T d G F 0 d X M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X N 0 R n J l c 2 g x M D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A 0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w N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w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D Q t M j h U M T Y 6 N T E 6 N T c u N j g 1 M z M 5 N V o i I C 8 + P E V u d H J 5 I F R 5 c G U 9 I k Z p b G x D b 2 x 1 b W 5 U e X B l c y I g V m F s d W U 9 I n N B d 0 1 E Q 1 F Z P S I g L z 4 8 R W 5 0 c n k g V H l w Z T 0 i R m l s b E N v b H V t b k 5 h b W V z I i B W Y W x 1 Z T 0 i c 1 s m c X V v d D t T a G l w I y Z x d W 9 0 O y w m c X V v d D t J d G V t I y Z x d W 9 0 O y w m c X V v d D t R d W F u d G l 0 e S Z x d W 9 0 O y w m c X V v d D t T a G l w X 0 R h d G U m c X V v d D s s J n F 1 b 3 Q 7 U 3 R h d H V z J n F 1 b 3 Q 7 X S I g L z 4 8 R W 5 0 c n k g V H l w Z T 0 i R m l s b F N 0 Y X R 1 c y I g V m F s d W U 9 I n N D b 2 1 w b G V 0 Z S I g L z 4 8 R W 5 0 c n k g V H l w Z T 0 i R m l s b E N v d W 5 0 I i B W Y W x 1 Z T 0 i b D I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3 R G c m V z a D E w N C A o M i k v Q 2 h h b m d l Z C B U e X B l L n t T a G l w I y w w f S Z x d W 9 0 O y w m c X V v d D t T Z W N 0 a W 9 u M S 9 C Z X N 0 R n J l c 2 g x M D Q g K D I p L 0 N o Y W 5 n Z W Q g V H l w Z S 5 7 S X R l b S M s M X 0 m c X V v d D s s J n F 1 b 3 Q 7 U 2 V j d G l v b j E v Q m V z d E Z y Z X N o M T A 0 I C g y K S 9 D a G F u Z 2 V k I F R 5 c G U u e 1 F 1 Y W 5 0 a X R 5 L D J 9 J n F 1 b 3 Q 7 L C Z x d W 9 0 O 1 N l Y 3 R p b 2 4 x L 0 J l c 3 R G c m V z a D E w N C A o M i k v Q 2 h h b m d l Z C B U e X B l L n t T a G l w X 0 R h d G U s M 3 0 m c X V v d D s s J n F 1 b 3 Q 7 U 2 V j d G l v b j E v Q m V z d E Z y Z X N o M T A 0 I C g y K S 9 D a G F u Z 2 V k I F R 5 c G U u e 1 N 0 Y X R 1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X N 0 R n J l c 2 g x M D Q g K D I p L 0 N o Y W 5 n Z W Q g V H l w Z S 5 7 U 2 h p c C M s M H 0 m c X V v d D s s J n F 1 b 3 Q 7 U 2 V j d G l v b j E v Q m V z d E Z y Z X N o M T A 0 I C g y K S 9 D a G F u Z 2 V k I F R 5 c G U u e 0 l 0 Z W 0 j L D F 9 J n F 1 b 3 Q 7 L C Z x d W 9 0 O 1 N l Y 3 R p b 2 4 x L 0 J l c 3 R G c m V z a D E w N C A o M i k v Q 2 h h b m d l Z C B U e X B l L n t R d W F u d G l 0 e S w y f S Z x d W 9 0 O y w m c X V v d D t T Z W N 0 a W 9 u M S 9 C Z X N 0 R n J l c 2 g x M D Q g K D I p L 0 N o Y W 5 n Z W Q g V H l w Z S 5 7 U 2 h p c F 9 E Y X R l L D N 9 J n F 1 b 3 Q 7 L C Z x d W 9 0 O 1 N l Y 3 R p b 2 4 x L 0 J l c 3 R G c m V z a D E w N C A o M i k v Q 2 h h b m d l Z C B U e X B l L n t T d G F 0 d X M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X N 0 R n J l c 2 g x M D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A 0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w N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w N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D Q t M j h U M T Y 6 N T E 6 N D Q u M D U z N j c z M l o i I C 8 + P E V u d H J 5 I F R 5 c G U 9 I k Z p b G x D b 2 x 1 b W 5 U e X B l c y I g V m F s d W U 9 I n N B d 0 1 E Q 1 F Z P S I g L z 4 8 R W 5 0 c n k g V H l w Z T 0 i R m l s b E N v b H V t b k 5 h b W V z I i B W Y W x 1 Z T 0 i c 1 s m c X V v d D t T a G l w I y Z x d W 9 0 O y w m c X V v d D t J d G V t I y Z x d W 9 0 O y w m c X V v d D t R d W F u d G l 0 e S Z x d W 9 0 O y w m c X V v d D t T a G l w X 0 R h d G U m c X V v d D s s J n F 1 b 3 Q 7 U 3 R h d H V z J n F 1 b 3 Q 7 X S I g L z 4 8 R W 5 0 c n k g V H l w Z T 0 i R m l s b F N 0 Y X R 1 c y I g V m F s d W U 9 I n N D b 2 1 w b G V 0 Z S I g L z 4 8 R W 5 0 c n k g V H l w Z T 0 i R m l s b E N v d W 5 0 I i B W Y W x 1 Z T 0 i b D I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z d E Z y Z X N o M T A 3 I C g z K S 9 D a G F u Z 2 V k I F R 5 c G U u e 1 N o a X A j L D B 9 J n F 1 b 3 Q 7 L C Z x d W 9 0 O 1 N l Y 3 R p b 2 4 x L 0 J l c 3 R G c m V z a D E w N y A o M y k v Q 2 h h b m d l Z C B U e X B l L n t J d G V t I y w x f S Z x d W 9 0 O y w m c X V v d D t T Z W N 0 a W 9 u M S 9 C Z X N 0 R n J l c 2 g x M D c g K D M p L 0 N o Y W 5 n Z W Q g V H l w Z S 5 7 U X V h b n R p d H k s M n 0 m c X V v d D s s J n F 1 b 3 Q 7 U 2 V j d G l v b j E v Q m V z d E Z y Z X N o M T A 3 I C g z K S 9 D a G F u Z 2 V k I F R 5 c G U u e 1 N o a X B f R G F 0 Z S w z f S Z x d W 9 0 O y w m c X V v d D t T Z W N 0 a W 9 u M S 9 C Z X N 0 R n J l c 2 g x M D c g K D M p L 0 N o Y W 5 n Z W Q g V H l w Z S 5 7 U 3 R h d H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l c 3 R G c m V z a D E w N y A o M y k v Q 2 h h b m d l Z C B U e X B l L n t T a G l w I y w w f S Z x d W 9 0 O y w m c X V v d D t T Z W N 0 a W 9 u M S 9 C Z X N 0 R n J l c 2 g x M D c g K D M p L 0 N o Y W 5 n Z W Q g V H l w Z S 5 7 S X R l b S M s M X 0 m c X V v d D s s J n F 1 b 3 Q 7 U 2 V j d G l v b j E v Q m V z d E Z y Z X N o M T A 3 I C g z K S 9 D a G F u Z 2 V k I F R 5 c G U u e 1 F 1 Y W 5 0 a X R 5 L D J 9 J n F 1 b 3 Q 7 L C Z x d W 9 0 O 1 N l Y 3 R p b 2 4 x L 0 J l c 3 R G c m V z a D E w N y A o M y k v Q 2 h h b m d l Z C B U e X B l L n t T a G l w X 0 R h d G U s M 3 0 m c X V v d D s s J n F 1 b 3 Q 7 U 2 V j d G l v b j E v Q m V z d E Z y Z X N o M T A 3 I C g z K S 9 D a G F u Z 2 V k I F R 5 c G U u e 1 N 0 Y X R 1 c y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l c 3 R G c m V z a D E w N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R n J l c 2 g x M D c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A 3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E 3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3 R G c m V z a D E x N y A o M i k v Q 2 h h b m d l Z C B U e X B l L n t T a G l w I y w w f S Z x d W 9 0 O y w m c X V v d D t T Z W N 0 a W 9 u M S 9 C Z X N 0 R n J l c 2 g x M T c g K D I p L 0 N o Y W 5 n Z W Q g V H l w Z S 5 7 S X R l b S M s M n 0 m c X V v d D s s J n F 1 b 3 Q 7 U 2 V j d G l v b j E v Q m V z d E Z y Z X N o M T E 3 I C g y K S 9 D a G F u Z 2 V k I F R 5 c G U u e 1 F 1 Y W 5 0 a X R 5 L D N 9 J n F 1 b 3 Q 7 L C Z x d W 9 0 O 1 N l Y 3 R p b 2 4 x L 0 J l c 3 R G c m V z a D E x N y A o M i k v Q 2 h h b m d l Z C B U e X B l L n t T a G l w X 0 R h d G U s N H 0 m c X V v d D s s J n F 1 b 3 Q 7 U 2 V j d G l v b j E v Q m V z d E Z y Z X N o M T E 3 I C g y K S 9 D a G F u Z 2 V k I F R 5 c G U u e 1 N 0 Y X R 1 c y w x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X N 0 R n J l c 2 g x M T c g K D I p L 0 N o Y W 5 n Z W Q g V H l w Z S 5 7 U 2 h p c C M s M H 0 m c X V v d D s s J n F 1 b 3 Q 7 U 2 V j d G l v b j E v Q m V z d E Z y Z X N o M T E 3 I C g y K S 9 D a G F u Z 2 V k I F R 5 c G U u e 0 l 0 Z W 0 j L D J 9 J n F 1 b 3 Q 7 L C Z x d W 9 0 O 1 N l Y 3 R p b 2 4 x L 0 J l c 3 R G c m V z a D E x N y A o M i k v Q 2 h h b m d l Z C B U e X B l L n t R d W F u d G l 0 e S w z f S Z x d W 9 0 O y w m c X V v d D t T Z W N 0 a W 9 u M S 9 C Z X N 0 R n J l c 2 g x M T c g K D I p L 0 N o Y W 5 n Z W Q g V H l w Z S 5 7 U 2 h p c F 9 E Y X R l L D R 9 J n F 1 b 3 Q 7 L C Z x d W 9 0 O 1 N l Y 3 R p b 2 4 x L 0 J l c 3 R G c m V z a D E x N y A o M i k v Q 2 h h b m d l Z C B U e X B l L n t T d G F 0 d X M s M X 0 m c X V v d D t d L C Z x d W 9 0 O 1 J l b G F 0 a W 9 u c 2 h p c E l u Z m 8 m c X V v d D s 6 W 1 1 9 I i A v P j x F b n R y e S B U e X B l P S J G a W x s Q 2 9 s d W 1 u V H l w Z X M i I F Z h b H V l P S J z Q X d N R E N R W T 0 i I C 8 + P E V u d H J 5 I F R 5 c G U 9 I k Z p b G x M Y X N 0 V X B k Y X R l Z C I g V m F s d W U 9 I m Q y M D I y L T A 0 L T I 4 V D E 2 O j U x O j E 1 L j Y 3 N j Y 3 M z J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x O S I g L z 4 8 R W 5 0 c n k g V H l w Z T 0 i R m l s b F N 0 Y X R 1 c y I g V m F s d W U 9 I n N D b 2 1 w b G V 0 Z S I g L z 4 8 R W 5 0 c n k g V H l w Z T 0 i R m l s b E N v b H V t b k 5 h b W V z I i B W Y W x 1 Z T 0 i c 1 s m c X V v d D t T a G l w I y Z x d W 9 0 O y w m c X V v d D t J d G V t I y Z x d W 9 0 O y w m c X V v d D t R d W F u d G l 0 e S Z x d W 9 0 O y w m c X V v d D t T a G l w X 0 R h d G U m c X V v d D s s J n F 1 b 3 Q 7 U 3 R h d H V z J n F 1 b 3 Q 7 X S I g L z 4 8 R W 5 0 c n k g V H l w Z T 0 i R m l s b E V y c m 9 y Q 2 9 k Z S I g V m F s d W U 9 I n N V b m t u b 3 d u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X N 0 R n J l c 2 g x M T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E 3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x N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x N y U y M C g 0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I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4 V D E 2 O j Q 1 O j A w L j E 0 N j M w M T B a I i A v P j x F b n R y e S B U e X B l P S J G a W x s Q 2 9 s d W 1 u V H l w Z X M i I F Z h b H V l P S J z Q X d N R E N R W T 0 i I C 8 + P E V u d H J 5 I F R 5 c G U 9 I k Z p b G x D b 2 x 1 b W 5 O Y W 1 l c y I g V m F s d W U 9 I n N b J n F 1 b 3 Q 7 U 2 h p c C M m c X V v d D s s J n F 1 b 3 Q 7 S X R l b S M m c X V v d D s s J n F 1 b 3 Q 7 U X V h b n R p d H k m c X V v d D s s J n F 1 b 3 Q 7 U 2 h p c F 9 E Y X R l J n F 1 b 3 Q 7 L C Z x d W 9 0 O 1 N 0 Y X R 1 c y Z x d W 9 0 O 1 0 i I C 8 + P E V u d H J 5 I F R 5 c G U 9 I k Z p b G x T d G F 0 d X M i I F Z h b H V l P S J z Q 2 9 t c G x l d G U i I C 8 + P E V u d H J 5 I F R 5 c G U 9 I k Z p b G x D b 3 V u d C I g V m F s d W U 9 I m w x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z d E Z y Z X N o M T I 2 L 0 N o Y W 5 n Z W Q g V H l w Z S 5 7 U 2 h p c C M s M H 0 m c X V v d D s s J n F 1 b 3 Q 7 U 2 V j d G l v b j E v Q m V z d E Z y Z X N o M T I 2 L 0 N o Y W 5 n Z W Q g V H l w Z S 5 7 S X R l b S M s M X 0 m c X V v d D s s J n F 1 b 3 Q 7 U 2 V j d G l v b j E v Q m V z d E Z y Z X N o M T I 2 L 0 N o Y W 5 n Z W Q g V H l w Z S 5 7 U X V h b n R p d H k s M n 0 m c X V v d D s s J n F 1 b 3 Q 7 U 2 V j d G l v b j E v Q m V z d E Z y Z X N o M T I 2 L 0 N o Y W 5 n Z W Q g V H l w Z S 5 7 U 2 h p c F 9 E Y X R l L D N 9 J n F 1 b 3 Q 7 L C Z x d W 9 0 O 1 N l Y 3 R p b 2 4 x L 0 J l c 3 R G c m V z a D E y N i 9 D a G F u Z 2 V k I F R 5 c G U u e 1 N 0 Y X R 1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X N 0 R n J l c 2 g x M j Y v Q 2 h h b m d l Z C B U e X B l L n t T a G l w I y w w f S Z x d W 9 0 O y w m c X V v d D t T Z W N 0 a W 9 u M S 9 C Z X N 0 R n J l c 2 g x M j Y v Q 2 h h b m d l Z C B U e X B l L n t J d G V t I y w x f S Z x d W 9 0 O y w m c X V v d D t T Z W N 0 a W 9 u M S 9 C Z X N 0 R n J l c 2 g x M j Y v Q 2 h h b m d l Z C B U e X B l L n t R d W F u d G l 0 e S w y f S Z x d W 9 0 O y w m c X V v d D t T Z W N 0 a W 9 u M S 9 C Z X N 0 R n J l c 2 g x M j Y v Q 2 h h b m d l Z C B U e X B l L n t T a G l w X 0 R h d G U s M 3 0 m c X V v d D s s J n F 1 b 3 Q 7 U 2 V j d G l v b j E v Q m V z d E Z y Z X N o M T I 2 L 0 N o Y W 5 n Z W Q g V H l w Z S 5 7 U 3 R h d H V z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V z d E Z y Z X N o M T I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y N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R n J l c 2 g x M j Y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8 / 4 L F q C k k e 0 K g P y j m O d O w A A A A A C A A A A A A A D Z g A A w A A A A B A A A A B c L E Z M m l f 9 J x z E S c 4 d x F j F A A A A A A S A A A C g A A A A E A A A A F y Z 7 a z R E C X Q 9 e b 3 N C x W 0 + p Q A A A A e w U k v A + / J k 7 4 3 l s J S z 0 v B M G C S 4 j E H S u 0 y 8 u X Q N 1 k p c r 2 z z 3 A 6 6 j K E s y X 7 E y V x p T s U x i E 6 a r X 8 z Z S X L H f V G L N e j b P U k w 9 8 i h O T R M s K x R i 7 o E U A A A A b k t U H T k 7 q l q U r t 7 H A K x n z b w J Y m w = < / D a t a M a s h u p > 
</file>

<file path=customXml/itemProps1.xml><?xml version="1.0" encoding="utf-8"?>
<ds:datastoreItem xmlns:ds="http://schemas.openxmlformats.org/officeDocument/2006/customXml" ds:itemID="{52A3D64E-70F0-4BD7-8E79-E602628AB3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Rshipments</vt:lpstr>
      <vt:lpstr>Analysis</vt:lpstr>
      <vt:lpstr>Analysis 2</vt:lpstr>
      <vt:lpstr>Financial</vt:lpstr>
      <vt:lpstr>Comparison</vt:lpstr>
      <vt:lpstr>Summary</vt:lpstr>
      <vt:lpstr>ModifyData</vt:lpstr>
      <vt:lpstr>WSValue</vt:lpstr>
      <vt:lpstr>BFShipData</vt:lpstr>
      <vt:lpstr>Analysis</vt:lpstr>
      <vt:lpstr>Apr</vt:lpstr>
      <vt:lpstr>BFShipData</vt:lpstr>
      <vt:lpstr>markups</vt:lpstr>
      <vt:lpstr>period</vt:lpstr>
      <vt:lpstr>principal</vt:lpstr>
      <vt:lpstr>Shelflifestatus</vt:lpstr>
      <vt:lpstr>Shelfstatus</vt:lpstr>
      <vt:lpstr>TOTALPMT</vt:lpstr>
      <vt:lpstr>years</vt:lpstr>
    </vt:vector>
  </TitlesOfParts>
  <Company>Eastern Illinois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167809</dc:creator>
  <cp:lastModifiedBy>mothusithabela@gmail.com</cp:lastModifiedBy>
  <dcterms:created xsi:type="dcterms:W3CDTF">2022-04-28T16:33:51Z</dcterms:created>
  <dcterms:modified xsi:type="dcterms:W3CDTF">2022-07-19T14:59:50Z</dcterms:modified>
</cp:coreProperties>
</file>