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18"/>
  <workbookPr defaultThemeVersion="124226"/>
  <mc:AlternateContent xmlns:mc="http://schemas.openxmlformats.org/markup-compatibility/2006">
    <mc:Choice Requires="x15">
      <x15ac:absPath xmlns:x15ac="http://schemas.microsoft.com/office/spreadsheetml/2010/11/ac" url="https://mottmac-my.sharepoint.com/personal/paul_beynon_mottmac_com/Documents/Mechanical Team/Calcs not yet MathCAD/02 Fluids/"/>
    </mc:Choice>
  </mc:AlternateContent>
  <xr:revisionPtr revIDLastSave="7" documentId="11_DBE2B201001FB6BD948C738B6D34601397B77F5C" xr6:coauthVersionLast="47" xr6:coauthVersionMax="47" xr10:uidLastSave="{B5CAF769-1BB3-4F11-B101-594BE9A0378B}"/>
  <bookViews>
    <workbookView xWindow="-28920" yWindow="420" windowWidth="29040" windowHeight="15840" firstSheet="1" activeTab="1" xr2:uid="{00000000-000D-0000-FFFF-FFFF00000000}"/>
  </bookViews>
  <sheets>
    <sheet name="Instructions" sheetId="1" r:id="rId1"/>
    <sheet name="Data Input" sheetId="2" r:id="rId2"/>
  </sheets>
  <definedNames>
    <definedName name="_xlnm.Print_Area" localSheetId="1">'Data Input'!$A$1:$X$61</definedName>
    <definedName name="_xlnm.Print_Area" localSheetId="0">Instructions!$A$1:$B$51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5" i="2" l="1"/>
  <c r="C26" i="2"/>
  <c r="C27" i="2"/>
  <c r="C28" i="2"/>
  <c r="C29" i="2"/>
  <c r="C30" i="2"/>
  <c r="C31" i="2"/>
  <c r="C32" i="2"/>
  <c r="C33" i="2"/>
  <c r="C34" i="2"/>
  <c r="C35" i="2"/>
  <c r="C36" i="2"/>
  <c r="C37" i="2"/>
  <c r="C38" i="2"/>
  <c r="C39" i="2"/>
  <c r="C40" i="2"/>
  <c r="J44" i="2"/>
  <c r="D103" i="2"/>
  <c r="D97" i="2"/>
  <c r="D98" i="2"/>
  <c r="C99" i="2"/>
  <c r="E12" i="2"/>
  <c r="E65" i="2" s="1"/>
  <c r="M353" i="2"/>
  <c r="M355" i="2"/>
  <c r="E353" i="2"/>
  <c r="E355" i="2"/>
  <c r="L353" i="2"/>
  <c r="L355" i="2"/>
  <c r="K353" i="2"/>
  <c r="K355" i="2"/>
  <c r="J353" i="2"/>
  <c r="J355" i="2"/>
  <c r="AK89" i="2"/>
  <c r="D348" i="2"/>
  <c r="J349" i="2"/>
  <c r="J354" i="2"/>
  <c r="J359" i="2"/>
  <c r="I353" i="2"/>
  <c r="I355" i="2"/>
  <c r="H353" i="2"/>
  <c r="H355" i="2"/>
  <c r="G353" i="2"/>
  <c r="G355" i="2"/>
  <c r="F353" i="2"/>
  <c r="F355" i="2"/>
  <c r="D353" i="2"/>
  <c r="D355" i="2"/>
  <c r="M351" i="2"/>
  <c r="L351" i="2"/>
  <c r="K351" i="2"/>
  <c r="J351" i="2"/>
  <c r="I351" i="2"/>
  <c r="H351" i="2"/>
  <c r="G351" i="2"/>
  <c r="F351" i="2"/>
  <c r="E351" i="2"/>
  <c r="D351" i="2"/>
  <c r="M350" i="2"/>
  <c r="L350" i="2"/>
  <c r="K350" i="2"/>
  <c r="J350" i="2"/>
  <c r="J361" i="2"/>
  <c r="I350" i="2"/>
  <c r="H350" i="2"/>
  <c r="G350" i="2"/>
  <c r="F350" i="2"/>
  <c r="E350" i="2"/>
  <c r="D350" i="2"/>
  <c r="M349" i="2"/>
  <c r="L349" i="2"/>
  <c r="K349" i="2"/>
  <c r="I349" i="2"/>
  <c r="H349" i="2"/>
  <c r="G349" i="2"/>
  <c r="F349" i="2"/>
  <c r="E349" i="2"/>
  <c r="D349" i="2"/>
  <c r="H333" i="2"/>
  <c r="H335" i="2"/>
  <c r="M333" i="2"/>
  <c r="M335" i="2"/>
  <c r="L333" i="2"/>
  <c r="L335" i="2"/>
  <c r="K333" i="2"/>
  <c r="K335" i="2"/>
  <c r="J333" i="2"/>
  <c r="J335" i="2"/>
  <c r="I333" i="2"/>
  <c r="I335" i="2"/>
  <c r="G333" i="2"/>
  <c r="G335" i="2"/>
  <c r="F333" i="2"/>
  <c r="F335" i="2"/>
  <c r="E333" i="2"/>
  <c r="E335" i="2"/>
  <c r="D333" i="2"/>
  <c r="D335" i="2"/>
  <c r="M331" i="2"/>
  <c r="L331" i="2"/>
  <c r="K331" i="2"/>
  <c r="J331" i="2"/>
  <c r="I331" i="2"/>
  <c r="H331" i="2"/>
  <c r="G331" i="2"/>
  <c r="F331" i="2"/>
  <c r="E331" i="2"/>
  <c r="D331" i="2"/>
  <c r="M330" i="2"/>
  <c r="L330" i="2"/>
  <c r="K330" i="2"/>
  <c r="J330" i="2"/>
  <c r="I330" i="2"/>
  <c r="I329" i="2"/>
  <c r="D328" i="2"/>
  <c r="I334" i="2"/>
  <c r="I339" i="2"/>
  <c r="I341" i="2"/>
  <c r="H330" i="2"/>
  <c r="G330" i="2"/>
  <c r="F330" i="2"/>
  <c r="E330" i="2"/>
  <c r="D330" i="2"/>
  <c r="M329" i="2"/>
  <c r="L329" i="2"/>
  <c r="L343" i="2"/>
  <c r="K329" i="2"/>
  <c r="K334" i="2"/>
  <c r="K339" i="2"/>
  <c r="J329" i="2"/>
  <c r="H329" i="2"/>
  <c r="G329" i="2"/>
  <c r="F329" i="2"/>
  <c r="E329" i="2"/>
  <c r="D329" i="2"/>
  <c r="D334" i="2"/>
  <c r="D339" i="2"/>
  <c r="C83" i="2"/>
  <c r="K313" i="2"/>
  <c r="K315" i="2"/>
  <c r="J313" i="2"/>
  <c r="J315" i="2"/>
  <c r="M313" i="2"/>
  <c r="M315" i="2"/>
  <c r="L313" i="2"/>
  <c r="L315" i="2"/>
  <c r="I313" i="2"/>
  <c r="I315" i="2"/>
  <c r="H313" i="2"/>
  <c r="H315" i="2"/>
  <c r="G313" i="2"/>
  <c r="G315" i="2"/>
  <c r="F313" i="2"/>
  <c r="F315" i="2"/>
  <c r="E313" i="2"/>
  <c r="E315" i="2"/>
  <c r="D313" i="2"/>
  <c r="D315" i="2"/>
  <c r="M311" i="2"/>
  <c r="L311" i="2"/>
  <c r="K311" i="2"/>
  <c r="J311" i="2"/>
  <c r="I311" i="2"/>
  <c r="H311" i="2"/>
  <c r="G311" i="2"/>
  <c r="F311" i="2"/>
  <c r="E311" i="2"/>
  <c r="D311" i="2"/>
  <c r="M310" i="2"/>
  <c r="L310" i="2"/>
  <c r="K310" i="2"/>
  <c r="J310" i="2"/>
  <c r="I310" i="2"/>
  <c r="I309" i="2"/>
  <c r="D308" i="2"/>
  <c r="I314" i="2"/>
  <c r="I319" i="2"/>
  <c r="I321" i="2"/>
  <c r="H310" i="2"/>
  <c r="G310" i="2"/>
  <c r="F310" i="2"/>
  <c r="E310" i="2"/>
  <c r="D310" i="2"/>
  <c r="M309" i="2"/>
  <c r="L309" i="2"/>
  <c r="K309" i="2"/>
  <c r="J309" i="2"/>
  <c r="H309" i="2"/>
  <c r="H325" i="2"/>
  <c r="G309" i="2"/>
  <c r="F309" i="2"/>
  <c r="E309" i="2"/>
  <c r="D309" i="2"/>
  <c r="C70" i="2"/>
  <c r="M293" i="2"/>
  <c r="M295" i="2"/>
  <c r="E293" i="2"/>
  <c r="E295" i="2"/>
  <c r="L293" i="2"/>
  <c r="L295" i="2"/>
  <c r="K293" i="2"/>
  <c r="K295" i="2"/>
  <c r="J293" i="2"/>
  <c r="J295" i="2"/>
  <c r="I293" i="2"/>
  <c r="I295" i="2"/>
  <c r="H293" i="2"/>
  <c r="H295" i="2"/>
  <c r="G293" i="2"/>
  <c r="G295" i="2"/>
  <c r="F293" i="2"/>
  <c r="F295" i="2"/>
  <c r="D293" i="2"/>
  <c r="D295" i="2"/>
  <c r="M291" i="2"/>
  <c r="L291" i="2"/>
  <c r="K291" i="2"/>
  <c r="J291" i="2"/>
  <c r="I291" i="2"/>
  <c r="H291" i="2"/>
  <c r="G291" i="2"/>
  <c r="F291" i="2"/>
  <c r="E291" i="2"/>
  <c r="D291" i="2"/>
  <c r="M290" i="2"/>
  <c r="L290" i="2"/>
  <c r="K290" i="2"/>
  <c r="J290" i="2"/>
  <c r="I290" i="2"/>
  <c r="H290" i="2"/>
  <c r="G290" i="2"/>
  <c r="F290" i="2"/>
  <c r="E290" i="2"/>
  <c r="D290" i="2"/>
  <c r="M289" i="2"/>
  <c r="L289" i="2"/>
  <c r="D288" i="2"/>
  <c r="L294" i="2"/>
  <c r="K289" i="2"/>
  <c r="K294" i="2"/>
  <c r="J289" i="2"/>
  <c r="I289" i="2"/>
  <c r="H289" i="2"/>
  <c r="H294" i="2"/>
  <c r="G289" i="2"/>
  <c r="F289" i="2"/>
  <c r="E289" i="2"/>
  <c r="D289" i="2"/>
  <c r="H273" i="2"/>
  <c r="H275" i="2"/>
  <c r="M273" i="2"/>
  <c r="M275" i="2"/>
  <c r="L273" i="2"/>
  <c r="L275" i="2"/>
  <c r="K273" i="2"/>
  <c r="K275" i="2"/>
  <c r="J273" i="2"/>
  <c r="J275" i="2"/>
  <c r="I273" i="2"/>
  <c r="I275" i="2"/>
  <c r="G273" i="2"/>
  <c r="G275" i="2"/>
  <c r="F273" i="2"/>
  <c r="F275" i="2"/>
  <c r="E273" i="2"/>
  <c r="E275" i="2"/>
  <c r="D273" i="2"/>
  <c r="D275" i="2"/>
  <c r="M271" i="2"/>
  <c r="L271" i="2"/>
  <c r="K271" i="2"/>
  <c r="J271" i="2"/>
  <c r="I271" i="2"/>
  <c r="H271" i="2"/>
  <c r="G271" i="2"/>
  <c r="F271" i="2"/>
  <c r="E271" i="2"/>
  <c r="D271" i="2"/>
  <c r="M270" i="2"/>
  <c r="L270" i="2"/>
  <c r="K270" i="2"/>
  <c r="J270" i="2"/>
  <c r="I270" i="2"/>
  <c r="H270" i="2"/>
  <c r="G270" i="2"/>
  <c r="F270" i="2"/>
  <c r="E270" i="2"/>
  <c r="D270" i="2"/>
  <c r="M269" i="2"/>
  <c r="L269" i="2"/>
  <c r="K269" i="2"/>
  <c r="J269" i="2"/>
  <c r="I269" i="2"/>
  <c r="H269" i="2"/>
  <c r="G269" i="2"/>
  <c r="F269" i="2"/>
  <c r="E269" i="2"/>
  <c r="D269" i="2"/>
  <c r="D268" i="2"/>
  <c r="J253" i="2"/>
  <c r="J255" i="2"/>
  <c r="M253" i="2"/>
  <c r="M255" i="2"/>
  <c r="L253" i="2"/>
  <c r="L255" i="2"/>
  <c r="K253" i="2"/>
  <c r="K255" i="2"/>
  <c r="I253" i="2"/>
  <c r="I255" i="2"/>
  <c r="H253" i="2"/>
  <c r="H255" i="2"/>
  <c r="G253" i="2"/>
  <c r="G255" i="2"/>
  <c r="F253" i="2"/>
  <c r="F255" i="2"/>
  <c r="E253" i="2"/>
  <c r="E255" i="2"/>
  <c r="D253" i="2"/>
  <c r="D255" i="2"/>
  <c r="M251" i="2"/>
  <c r="L251" i="2"/>
  <c r="K251" i="2"/>
  <c r="J251" i="2"/>
  <c r="I251" i="2"/>
  <c r="H251" i="2"/>
  <c r="G251" i="2"/>
  <c r="F251" i="2"/>
  <c r="E251" i="2"/>
  <c r="D251" i="2"/>
  <c r="M250" i="2"/>
  <c r="L250" i="2"/>
  <c r="K250" i="2"/>
  <c r="J250" i="2"/>
  <c r="I250" i="2"/>
  <c r="H250" i="2"/>
  <c r="G250" i="2"/>
  <c r="F250" i="2"/>
  <c r="E250" i="2"/>
  <c r="D250" i="2"/>
  <c r="M249" i="2"/>
  <c r="M265" i="2"/>
  <c r="L249" i="2"/>
  <c r="K249" i="2"/>
  <c r="K265" i="2"/>
  <c r="K67" i="2"/>
  <c r="J249" i="2"/>
  <c r="I249" i="2"/>
  <c r="H249" i="2"/>
  <c r="G249" i="2"/>
  <c r="F249" i="2"/>
  <c r="E249" i="2"/>
  <c r="D248" i="2"/>
  <c r="E265" i="2"/>
  <c r="D249" i="2"/>
  <c r="M230" i="2"/>
  <c r="M232" i="2"/>
  <c r="L230" i="2"/>
  <c r="L232" i="2"/>
  <c r="K230" i="2"/>
  <c r="K232" i="2"/>
  <c r="J230" i="2"/>
  <c r="J232" i="2"/>
  <c r="I230" i="2"/>
  <c r="I232" i="2"/>
  <c r="H230" i="2"/>
  <c r="H232" i="2"/>
  <c r="G230" i="2"/>
  <c r="G232" i="2"/>
  <c r="F230" i="2"/>
  <c r="F232" i="2"/>
  <c r="E230" i="2"/>
  <c r="E232" i="2"/>
  <c r="D230" i="2"/>
  <c r="D232" i="2"/>
  <c r="M228" i="2"/>
  <c r="L228" i="2"/>
  <c r="K228" i="2"/>
  <c r="J228" i="2"/>
  <c r="I228" i="2"/>
  <c r="H228" i="2"/>
  <c r="G228" i="2"/>
  <c r="F228" i="2"/>
  <c r="E228" i="2"/>
  <c r="D228" i="2"/>
  <c r="M227" i="2"/>
  <c r="L227" i="2"/>
  <c r="K227" i="2"/>
  <c r="J227" i="2"/>
  <c r="I227" i="2"/>
  <c r="H227" i="2"/>
  <c r="G227" i="2"/>
  <c r="F227" i="2"/>
  <c r="E227" i="2"/>
  <c r="D227" i="2"/>
  <c r="M226" i="2"/>
  <c r="L226" i="2"/>
  <c r="K226" i="2"/>
  <c r="J226" i="2"/>
  <c r="I226" i="2"/>
  <c r="I242" i="2"/>
  <c r="I90" i="2"/>
  <c r="I91" i="2"/>
  <c r="I92" i="2"/>
  <c r="I243" i="2"/>
  <c r="H226" i="2"/>
  <c r="G226" i="2"/>
  <c r="F226" i="2"/>
  <c r="E226" i="2"/>
  <c r="D226" i="2"/>
  <c r="D240" i="2"/>
  <c r="J210" i="2"/>
  <c r="J212" i="2"/>
  <c r="M210" i="2"/>
  <c r="M212" i="2"/>
  <c r="L210" i="2"/>
  <c r="L212" i="2"/>
  <c r="K210" i="2"/>
  <c r="K212" i="2"/>
  <c r="I210" i="2"/>
  <c r="I212" i="2"/>
  <c r="H210" i="2"/>
  <c r="H212" i="2"/>
  <c r="G210" i="2"/>
  <c r="G212" i="2"/>
  <c r="F210" i="2"/>
  <c r="F212" i="2"/>
  <c r="E210" i="2"/>
  <c r="E212" i="2"/>
  <c r="D210" i="2"/>
  <c r="D212" i="2"/>
  <c r="M208" i="2"/>
  <c r="L208" i="2"/>
  <c r="K208" i="2"/>
  <c r="J208" i="2"/>
  <c r="I208" i="2"/>
  <c r="H208" i="2"/>
  <c r="G208" i="2"/>
  <c r="F208" i="2"/>
  <c r="E208" i="2"/>
  <c r="D208" i="2"/>
  <c r="M207" i="2"/>
  <c r="L207" i="2"/>
  <c r="K207" i="2"/>
  <c r="J207" i="2"/>
  <c r="I207" i="2"/>
  <c r="H207" i="2"/>
  <c r="G207" i="2"/>
  <c r="F207" i="2"/>
  <c r="E207" i="2"/>
  <c r="D207" i="2"/>
  <c r="M206" i="2"/>
  <c r="L206" i="2"/>
  <c r="K206" i="2"/>
  <c r="J206" i="2"/>
  <c r="I206" i="2"/>
  <c r="H206" i="2"/>
  <c r="G206" i="2"/>
  <c r="F206" i="2"/>
  <c r="E206" i="2"/>
  <c r="D206" i="2"/>
  <c r="L190" i="2"/>
  <c r="L192" i="2"/>
  <c r="D190" i="2"/>
  <c r="D192" i="2"/>
  <c r="M190" i="2"/>
  <c r="M192" i="2"/>
  <c r="K190" i="2"/>
  <c r="K192" i="2"/>
  <c r="J190" i="2"/>
  <c r="J192" i="2"/>
  <c r="I190" i="2"/>
  <c r="I192" i="2"/>
  <c r="H190" i="2"/>
  <c r="H192" i="2"/>
  <c r="G190" i="2"/>
  <c r="G192" i="2"/>
  <c r="F190" i="2"/>
  <c r="F192" i="2"/>
  <c r="E190" i="2"/>
  <c r="E192" i="2"/>
  <c r="M188" i="2"/>
  <c r="L188" i="2"/>
  <c r="K188" i="2"/>
  <c r="J188" i="2"/>
  <c r="I188" i="2"/>
  <c r="H188" i="2"/>
  <c r="G188" i="2"/>
  <c r="F188" i="2"/>
  <c r="E188" i="2"/>
  <c r="D188" i="2"/>
  <c r="M187" i="2"/>
  <c r="L187" i="2"/>
  <c r="K187" i="2"/>
  <c r="J187" i="2"/>
  <c r="I187" i="2"/>
  <c r="H187" i="2"/>
  <c r="G187" i="2"/>
  <c r="F187" i="2"/>
  <c r="E187" i="2"/>
  <c r="D187" i="2"/>
  <c r="M186" i="2"/>
  <c r="L186" i="2"/>
  <c r="K186" i="2"/>
  <c r="J186" i="2"/>
  <c r="I186" i="2"/>
  <c r="H186" i="2"/>
  <c r="H200" i="2"/>
  <c r="G186" i="2"/>
  <c r="F186" i="2"/>
  <c r="E186" i="2"/>
  <c r="D186" i="2"/>
  <c r="M170" i="2"/>
  <c r="M172" i="2"/>
  <c r="I170" i="2"/>
  <c r="I172" i="2"/>
  <c r="H170" i="2"/>
  <c r="H172" i="2"/>
  <c r="E170" i="2"/>
  <c r="E172" i="2"/>
  <c r="L170" i="2"/>
  <c r="L172" i="2"/>
  <c r="K170" i="2"/>
  <c r="K172" i="2"/>
  <c r="J170" i="2"/>
  <c r="J172" i="2"/>
  <c r="G170" i="2"/>
  <c r="G172" i="2"/>
  <c r="F170" i="2"/>
  <c r="F172" i="2"/>
  <c r="D170" i="2"/>
  <c r="D172" i="2"/>
  <c r="M168" i="2"/>
  <c r="L168" i="2"/>
  <c r="K168" i="2"/>
  <c r="J168" i="2"/>
  <c r="I168" i="2"/>
  <c r="H168" i="2"/>
  <c r="G168" i="2"/>
  <c r="F168" i="2"/>
  <c r="E168" i="2"/>
  <c r="D168" i="2"/>
  <c r="M167" i="2"/>
  <c r="L167" i="2"/>
  <c r="K167" i="2"/>
  <c r="J167" i="2"/>
  <c r="I167" i="2"/>
  <c r="H167" i="2"/>
  <c r="G167" i="2"/>
  <c r="F167" i="2"/>
  <c r="E167" i="2"/>
  <c r="D167" i="2"/>
  <c r="M166" i="2"/>
  <c r="L166" i="2"/>
  <c r="K166" i="2"/>
  <c r="J166" i="2"/>
  <c r="I166" i="2"/>
  <c r="H166" i="2"/>
  <c r="G166" i="2"/>
  <c r="F166" i="2"/>
  <c r="E166" i="2"/>
  <c r="D166" i="2"/>
  <c r="J150" i="2"/>
  <c r="J152" i="2"/>
  <c r="M150" i="2"/>
  <c r="M152" i="2"/>
  <c r="L150" i="2"/>
  <c r="L152" i="2"/>
  <c r="K150" i="2"/>
  <c r="K152" i="2"/>
  <c r="I150" i="2"/>
  <c r="I152" i="2"/>
  <c r="H150" i="2"/>
  <c r="H152" i="2"/>
  <c r="G150" i="2"/>
  <c r="G152" i="2"/>
  <c r="F150" i="2"/>
  <c r="F152" i="2"/>
  <c r="E150" i="2"/>
  <c r="E152" i="2"/>
  <c r="D150" i="2"/>
  <c r="D152" i="2"/>
  <c r="M148" i="2"/>
  <c r="L148" i="2"/>
  <c r="K148" i="2"/>
  <c r="J148" i="2"/>
  <c r="I148" i="2"/>
  <c r="H148" i="2"/>
  <c r="G148" i="2"/>
  <c r="F148" i="2"/>
  <c r="E148" i="2"/>
  <c r="D148" i="2"/>
  <c r="M147" i="2"/>
  <c r="L147" i="2"/>
  <c r="K147" i="2"/>
  <c r="J147" i="2"/>
  <c r="I147" i="2"/>
  <c r="H147" i="2"/>
  <c r="G147" i="2"/>
  <c r="F147" i="2"/>
  <c r="E147" i="2"/>
  <c r="D147" i="2"/>
  <c r="M146" i="2"/>
  <c r="L146" i="2"/>
  <c r="L162" i="2"/>
  <c r="K146" i="2"/>
  <c r="J146" i="2"/>
  <c r="I146" i="2"/>
  <c r="H146" i="2"/>
  <c r="H160" i="2"/>
  <c r="G146" i="2"/>
  <c r="F146" i="2"/>
  <c r="E146" i="2"/>
  <c r="E160" i="2"/>
  <c r="D146" i="2"/>
  <c r="H130" i="2"/>
  <c r="H132" i="2"/>
  <c r="M130" i="2"/>
  <c r="M132" i="2"/>
  <c r="L130" i="2"/>
  <c r="L132" i="2"/>
  <c r="K130" i="2"/>
  <c r="K132" i="2"/>
  <c r="J130" i="2"/>
  <c r="J132" i="2"/>
  <c r="I130" i="2"/>
  <c r="I132" i="2"/>
  <c r="G130" i="2"/>
  <c r="G132" i="2"/>
  <c r="F130" i="2"/>
  <c r="F132" i="2"/>
  <c r="E130" i="2"/>
  <c r="E132" i="2"/>
  <c r="D130" i="2"/>
  <c r="D132" i="2"/>
  <c r="M128" i="2"/>
  <c r="L128" i="2"/>
  <c r="K128" i="2"/>
  <c r="J128" i="2"/>
  <c r="I128" i="2"/>
  <c r="H128" i="2"/>
  <c r="G128" i="2"/>
  <c r="F128" i="2"/>
  <c r="E128" i="2"/>
  <c r="D128" i="2"/>
  <c r="M127" i="2"/>
  <c r="L127" i="2"/>
  <c r="K127" i="2"/>
  <c r="J127" i="2"/>
  <c r="I127" i="2"/>
  <c r="H127" i="2"/>
  <c r="G127" i="2"/>
  <c r="F127" i="2"/>
  <c r="E127" i="2"/>
  <c r="D127" i="2"/>
  <c r="M126" i="2"/>
  <c r="L126" i="2"/>
  <c r="K126" i="2"/>
  <c r="K142" i="2"/>
  <c r="K53" i="2"/>
  <c r="J126" i="2"/>
  <c r="I126" i="2"/>
  <c r="H126" i="2"/>
  <c r="G126" i="2"/>
  <c r="G140" i="2"/>
  <c r="F126" i="2"/>
  <c r="F142" i="2"/>
  <c r="E126" i="2"/>
  <c r="D126" i="2"/>
  <c r="AL121" i="2"/>
  <c r="AJ121" i="2"/>
  <c r="AL114" i="2"/>
  <c r="AJ114" i="2"/>
  <c r="J110" i="2"/>
  <c r="J112" i="2"/>
  <c r="I110" i="2"/>
  <c r="I112" i="2"/>
  <c r="F110" i="2"/>
  <c r="F112" i="2"/>
  <c r="M110" i="2"/>
  <c r="M112" i="2"/>
  <c r="L110" i="2"/>
  <c r="L112" i="2"/>
  <c r="K110" i="2"/>
  <c r="K112" i="2"/>
  <c r="H110" i="2"/>
  <c r="H112" i="2"/>
  <c r="G110" i="2"/>
  <c r="G112" i="2"/>
  <c r="E110" i="2"/>
  <c r="E112" i="2"/>
  <c r="D110" i="2"/>
  <c r="D112" i="2"/>
  <c r="M108" i="2"/>
  <c r="L108" i="2"/>
  <c r="K108" i="2"/>
  <c r="J108" i="2"/>
  <c r="I108" i="2"/>
  <c r="H108" i="2"/>
  <c r="G108" i="2"/>
  <c r="F108" i="2"/>
  <c r="E108" i="2"/>
  <c r="D108" i="2"/>
  <c r="M107" i="2"/>
  <c r="L107" i="2"/>
  <c r="K107" i="2"/>
  <c r="J107" i="2"/>
  <c r="I107" i="2"/>
  <c r="H107" i="2"/>
  <c r="G107" i="2"/>
  <c r="F107" i="2"/>
  <c r="E107" i="2"/>
  <c r="D107" i="2"/>
  <c r="M106" i="2"/>
  <c r="L106" i="2"/>
  <c r="K106" i="2"/>
  <c r="J106" i="2"/>
  <c r="I106" i="2"/>
  <c r="H106" i="2"/>
  <c r="G106" i="2"/>
  <c r="F106" i="2"/>
  <c r="E106" i="2"/>
  <c r="E122" i="2"/>
  <c r="E52" i="2"/>
  <c r="D106" i="2"/>
  <c r="AL107" i="2"/>
  <c r="AJ107" i="2"/>
  <c r="AK94" i="2"/>
  <c r="AM94" i="2"/>
  <c r="AT90" i="2" a="1"/>
  <c r="AT90" i="2"/>
  <c r="M90" i="2"/>
  <c r="L90" i="2"/>
  <c r="L91" i="2"/>
  <c r="K90" i="2"/>
  <c r="J90" i="2"/>
  <c r="H90" i="2"/>
  <c r="G90" i="2"/>
  <c r="F90" i="2"/>
  <c r="E90" i="2"/>
  <c r="D90" i="2"/>
  <c r="D91" i="2"/>
  <c r="AT89" i="2" a="1"/>
  <c r="AT89" i="2"/>
  <c r="M84" i="2"/>
  <c r="L84" i="2"/>
  <c r="K84" i="2"/>
  <c r="J84" i="2"/>
  <c r="I84" i="2"/>
  <c r="H84" i="2"/>
  <c r="G84" i="2"/>
  <c r="F84" i="2"/>
  <c r="M83" i="2"/>
  <c r="L83" i="2"/>
  <c r="K83" i="2"/>
  <c r="J83" i="2"/>
  <c r="D83" i="2"/>
  <c r="E83" i="2"/>
  <c r="F83" i="2"/>
  <c r="G83" i="2"/>
  <c r="H83" i="2"/>
  <c r="I83" i="2"/>
  <c r="O83" i="2"/>
  <c r="M82" i="2"/>
  <c r="L82" i="2"/>
  <c r="K82" i="2"/>
  <c r="J82" i="2"/>
  <c r="I82" i="2"/>
  <c r="H82" i="2"/>
  <c r="G82" i="2"/>
  <c r="F82" i="2"/>
  <c r="M81" i="2"/>
  <c r="L81" i="2"/>
  <c r="K81" i="2"/>
  <c r="J81" i="2"/>
  <c r="I81" i="2"/>
  <c r="H81" i="2"/>
  <c r="G81" i="2"/>
  <c r="F81" i="2"/>
  <c r="M80" i="2"/>
  <c r="L80" i="2"/>
  <c r="K80" i="2"/>
  <c r="J80" i="2"/>
  <c r="I80" i="2"/>
  <c r="H80" i="2"/>
  <c r="G80" i="2"/>
  <c r="F80" i="2"/>
  <c r="M79" i="2"/>
  <c r="L79" i="2"/>
  <c r="K79" i="2"/>
  <c r="J79" i="2"/>
  <c r="I79" i="2"/>
  <c r="H79" i="2"/>
  <c r="G79" i="2"/>
  <c r="F79" i="2"/>
  <c r="D77" i="2"/>
  <c r="D65" i="2"/>
  <c r="C58" i="2"/>
  <c r="D225" i="2"/>
  <c r="C57" i="2"/>
  <c r="D205" i="2"/>
  <c r="C56" i="2"/>
  <c r="D185" i="2"/>
  <c r="C55" i="2"/>
  <c r="D165" i="2"/>
  <c r="C54" i="2"/>
  <c r="D145" i="2"/>
  <c r="C53" i="2"/>
  <c r="D125" i="2"/>
  <c r="C52" i="2"/>
  <c r="D105" i="2"/>
  <c r="F22" i="2"/>
  <c r="F171" i="2"/>
  <c r="F111" i="2"/>
  <c r="R50" i="2"/>
  <c r="Q50" i="2"/>
  <c r="P50" i="2"/>
  <c r="O50" i="2"/>
  <c r="M50" i="2"/>
  <c r="M78" i="2"/>
  <c r="L50" i="2"/>
  <c r="L66" i="2"/>
  <c r="K50" i="2"/>
  <c r="K78" i="2"/>
  <c r="J50" i="2"/>
  <c r="J78" i="2"/>
  <c r="I50" i="2"/>
  <c r="I78" i="2"/>
  <c r="H50" i="2"/>
  <c r="H78" i="2"/>
  <c r="G50" i="2"/>
  <c r="G78" i="2"/>
  <c r="F50" i="2"/>
  <c r="F78" i="2"/>
  <c r="E50" i="2"/>
  <c r="E78" i="2"/>
  <c r="D50" i="2"/>
  <c r="D66" i="2"/>
  <c r="D49" i="2"/>
  <c r="U44" i="2"/>
  <c r="U38" i="2"/>
  <c r="U37" i="2"/>
  <c r="X31" i="2"/>
  <c r="T31" i="2"/>
  <c r="X30" i="2"/>
  <c r="T30" i="2"/>
  <c r="AF24" i="2"/>
  <c r="AE24" i="2"/>
  <c r="AD24" i="2"/>
  <c r="AC24" i="2"/>
  <c r="AB24" i="2"/>
  <c r="AA24" i="2"/>
  <c r="Z24" i="2"/>
  <c r="Y24" i="2"/>
  <c r="W24" i="2"/>
  <c r="U24" i="2"/>
  <c r="X24" i="2"/>
  <c r="T24" i="2"/>
  <c r="S24" i="2"/>
  <c r="R24" i="2"/>
  <c r="V24" i="2"/>
  <c r="AF23" i="2"/>
  <c r="AE23" i="2"/>
  <c r="AD23" i="2"/>
  <c r="AC23" i="2"/>
  <c r="AB23" i="2"/>
  <c r="AA23" i="2"/>
  <c r="Z23" i="2"/>
  <c r="Y23" i="2"/>
  <c r="W23" i="2"/>
  <c r="U23" i="2"/>
  <c r="X23" i="2"/>
  <c r="T23" i="2"/>
  <c r="S23" i="2"/>
  <c r="R23" i="2"/>
  <c r="V23" i="2"/>
  <c r="AF22" i="2"/>
  <c r="AE22" i="2"/>
  <c r="AD22" i="2"/>
  <c r="AC22" i="2"/>
  <c r="AB22" i="2"/>
  <c r="AA22" i="2"/>
  <c r="Z22" i="2"/>
  <c r="Y22" i="2"/>
  <c r="W22" i="2"/>
  <c r="U22" i="2"/>
  <c r="X22" i="2"/>
  <c r="T22" i="2"/>
  <c r="S22" i="2"/>
  <c r="R22" i="2"/>
  <c r="V22" i="2"/>
  <c r="M22" i="2"/>
  <c r="M171" i="2"/>
  <c r="L22" i="2"/>
  <c r="L171" i="2"/>
  <c r="L111" i="2"/>
  <c r="L116" i="2"/>
  <c r="K22" i="2"/>
  <c r="K171" i="2"/>
  <c r="J22" i="2"/>
  <c r="J171" i="2"/>
  <c r="I22" i="2"/>
  <c r="I171" i="2"/>
  <c r="H22" i="2"/>
  <c r="H171" i="2"/>
  <c r="G22" i="2"/>
  <c r="G171" i="2"/>
  <c r="E22" i="2"/>
  <c r="E171" i="2"/>
  <c r="E211" i="2"/>
  <c r="E216" i="2"/>
  <c r="D22" i="2"/>
  <c r="D171" i="2"/>
  <c r="D211" i="2"/>
  <c r="D216" i="2"/>
  <c r="AF21" i="2"/>
  <c r="AE21" i="2"/>
  <c r="AD21" i="2"/>
  <c r="AC21" i="2"/>
  <c r="AB21" i="2"/>
  <c r="AA21" i="2"/>
  <c r="Z21" i="2"/>
  <c r="Y21" i="2"/>
  <c r="W21" i="2"/>
  <c r="U21" i="2"/>
  <c r="X21" i="2"/>
  <c r="T21" i="2"/>
  <c r="S21" i="2"/>
  <c r="R21" i="2"/>
  <c r="V21" i="2"/>
  <c r="AF20" i="2"/>
  <c r="AE20" i="2"/>
  <c r="AD20" i="2"/>
  <c r="AC20" i="2"/>
  <c r="AB20" i="2"/>
  <c r="AA20" i="2"/>
  <c r="Z20" i="2"/>
  <c r="Y20" i="2"/>
  <c r="W20" i="2"/>
  <c r="U20" i="2"/>
  <c r="X20" i="2"/>
  <c r="T20" i="2"/>
  <c r="S20" i="2"/>
  <c r="R20" i="2"/>
  <c r="V20" i="2"/>
  <c r="AF19" i="2"/>
  <c r="AE19" i="2"/>
  <c r="AD19" i="2"/>
  <c r="AC19" i="2"/>
  <c r="AB19" i="2"/>
  <c r="AA19" i="2"/>
  <c r="Z19" i="2"/>
  <c r="Y19" i="2"/>
  <c r="W19" i="2"/>
  <c r="U19" i="2"/>
  <c r="X19" i="2"/>
  <c r="T19" i="2"/>
  <c r="S19" i="2"/>
  <c r="R19" i="2"/>
  <c r="V19" i="2"/>
  <c r="AF18" i="2"/>
  <c r="AE18" i="2"/>
  <c r="AB18" i="2"/>
  <c r="AA18" i="2"/>
  <c r="W18" i="2"/>
  <c r="V18" i="2"/>
  <c r="S18" i="2"/>
  <c r="R18" i="2"/>
  <c r="Q18" i="2"/>
  <c r="P18" i="2"/>
  <c r="H8" i="2"/>
  <c r="H7" i="2"/>
  <c r="H6" i="2"/>
  <c r="F6" i="2"/>
  <c r="E6" i="2"/>
  <c r="R51" i="2"/>
  <c r="D6" i="2"/>
  <c r="Q51" i="2"/>
  <c r="C6" i="2"/>
  <c r="P51" i="2"/>
  <c r="U5" i="2"/>
  <c r="K5" i="2"/>
  <c r="H5" i="2"/>
  <c r="V4" i="2"/>
  <c r="A50" i="1"/>
  <c r="A51" i="1"/>
  <c r="A44" i="1"/>
  <c r="A45" i="1"/>
  <c r="A46" i="1"/>
  <c r="A47" i="1"/>
  <c r="A39" i="1"/>
  <c r="A40" i="1"/>
  <c r="A41" i="1"/>
  <c r="A37" i="1"/>
  <c r="A33" i="1"/>
  <c r="A34" i="1"/>
  <c r="A35" i="1"/>
  <c r="A36" i="1"/>
  <c r="A29" i="1"/>
  <c r="A30" i="1"/>
  <c r="A26" i="1"/>
  <c r="A21" i="1"/>
  <c r="A22" i="1"/>
  <c r="A23" i="1"/>
  <c r="A11" i="1"/>
  <c r="A12" i="1"/>
  <c r="A13" i="1"/>
  <c r="A14" i="1"/>
  <c r="A15" i="1"/>
  <c r="A16" i="1"/>
  <c r="A17" i="1"/>
  <c r="A18" i="1"/>
  <c r="A9" i="1"/>
  <c r="A4" i="1"/>
  <c r="A5" i="1"/>
  <c r="A6" i="1"/>
  <c r="A7" i="1"/>
  <c r="A8" i="1"/>
  <c r="L89" i="2"/>
  <c r="C69" i="2"/>
  <c r="C81" i="2"/>
  <c r="G113" i="2"/>
  <c r="D89" i="2"/>
  <c r="F135" i="2"/>
  <c r="F66" i="2"/>
  <c r="M354" i="2"/>
  <c r="C72" i="2"/>
  <c r="C82" i="2"/>
  <c r="H89" i="2"/>
  <c r="C80" i="2"/>
  <c r="M114" i="2"/>
  <c r="J133" i="2"/>
  <c r="C84" i="2"/>
  <c r="F89" i="2"/>
  <c r="K115" i="2"/>
  <c r="H134" i="2"/>
  <c r="K274" i="2"/>
  <c r="M314" i="2"/>
  <c r="E114" i="2"/>
  <c r="D325" i="2"/>
  <c r="K44" i="2"/>
  <c r="K292" i="2"/>
  <c r="J129" i="2"/>
  <c r="J66" i="2"/>
  <c r="AK91" i="2"/>
  <c r="F314" i="2"/>
  <c r="H44" i="2"/>
  <c r="H312" i="2"/>
  <c r="C67" i="2"/>
  <c r="C68" i="2"/>
  <c r="D92" i="2"/>
  <c r="K113" i="2"/>
  <c r="G115" i="2"/>
  <c r="F133" i="2"/>
  <c r="L134" i="2"/>
  <c r="M294" i="2"/>
  <c r="G314" i="2"/>
  <c r="G319" i="2"/>
  <c r="G321" i="2"/>
  <c r="L78" i="2"/>
  <c r="J91" i="2"/>
  <c r="J92" i="2"/>
  <c r="J314" i="2"/>
  <c r="L44" i="2"/>
  <c r="L352" i="2"/>
  <c r="F44" i="2"/>
  <c r="F272" i="2"/>
  <c r="H66" i="2"/>
  <c r="C71" i="2"/>
  <c r="D78" i="2"/>
  <c r="C79" i="2"/>
  <c r="L92" i="2"/>
  <c r="L345" i="2"/>
  <c r="L346" i="2"/>
  <c r="I114" i="2"/>
  <c r="D134" i="2"/>
  <c r="J135" i="2"/>
  <c r="I254" i="2"/>
  <c r="I259" i="2"/>
  <c r="G265" i="2"/>
  <c r="G67" i="2"/>
  <c r="L149" i="2"/>
  <c r="K211" i="2"/>
  <c r="F149" i="2"/>
  <c r="F211" i="2"/>
  <c r="J89" i="2"/>
  <c r="AT91" i="2"/>
  <c r="K91" i="2"/>
  <c r="K92" i="2"/>
  <c r="E113" i="2"/>
  <c r="E117" i="2"/>
  <c r="E119" i="2"/>
  <c r="M113" i="2"/>
  <c r="M117" i="2"/>
  <c r="K114" i="2"/>
  <c r="I115" i="2"/>
  <c r="H133" i="2"/>
  <c r="H137" i="2"/>
  <c r="H141" i="2"/>
  <c r="F134" i="2"/>
  <c r="D135" i="2"/>
  <c r="L135" i="2"/>
  <c r="F129" i="2"/>
  <c r="H211" i="2"/>
  <c r="D44" i="2"/>
  <c r="M358" i="2"/>
  <c r="I358" i="2"/>
  <c r="E358" i="2"/>
  <c r="K357" i="2"/>
  <c r="G357" i="2"/>
  <c r="M356" i="2"/>
  <c r="I356" i="2"/>
  <c r="I360" i="2"/>
  <c r="E356" i="2"/>
  <c r="J338" i="2"/>
  <c r="F338" i="2"/>
  <c r="L337" i="2"/>
  <c r="H337" i="2"/>
  <c r="D337" i="2"/>
  <c r="J336" i="2"/>
  <c r="F336" i="2"/>
  <c r="F340" i="2"/>
  <c r="K358" i="2"/>
  <c r="G358" i="2"/>
  <c r="M357" i="2"/>
  <c r="I357" i="2"/>
  <c r="E357" i="2"/>
  <c r="K356" i="2"/>
  <c r="K360" i="2"/>
  <c r="K362" i="2"/>
  <c r="G356" i="2"/>
  <c r="L338" i="2"/>
  <c r="H338" i="2"/>
  <c r="D338" i="2"/>
  <c r="J337" i="2"/>
  <c r="F337" i="2"/>
  <c r="L336" i="2"/>
  <c r="L340" i="2"/>
  <c r="L342" i="2"/>
  <c r="H336" i="2"/>
  <c r="H340" i="2"/>
  <c r="H342" i="2"/>
  <c r="D336" i="2"/>
  <c r="L362" i="2"/>
  <c r="L358" i="2"/>
  <c r="D358" i="2"/>
  <c r="F357" i="2"/>
  <c r="H356" i="2"/>
  <c r="M338" i="2"/>
  <c r="E338" i="2"/>
  <c r="G337" i="2"/>
  <c r="I336" i="2"/>
  <c r="M318" i="2"/>
  <c r="M319" i="2"/>
  <c r="I318" i="2"/>
  <c r="E318" i="2"/>
  <c r="K317" i="2"/>
  <c r="G317" i="2"/>
  <c r="M316" i="2"/>
  <c r="I316" i="2"/>
  <c r="E316" i="2"/>
  <c r="J358" i="2"/>
  <c r="L357" i="2"/>
  <c r="D357" i="2"/>
  <c r="F356" i="2"/>
  <c r="K338" i="2"/>
  <c r="M337" i="2"/>
  <c r="E337" i="2"/>
  <c r="G336" i="2"/>
  <c r="G340" i="2"/>
  <c r="G344" i="2"/>
  <c r="L318" i="2"/>
  <c r="H318" i="2"/>
  <c r="D318" i="2"/>
  <c r="J317" i="2"/>
  <c r="F317" i="2"/>
  <c r="L316" i="2"/>
  <c r="H316" i="2"/>
  <c r="D316" i="2"/>
  <c r="M298" i="2"/>
  <c r="I298" i="2"/>
  <c r="H358" i="2"/>
  <c r="L356" i="2"/>
  <c r="L360" i="2"/>
  <c r="L364" i="2"/>
  <c r="K337" i="2"/>
  <c r="E336" i="2"/>
  <c r="E340" i="2"/>
  <c r="E344" i="2"/>
  <c r="K318" i="2"/>
  <c r="M317" i="2"/>
  <c r="E317" i="2"/>
  <c r="G316" i="2"/>
  <c r="L298" i="2"/>
  <c r="G298" i="2"/>
  <c r="M297" i="2"/>
  <c r="I297" i="2"/>
  <c r="E297" i="2"/>
  <c r="K296" i="2"/>
  <c r="G296" i="2"/>
  <c r="G300" i="2"/>
  <c r="L278" i="2"/>
  <c r="H278" i="2"/>
  <c r="D278" i="2"/>
  <c r="J277" i="2"/>
  <c r="F277" i="2"/>
  <c r="L276" i="2"/>
  <c r="H276" i="2"/>
  <c r="D276" i="2"/>
  <c r="D280" i="2"/>
  <c r="J357" i="2"/>
  <c r="D356" i="2"/>
  <c r="I338" i="2"/>
  <c r="M336" i="2"/>
  <c r="M340" i="2"/>
  <c r="G318" i="2"/>
  <c r="I317" i="2"/>
  <c r="K316" i="2"/>
  <c r="K320" i="2"/>
  <c r="J298" i="2"/>
  <c r="E298" i="2"/>
  <c r="K297" i="2"/>
  <c r="G297" i="2"/>
  <c r="M296" i="2"/>
  <c r="M300" i="2"/>
  <c r="I296" i="2"/>
  <c r="E296" i="2"/>
  <c r="E300" i="2"/>
  <c r="F284" i="2"/>
  <c r="J278" i="2"/>
  <c r="F278" i="2"/>
  <c r="L277" i="2"/>
  <c r="H277" i="2"/>
  <c r="D277" i="2"/>
  <c r="J276" i="2"/>
  <c r="F276" i="2"/>
  <c r="F280" i="2"/>
  <c r="F282" i="2"/>
  <c r="K258" i="2"/>
  <c r="G258" i="2"/>
  <c r="M257" i="2"/>
  <c r="I257" i="2"/>
  <c r="E257" i="2"/>
  <c r="K256" i="2"/>
  <c r="G256" i="2"/>
  <c r="G260" i="2"/>
  <c r="J235" i="2"/>
  <c r="F235" i="2"/>
  <c r="L234" i="2"/>
  <c r="H234" i="2"/>
  <c r="D234" i="2"/>
  <c r="J233" i="2"/>
  <c r="F233" i="2"/>
  <c r="F237" i="2"/>
  <c r="F358" i="2"/>
  <c r="K336" i="2"/>
  <c r="L317" i="2"/>
  <c r="F316" i="2"/>
  <c r="F320" i="2"/>
  <c r="F322" i="2"/>
  <c r="K298" i="2"/>
  <c r="K299" i="2"/>
  <c r="K301" i="2"/>
  <c r="L297" i="2"/>
  <c r="D297" i="2"/>
  <c r="F296" i="2"/>
  <c r="G278" i="2"/>
  <c r="I277" i="2"/>
  <c r="K276" i="2"/>
  <c r="L258" i="2"/>
  <c r="F258" i="2"/>
  <c r="K257" i="2"/>
  <c r="F257" i="2"/>
  <c r="J256" i="2"/>
  <c r="E256" i="2"/>
  <c r="E260" i="2"/>
  <c r="D241" i="2"/>
  <c r="J356" i="2"/>
  <c r="G338" i="2"/>
  <c r="J318" i="2"/>
  <c r="D317" i="2"/>
  <c r="F298" i="2"/>
  <c r="H297" i="2"/>
  <c r="J296" i="2"/>
  <c r="J300" i="2"/>
  <c r="K278" i="2"/>
  <c r="M277" i="2"/>
  <c r="E277" i="2"/>
  <c r="G276" i="2"/>
  <c r="G280" i="2"/>
  <c r="I258" i="2"/>
  <c r="D258" i="2"/>
  <c r="H257" i="2"/>
  <c r="M256" i="2"/>
  <c r="M260" i="2"/>
  <c r="H256" i="2"/>
  <c r="M235" i="2"/>
  <c r="H235" i="2"/>
  <c r="M234" i="2"/>
  <c r="G234" i="2"/>
  <c r="L233" i="2"/>
  <c r="G233" i="2"/>
  <c r="G237" i="2"/>
  <c r="L215" i="2"/>
  <c r="H215" i="2"/>
  <c r="D215" i="2"/>
  <c r="J214" i="2"/>
  <c r="F214" i="2"/>
  <c r="L213" i="2"/>
  <c r="H213" i="2"/>
  <c r="D213" i="2"/>
  <c r="D217" i="2"/>
  <c r="K195" i="2"/>
  <c r="G195" i="2"/>
  <c r="M194" i="2"/>
  <c r="I194" i="2"/>
  <c r="E194" i="2"/>
  <c r="K193" i="2"/>
  <c r="G193" i="2"/>
  <c r="I337" i="2"/>
  <c r="H317" i="2"/>
  <c r="F297" i="2"/>
  <c r="E278" i="2"/>
  <c r="I276" i="2"/>
  <c r="I280" i="2"/>
  <c r="I284" i="2"/>
  <c r="E258" i="2"/>
  <c r="D257" i="2"/>
  <c r="D256" i="2"/>
  <c r="D260" i="2"/>
  <c r="G235" i="2"/>
  <c r="J234" i="2"/>
  <c r="M233" i="2"/>
  <c r="M237" i="2"/>
  <c r="E233" i="2"/>
  <c r="E237" i="2"/>
  <c r="J215" i="2"/>
  <c r="E215" i="2"/>
  <c r="I214" i="2"/>
  <c r="D214" i="2"/>
  <c r="I213" i="2"/>
  <c r="I217" i="2"/>
  <c r="I221" i="2"/>
  <c r="J195" i="2"/>
  <c r="E195" i="2"/>
  <c r="J194" i="2"/>
  <c r="D194" i="2"/>
  <c r="I193" i="2"/>
  <c r="I197" i="2"/>
  <c r="D193" i="2"/>
  <c r="D197" i="2"/>
  <c r="D201" i="2"/>
  <c r="M175" i="2"/>
  <c r="I175" i="2"/>
  <c r="E175" i="2"/>
  <c r="K174" i="2"/>
  <c r="G174" i="2"/>
  <c r="M173" i="2"/>
  <c r="I173" i="2"/>
  <c r="E173" i="2"/>
  <c r="E177" i="2"/>
  <c r="E179" i="2"/>
  <c r="L155" i="2"/>
  <c r="H155" i="2"/>
  <c r="D155" i="2"/>
  <c r="J154" i="2"/>
  <c r="F154" i="2"/>
  <c r="L153" i="2"/>
  <c r="H153" i="2"/>
  <c r="D153" i="2"/>
  <c r="H357" i="2"/>
  <c r="J316" i="2"/>
  <c r="J320" i="2"/>
  <c r="J322" i="2"/>
  <c r="H298" i="2"/>
  <c r="L296" i="2"/>
  <c r="K277" i="2"/>
  <c r="E276" i="2"/>
  <c r="E280" i="2"/>
  <c r="E282" i="2"/>
  <c r="M258" i="2"/>
  <c r="L257" i="2"/>
  <c r="L256" i="2"/>
  <c r="L235" i="2"/>
  <c r="E235" i="2"/>
  <c r="I234" i="2"/>
  <c r="K233" i="2"/>
  <c r="D233" i="2"/>
  <c r="D237" i="2"/>
  <c r="I215" i="2"/>
  <c r="M214" i="2"/>
  <c r="H214" i="2"/>
  <c r="M213" i="2"/>
  <c r="G213" i="2"/>
  <c r="I195" i="2"/>
  <c r="D195" i="2"/>
  <c r="H194" i="2"/>
  <c r="M193" i="2"/>
  <c r="M197" i="2"/>
  <c r="M199" i="2"/>
  <c r="H193" i="2"/>
  <c r="L175" i="2"/>
  <c r="H175" i="2"/>
  <c r="D175" i="2"/>
  <c r="J174" i="2"/>
  <c r="F174" i="2"/>
  <c r="L173" i="2"/>
  <c r="L177" i="2"/>
  <c r="L181" i="2"/>
  <c r="H173" i="2"/>
  <c r="H177" i="2"/>
  <c r="D173" i="2"/>
  <c r="D177" i="2"/>
  <c r="K155" i="2"/>
  <c r="G155" i="2"/>
  <c r="M154" i="2"/>
  <c r="I154" i="2"/>
  <c r="E154" i="2"/>
  <c r="K153" i="2"/>
  <c r="G153" i="2"/>
  <c r="D298" i="2"/>
  <c r="G277" i="2"/>
  <c r="G257" i="2"/>
  <c r="D239" i="2"/>
  <c r="I235" i="2"/>
  <c r="E234" i="2"/>
  <c r="G215" i="2"/>
  <c r="G214" i="2"/>
  <c r="F213" i="2"/>
  <c r="F217" i="2"/>
  <c r="F195" i="2"/>
  <c r="F194" i="2"/>
  <c r="E193" i="2"/>
  <c r="E197" i="2"/>
  <c r="K175" i="2"/>
  <c r="M174" i="2"/>
  <c r="E174" i="2"/>
  <c r="G173" i="2"/>
  <c r="G177" i="2"/>
  <c r="G179" i="2"/>
  <c r="F155" i="2"/>
  <c r="H154" i="2"/>
  <c r="J153" i="2"/>
  <c r="J157" i="2"/>
  <c r="M135" i="2"/>
  <c r="I135" i="2"/>
  <c r="E135" i="2"/>
  <c r="K134" i="2"/>
  <c r="G134" i="2"/>
  <c r="M133" i="2"/>
  <c r="I133" i="2"/>
  <c r="I137" i="2"/>
  <c r="I139" i="2"/>
  <c r="E133" i="2"/>
  <c r="J115" i="2"/>
  <c r="F115" i="2"/>
  <c r="L114" i="2"/>
  <c r="H114" i="2"/>
  <c r="D114" i="2"/>
  <c r="J113" i="2"/>
  <c r="J117" i="2"/>
  <c r="F113" i="2"/>
  <c r="M89" i="2"/>
  <c r="I89" i="2"/>
  <c r="E89" i="2"/>
  <c r="F318" i="2"/>
  <c r="J297" i="2"/>
  <c r="M276" i="2"/>
  <c r="M280" i="2"/>
  <c r="M282" i="2"/>
  <c r="J258" i="2"/>
  <c r="I256" i="2"/>
  <c r="I260" i="2"/>
  <c r="D235" i="2"/>
  <c r="I233" i="2"/>
  <c r="I237" i="2"/>
  <c r="I241" i="2"/>
  <c r="F215" i="2"/>
  <c r="E214" i="2"/>
  <c r="E213" i="2"/>
  <c r="M195" i="2"/>
  <c r="L194" i="2"/>
  <c r="L193" i="2"/>
  <c r="J175" i="2"/>
  <c r="L174" i="2"/>
  <c r="D174" i="2"/>
  <c r="F173" i="2"/>
  <c r="F177" i="2"/>
  <c r="F181" i="2"/>
  <c r="E159" i="2"/>
  <c r="M155" i="2"/>
  <c r="E155" i="2"/>
  <c r="G154" i="2"/>
  <c r="I153" i="2"/>
  <c r="I157" i="2"/>
  <c r="I159" i="2"/>
  <c r="H296" i="2"/>
  <c r="H300" i="2"/>
  <c r="H304" i="2"/>
  <c r="M278" i="2"/>
  <c r="H258" i="2"/>
  <c r="F256" i="2"/>
  <c r="F260" i="2"/>
  <c r="F262" i="2"/>
  <c r="K234" i="2"/>
  <c r="H233" i="2"/>
  <c r="H237" i="2"/>
  <c r="H239" i="2"/>
  <c r="M215" i="2"/>
  <c r="L214" i="2"/>
  <c r="K213" i="2"/>
  <c r="L195" i="2"/>
  <c r="K194" i="2"/>
  <c r="J193" i="2"/>
  <c r="G175" i="2"/>
  <c r="I174" i="2"/>
  <c r="K173" i="2"/>
  <c r="J155" i="2"/>
  <c r="L154" i="2"/>
  <c r="D154" i="2"/>
  <c r="F153" i="2"/>
  <c r="F157" i="2"/>
  <c r="F159" i="2"/>
  <c r="K135" i="2"/>
  <c r="G135" i="2"/>
  <c r="M134" i="2"/>
  <c r="I134" i="2"/>
  <c r="E134" i="2"/>
  <c r="K133" i="2"/>
  <c r="K137" i="2"/>
  <c r="K139" i="2"/>
  <c r="G133" i="2"/>
  <c r="G137" i="2"/>
  <c r="G141" i="2"/>
  <c r="L115" i="2"/>
  <c r="H115" i="2"/>
  <c r="D115" i="2"/>
  <c r="J114" i="2"/>
  <c r="F114" i="2"/>
  <c r="L113" i="2"/>
  <c r="L117" i="2"/>
  <c r="L119" i="2"/>
  <c r="H113" i="2"/>
  <c r="H117" i="2"/>
  <c r="H119" i="2"/>
  <c r="D113" i="2"/>
  <c r="D117" i="2"/>
  <c r="D119" i="2"/>
  <c r="K89" i="2"/>
  <c r="G89" i="2"/>
  <c r="D296" i="2"/>
  <c r="I278" i="2"/>
  <c r="J257" i="2"/>
  <c r="K235" i="2"/>
  <c r="F234" i="2"/>
  <c r="K215" i="2"/>
  <c r="K214" i="2"/>
  <c r="J213" i="2"/>
  <c r="J217" i="2"/>
  <c r="J221" i="2"/>
  <c r="H195" i="2"/>
  <c r="G194" i="2"/>
  <c r="F193" i="2"/>
  <c r="F197" i="2"/>
  <c r="F175" i="2"/>
  <c r="H174" i="2"/>
  <c r="J173" i="2"/>
  <c r="J177" i="2"/>
  <c r="J179" i="2"/>
  <c r="I155" i="2"/>
  <c r="K154" i="2"/>
  <c r="M153" i="2"/>
  <c r="M157" i="2"/>
  <c r="E153" i="2"/>
  <c r="E157" i="2"/>
  <c r="E161" i="2"/>
  <c r="E91" i="2"/>
  <c r="M91" i="2"/>
  <c r="I113" i="2"/>
  <c r="I117" i="2"/>
  <c r="I119" i="2"/>
  <c r="G114" i="2"/>
  <c r="E115" i="2"/>
  <c r="M115" i="2"/>
  <c r="D133" i="2"/>
  <c r="D137" i="2"/>
  <c r="D139" i="2"/>
  <c r="L133" i="2"/>
  <c r="L137" i="2"/>
  <c r="L139" i="2"/>
  <c r="J134" i="2"/>
  <c r="H135" i="2"/>
  <c r="H139" i="2"/>
  <c r="D254" i="2"/>
  <c r="F294" i="2"/>
  <c r="F299" i="2"/>
  <c r="J294" i="2"/>
  <c r="E44" i="2"/>
  <c r="I44" i="2"/>
  <c r="M44" i="2"/>
  <c r="E66" i="2"/>
  <c r="I66" i="2"/>
  <c r="M66" i="2"/>
  <c r="H265" i="2"/>
  <c r="L254" i="2"/>
  <c r="D265" i="2"/>
  <c r="G44" i="2"/>
  <c r="G66" i="2"/>
  <c r="K66" i="2"/>
  <c r="D294" i="2"/>
  <c r="D299" i="2"/>
  <c r="L299" i="2"/>
  <c r="L301" i="2"/>
  <c r="J334" i="2"/>
  <c r="J339" i="2"/>
  <c r="J341" i="2"/>
  <c r="F334" i="2"/>
  <c r="F339" i="2"/>
  <c r="L334" i="2"/>
  <c r="L339" i="2"/>
  <c r="L341" i="2"/>
  <c r="H334" i="2"/>
  <c r="D341" i="2"/>
  <c r="G334" i="2"/>
  <c r="G339" i="2"/>
  <c r="M334" i="2"/>
  <c r="M339" i="2"/>
  <c r="E334" i="2"/>
  <c r="E339" i="2"/>
  <c r="E341" i="2"/>
  <c r="L274" i="2"/>
  <c r="L279" i="2"/>
  <c r="H274" i="2"/>
  <c r="H279" i="2"/>
  <c r="J274" i="2"/>
  <c r="J279" i="2"/>
  <c r="F274" i="2"/>
  <c r="F279" i="2"/>
  <c r="F283" i="2"/>
  <c r="F285" i="2"/>
  <c r="E274" i="2"/>
  <c r="M274" i="2"/>
  <c r="M279" i="2"/>
  <c r="K254" i="2"/>
  <c r="K259" i="2"/>
  <c r="K261" i="2"/>
  <c r="G254" i="2"/>
  <c r="H254" i="2"/>
  <c r="H259" i="2"/>
  <c r="M254" i="2"/>
  <c r="M259" i="2"/>
  <c r="I274" i="2"/>
  <c r="E294" i="2"/>
  <c r="E299" i="2"/>
  <c r="I294" i="2"/>
  <c r="D345" i="2"/>
  <c r="H354" i="2"/>
  <c r="H359" i="2"/>
  <c r="D365" i="2"/>
  <c r="D314" i="2"/>
  <c r="D319" i="2"/>
  <c r="H314" i="2"/>
  <c r="H319" i="2"/>
  <c r="L314" i="2"/>
  <c r="L319" i="2"/>
  <c r="E314" i="2"/>
  <c r="E319" i="2"/>
  <c r="F354" i="2"/>
  <c r="F359" i="2"/>
  <c r="F361" i="2"/>
  <c r="G354" i="2"/>
  <c r="K354" i="2"/>
  <c r="K359" i="2"/>
  <c r="K361" i="2"/>
  <c r="E354" i="2"/>
  <c r="E359" i="2"/>
  <c r="I354" i="2"/>
  <c r="I359" i="2"/>
  <c r="H320" i="2"/>
  <c r="H322" i="2"/>
  <c r="H321" i="2"/>
  <c r="H323" i="2"/>
  <c r="F169" i="2"/>
  <c r="K141" i="2"/>
  <c r="D121" i="2"/>
  <c r="D219" i="2"/>
  <c r="H280" i="2"/>
  <c r="G359" i="2"/>
  <c r="M261" i="2"/>
  <c r="I361" i="2"/>
  <c r="H261" i="2"/>
  <c r="I140" i="2"/>
  <c r="D141" i="2"/>
  <c r="E121" i="2"/>
  <c r="M159" i="2"/>
  <c r="G139" i="2"/>
  <c r="J197" i="2"/>
  <c r="J119" i="2"/>
  <c r="F221" i="2"/>
  <c r="L300" i="2"/>
  <c r="L302" i="2"/>
  <c r="L237" i="2"/>
  <c r="I219" i="2"/>
  <c r="J280" i="2"/>
  <c r="F324" i="2"/>
  <c r="I362" i="2"/>
  <c r="F319" i="2"/>
  <c r="F321" i="2"/>
  <c r="M201" i="2"/>
  <c r="K280" i="2"/>
  <c r="K282" i="2"/>
  <c r="E342" i="2"/>
  <c r="E343" i="2"/>
  <c r="E332" i="2"/>
  <c r="E345" i="2"/>
  <c r="K363" i="2"/>
  <c r="K352" i="2"/>
  <c r="K365" i="2"/>
  <c r="K72" i="2"/>
  <c r="J281" i="2"/>
  <c r="I220" i="2"/>
  <c r="I209" i="2"/>
  <c r="I222" i="2"/>
  <c r="D300" i="2"/>
  <c r="D304" i="2"/>
  <c r="M137" i="2"/>
  <c r="M139" i="2"/>
  <c r="H157" i="2"/>
  <c r="H161" i="2"/>
  <c r="J219" i="2"/>
  <c r="K322" i="2"/>
  <c r="I299" i="2"/>
  <c r="I301" i="2"/>
  <c r="H339" i="2"/>
  <c r="H341" i="2"/>
  <c r="H343" i="2"/>
  <c r="H332" i="2"/>
  <c r="H345" i="2"/>
  <c r="L303" i="2"/>
  <c r="L292" i="2"/>
  <c r="L305" i="2"/>
  <c r="F263" i="2"/>
  <c r="I240" i="2"/>
  <c r="I229" i="2"/>
  <c r="I58" i="2"/>
  <c r="D259" i="2"/>
  <c r="D261" i="2"/>
  <c r="H121" i="2"/>
  <c r="I282" i="2"/>
  <c r="G342" i="2"/>
  <c r="G332" i="2"/>
  <c r="G345" i="2"/>
  <c r="G71" i="2"/>
  <c r="M239" i="2"/>
  <c r="H217" i="2"/>
  <c r="D340" i="2"/>
  <c r="D344" i="2"/>
  <c r="H344" i="2"/>
  <c r="K364" i="2"/>
  <c r="E284" i="2"/>
  <c r="I279" i="2"/>
  <c r="I281" i="2"/>
  <c r="I283" i="2"/>
  <c r="I272" i="2"/>
  <c r="I285" i="2"/>
  <c r="H241" i="2"/>
  <c r="M284" i="2"/>
  <c r="E181" i="2"/>
  <c r="D199" i="2"/>
  <c r="J324" i="2"/>
  <c r="I264" i="2"/>
  <c r="I262" i="2"/>
  <c r="K157" i="2"/>
  <c r="G181" i="2"/>
  <c r="L157" i="2"/>
  <c r="F179" i="2"/>
  <c r="I340" i="2"/>
  <c r="K341" i="2"/>
  <c r="M359" i="2"/>
  <c r="M361" i="2"/>
  <c r="M220" i="2"/>
  <c r="G180" i="2"/>
  <c r="G169" i="2"/>
  <c r="M302" i="2"/>
  <c r="M304" i="2"/>
  <c r="M344" i="2"/>
  <c r="M342" i="2"/>
  <c r="M343" i="2"/>
  <c r="M332" i="2"/>
  <c r="M345" i="2"/>
  <c r="D342" i="2"/>
  <c r="D343" i="2"/>
  <c r="F323" i="2"/>
  <c r="F312" i="2"/>
  <c r="F325" i="2"/>
  <c r="F70" i="2"/>
  <c r="J299" i="2"/>
  <c r="J301" i="2"/>
  <c r="M283" i="2"/>
  <c r="I160" i="2"/>
  <c r="L180" i="2"/>
  <c r="L169" i="2"/>
  <c r="L182" i="2"/>
  <c r="L55" i="2"/>
  <c r="F161" i="2"/>
  <c r="E180" i="2"/>
  <c r="E169" i="2"/>
  <c r="E182" i="2"/>
  <c r="I161" i="2"/>
  <c r="L197" i="2"/>
  <c r="H302" i="2"/>
  <c r="L121" i="2"/>
  <c r="I141" i="2"/>
  <c r="I129" i="2"/>
  <c r="I142" i="2"/>
  <c r="I53" i="2"/>
  <c r="H197" i="2"/>
  <c r="G217" i="2"/>
  <c r="K237" i="2"/>
  <c r="I239" i="2"/>
  <c r="M177" i="2"/>
  <c r="L179" i="2"/>
  <c r="L304" i="2"/>
  <c r="J181" i="2"/>
  <c r="D302" i="2"/>
  <c r="D303" i="2"/>
  <c r="F209" i="2"/>
  <c r="G129" i="2"/>
  <c r="G142" i="2"/>
  <c r="E279" i="2"/>
  <c r="E281" i="2"/>
  <c r="E283" i="2"/>
  <c r="E272" i="2"/>
  <c r="E285" i="2"/>
  <c r="L332" i="2"/>
  <c r="L71" i="2"/>
  <c r="L141" i="2"/>
  <c r="K177" i="2"/>
  <c r="K217" i="2"/>
  <c r="D221" i="2"/>
  <c r="E217" i="2"/>
  <c r="F117" i="2"/>
  <c r="E137" i="2"/>
  <c r="M141" i="2"/>
  <c r="M217" i="2"/>
  <c r="F219" i="2"/>
  <c r="L260" i="2"/>
  <c r="F264" i="2"/>
  <c r="D157" i="2"/>
  <c r="G197" i="2"/>
  <c r="G200" i="2"/>
  <c r="K284" i="2"/>
  <c r="J282" i="2"/>
  <c r="J283" i="2"/>
  <c r="J284" i="2"/>
  <c r="H324" i="2"/>
  <c r="I121" i="2"/>
  <c r="M241" i="2"/>
  <c r="K197" i="2"/>
  <c r="L217" i="2"/>
  <c r="H260" i="2"/>
  <c r="J360" i="2"/>
  <c r="F300" i="2"/>
  <c r="K340" i="2"/>
  <c r="K260" i="2"/>
  <c r="L280" i="2"/>
  <c r="L320" i="2"/>
  <c r="E320" i="2"/>
  <c r="L344" i="2"/>
  <c r="K324" i="2"/>
  <c r="E360" i="2"/>
  <c r="I364" i="2"/>
  <c r="H229" i="2"/>
  <c r="H220" i="2"/>
  <c r="D220" i="2"/>
  <c r="D209" i="2"/>
  <c r="D222" i="2"/>
  <c r="D223" i="2"/>
  <c r="J200" i="2"/>
  <c r="E120" i="2"/>
  <c r="E109" i="2"/>
  <c r="K240" i="2"/>
  <c r="J319" i="2"/>
  <c r="J321" i="2"/>
  <c r="J323" i="2"/>
  <c r="J312" i="2"/>
  <c r="J325" i="2"/>
  <c r="J70" i="2"/>
  <c r="D140" i="2"/>
  <c r="D129" i="2"/>
  <c r="D142" i="2"/>
  <c r="D143" i="2"/>
  <c r="K279" i="2"/>
  <c r="K281" i="2"/>
  <c r="K283" i="2"/>
  <c r="K272" i="2"/>
  <c r="K285" i="2"/>
  <c r="K68" i="2"/>
  <c r="H299" i="2"/>
  <c r="H301" i="2"/>
  <c r="H140" i="2"/>
  <c r="H129" i="2"/>
  <c r="H142" i="2"/>
  <c r="G157" i="2"/>
  <c r="I177" i="2"/>
  <c r="I180" i="2"/>
  <c r="J237" i="2"/>
  <c r="D284" i="2"/>
  <c r="K300" i="2"/>
  <c r="G320" i="2"/>
  <c r="I320" i="2"/>
  <c r="G360" i="2"/>
  <c r="D189" i="2"/>
  <c r="D229" i="2"/>
  <c r="J220" i="2"/>
  <c r="J209" i="2"/>
  <c r="F160" i="2"/>
  <c r="F162" i="2"/>
  <c r="K160" i="2"/>
  <c r="G160" i="2"/>
  <c r="K323" i="2"/>
  <c r="K312" i="2"/>
  <c r="M299" i="2"/>
  <c r="M301" i="2"/>
  <c r="M303" i="2"/>
  <c r="K117" i="2"/>
  <c r="G117" i="2"/>
  <c r="J260" i="2"/>
  <c r="I300" i="2"/>
  <c r="D360" i="2"/>
  <c r="D320" i="2"/>
  <c r="F360" i="2"/>
  <c r="M320" i="2"/>
  <c r="H360" i="2"/>
  <c r="J340" i="2"/>
  <c r="M360" i="2"/>
  <c r="H109" i="2"/>
  <c r="H122" i="2"/>
  <c r="D109" i="2"/>
  <c r="K140" i="2"/>
  <c r="K129" i="2"/>
  <c r="F137" i="2"/>
  <c r="E149" i="2"/>
  <c r="E162" i="2"/>
  <c r="L140" i="2"/>
  <c r="J137" i="2"/>
  <c r="I120" i="2"/>
  <c r="I109" i="2"/>
  <c r="I122" i="2"/>
  <c r="I52" i="2"/>
  <c r="D70" i="2"/>
  <c r="D81" i="2"/>
  <c r="H71" i="2"/>
  <c r="H285" i="2"/>
  <c r="H68" i="2"/>
  <c r="D82" i="2"/>
  <c r="D80" i="2"/>
  <c r="J229" i="2"/>
  <c r="F229" i="2"/>
  <c r="H149" i="2"/>
  <c r="J169" i="2"/>
  <c r="D79" i="2"/>
  <c r="E79" i="2"/>
  <c r="O79" i="2"/>
  <c r="J292" i="2"/>
  <c r="L272" i="2"/>
  <c r="L189" i="2"/>
  <c r="K149" i="2"/>
  <c r="K332" i="2"/>
  <c r="L129" i="2"/>
  <c r="L252" i="2"/>
  <c r="L229" i="2"/>
  <c r="K229" i="2"/>
  <c r="K252" i="2"/>
  <c r="J149" i="2"/>
  <c r="J352" i="2"/>
  <c r="K109" i="2"/>
  <c r="K209" i="2"/>
  <c r="L109" i="2"/>
  <c r="L312" i="2"/>
  <c r="H352" i="2"/>
  <c r="F189" i="2"/>
  <c r="K169" i="2"/>
  <c r="K189" i="2"/>
  <c r="L209" i="2"/>
  <c r="J326" i="2"/>
  <c r="F109" i="2"/>
  <c r="F352" i="2"/>
  <c r="H189" i="2"/>
  <c r="H252" i="2"/>
  <c r="D71" i="2"/>
  <c r="J189" i="2"/>
  <c r="J252" i="2"/>
  <c r="J332" i="2"/>
  <c r="F292" i="2"/>
  <c r="F332" i="2"/>
  <c r="H292" i="2"/>
  <c r="H272" i="2"/>
  <c r="D84" i="2"/>
  <c r="H70" i="2"/>
  <c r="J109" i="2"/>
  <c r="J272" i="2"/>
  <c r="F252" i="2"/>
  <c r="H169" i="2"/>
  <c r="H209" i="2"/>
  <c r="E68" i="2"/>
  <c r="I325" i="2"/>
  <c r="I70" i="2"/>
  <c r="M352" i="2"/>
  <c r="M312" i="2"/>
  <c r="M292" i="2"/>
  <c r="M252" i="2"/>
  <c r="M272" i="2"/>
  <c r="M229" i="2"/>
  <c r="M169" i="2"/>
  <c r="M189" i="2"/>
  <c r="M129" i="2"/>
  <c r="M149" i="2"/>
  <c r="M209" i="2"/>
  <c r="M109" i="2"/>
  <c r="K305" i="2"/>
  <c r="K69" i="2"/>
  <c r="I352" i="2"/>
  <c r="I312" i="2"/>
  <c r="I292" i="2"/>
  <c r="I332" i="2"/>
  <c r="I189" i="2"/>
  <c r="I169" i="2"/>
  <c r="I252" i="2"/>
  <c r="I149" i="2"/>
  <c r="H305" i="2"/>
  <c r="H69" i="2"/>
  <c r="D72" i="2"/>
  <c r="D332" i="2"/>
  <c r="D352" i="2"/>
  <c r="D312" i="2"/>
  <c r="D252" i="2"/>
  <c r="D169" i="2"/>
  <c r="D272" i="2"/>
  <c r="D149" i="2"/>
  <c r="D292" i="2"/>
  <c r="E352" i="2"/>
  <c r="E312" i="2"/>
  <c r="E292" i="2"/>
  <c r="E252" i="2"/>
  <c r="E229" i="2"/>
  <c r="E209" i="2"/>
  <c r="E189" i="2"/>
  <c r="E129" i="2"/>
  <c r="D67" i="2"/>
  <c r="L69" i="2"/>
  <c r="G352" i="2"/>
  <c r="G312" i="2"/>
  <c r="G292" i="2"/>
  <c r="G252" i="2"/>
  <c r="G229" i="2"/>
  <c r="G189" i="2"/>
  <c r="G149" i="2"/>
  <c r="G272" i="2"/>
  <c r="G209" i="2"/>
  <c r="G109" i="2"/>
  <c r="H67" i="2"/>
  <c r="K286" i="2"/>
  <c r="I199" i="2"/>
  <c r="I201" i="2"/>
  <c r="E201" i="2"/>
  <c r="E199" i="2"/>
  <c r="M305" i="2"/>
  <c r="M69" i="2"/>
  <c r="G241" i="2"/>
  <c r="G239" i="2"/>
  <c r="L239" i="2"/>
  <c r="L241" i="2"/>
  <c r="G240" i="2"/>
  <c r="K366" i="2"/>
  <c r="K200" i="2"/>
  <c r="K202" i="2"/>
  <c r="K56" i="2"/>
  <c r="K203" i="2"/>
  <c r="J160" i="2"/>
  <c r="M160" i="2"/>
  <c r="G220" i="2"/>
  <c r="J202" i="2"/>
  <c r="J56" i="2"/>
  <c r="L242" i="2"/>
  <c r="L243" i="2"/>
  <c r="J120" i="2"/>
  <c r="M161" i="2"/>
  <c r="H159" i="2"/>
  <c r="M121" i="2"/>
  <c r="M119" i="2"/>
  <c r="M120" i="2"/>
  <c r="M122" i="2"/>
  <c r="M52" i="2"/>
  <c r="M140" i="2"/>
  <c r="M142" i="2"/>
  <c r="E264" i="2"/>
  <c r="E262" i="2"/>
  <c r="H284" i="2"/>
  <c r="H282" i="2"/>
  <c r="F200" i="2"/>
  <c r="E200" i="2"/>
  <c r="E202" i="2"/>
  <c r="I200" i="2"/>
  <c r="I202" i="2"/>
  <c r="I56" i="2"/>
  <c r="J285" i="2"/>
  <c r="J121" i="2"/>
  <c r="I363" i="2"/>
  <c r="I365" i="2"/>
  <c r="I72" i="2"/>
  <c r="H221" i="2"/>
  <c r="H222" i="2"/>
  <c r="H57" i="2"/>
  <c r="H219" i="2"/>
  <c r="D282" i="2"/>
  <c r="D283" i="2"/>
  <c r="J201" i="2"/>
  <c r="J199" i="2"/>
  <c r="H283" i="2"/>
  <c r="M240" i="2"/>
  <c r="M242" i="2"/>
  <c r="M71" i="2"/>
  <c r="M362" i="2"/>
  <c r="M363" i="2"/>
  <c r="M365" i="2"/>
  <c r="M364" i="2"/>
  <c r="F241" i="2"/>
  <c r="F239" i="2"/>
  <c r="E139" i="2"/>
  <c r="E140" i="2"/>
  <c r="E141" i="2"/>
  <c r="M181" i="2"/>
  <c r="M179" i="2"/>
  <c r="E71" i="2"/>
  <c r="J141" i="2"/>
  <c r="J139" i="2"/>
  <c r="F139" i="2"/>
  <c r="F141" i="2"/>
  <c r="J342" i="2"/>
  <c r="J343" i="2"/>
  <c r="J345" i="2"/>
  <c r="J71" i="2"/>
  <c r="J344" i="2"/>
  <c r="D324" i="2"/>
  <c r="D322" i="2"/>
  <c r="G282" i="2"/>
  <c r="G283" i="2"/>
  <c r="G284" i="2"/>
  <c r="K119" i="2"/>
  <c r="K121" i="2"/>
  <c r="F344" i="2"/>
  <c r="F342" i="2"/>
  <c r="K304" i="2"/>
  <c r="K302" i="2"/>
  <c r="K303" i="2"/>
  <c r="K306" i="2"/>
  <c r="M264" i="2"/>
  <c r="M262" i="2"/>
  <c r="H181" i="2"/>
  <c r="H179" i="2"/>
  <c r="H303" i="2"/>
  <c r="G304" i="2"/>
  <c r="G302" i="2"/>
  <c r="G303" i="2"/>
  <c r="G305" i="2"/>
  <c r="K342" i="2"/>
  <c r="K344" i="2"/>
  <c r="H264" i="2"/>
  <c r="H262" i="2"/>
  <c r="H263" i="2"/>
  <c r="D161" i="2"/>
  <c r="D159" i="2"/>
  <c r="M219" i="2"/>
  <c r="M221" i="2"/>
  <c r="M222" i="2"/>
  <c r="F119" i="2"/>
  <c r="F120" i="2"/>
  <c r="F121" i="2"/>
  <c r="M180" i="2"/>
  <c r="M182" i="2"/>
  <c r="M55" i="2"/>
  <c r="D179" i="2"/>
  <c r="D181" i="2"/>
  <c r="E240" i="2"/>
  <c r="M285" i="2"/>
  <c r="D180" i="2"/>
  <c r="I344" i="2"/>
  <c r="I342" i="2"/>
  <c r="I343" i="2"/>
  <c r="I345" i="2"/>
  <c r="I71" i="2"/>
  <c r="K159" i="2"/>
  <c r="K161" i="2"/>
  <c r="K162" i="2"/>
  <c r="K54" i="2"/>
  <c r="F364" i="2"/>
  <c r="F362" i="2"/>
  <c r="J264" i="2"/>
  <c r="J262" i="2"/>
  <c r="J263" i="2"/>
  <c r="J241" i="2"/>
  <c r="J239" i="2"/>
  <c r="E362" i="2"/>
  <c r="E364" i="2"/>
  <c r="J302" i="2"/>
  <c r="J303" i="2"/>
  <c r="J305" i="2"/>
  <c r="J306" i="2"/>
  <c r="J304" i="2"/>
  <c r="F240" i="2"/>
  <c r="F242" i="2"/>
  <c r="F58" i="2"/>
  <c r="L142" i="2"/>
  <c r="L53" i="2"/>
  <c r="J240" i="2"/>
  <c r="J242" i="2"/>
  <c r="J243" i="2"/>
  <c r="H364" i="2"/>
  <c r="H362" i="2"/>
  <c r="H363" i="2"/>
  <c r="D362" i="2"/>
  <c r="D364" i="2"/>
  <c r="G119" i="2"/>
  <c r="G120" i="2"/>
  <c r="G121" i="2"/>
  <c r="G364" i="2"/>
  <c r="G362" i="2"/>
  <c r="G363" i="2"/>
  <c r="D262" i="2"/>
  <c r="D264" i="2"/>
  <c r="G159" i="2"/>
  <c r="G161" i="2"/>
  <c r="L282" i="2"/>
  <c r="L283" i="2"/>
  <c r="L285" i="2"/>
  <c r="L284" i="2"/>
  <c r="F304" i="2"/>
  <c r="F302" i="2"/>
  <c r="F303" i="2"/>
  <c r="F305" i="2"/>
  <c r="F69" i="2"/>
  <c r="L219" i="2"/>
  <c r="L221" i="2"/>
  <c r="E219" i="2"/>
  <c r="E221" i="2"/>
  <c r="K181" i="2"/>
  <c r="K182" i="2"/>
  <c r="K55" i="2"/>
  <c r="K179" i="2"/>
  <c r="E220" i="2"/>
  <c r="D323" i="2"/>
  <c r="J122" i="2"/>
  <c r="J52" i="2"/>
  <c r="K239" i="2"/>
  <c r="K241" i="2"/>
  <c r="K242" i="2"/>
  <c r="K243" i="2"/>
  <c r="L201" i="2"/>
  <c r="L202" i="2"/>
  <c r="L56" i="2"/>
  <c r="L199" i="2"/>
  <c r="M263" i="2"/>
  <c r="F363" i="2"/>
  <c r="F365" i="2"/>
  <c r="F199" i="2"/>
  <c r="F201" i="2"/>
  <c r="H180" i="2"/>
  <c r="G162" i="2"/>
  <c r="G54" i="2"/>
  <c r="G322" i="2"/>
  <c r="G323" i="2"/>
  <c r="G325" i="2"/>
  <c r="G324" i="2"/>
  <c r="L322" i="2"/>
  <c r="L323" i="2"/>
  <c r="L324" i="2"/>
  <c r="E241" i="2"/>
  <c r="E239" i="2"/>
  <c r="K221" i="2"/>
  <c r="K219" i="2"/>
  <c r="H201" i="2"/>
  <c r="H199" i="2"/>
  <c r="I123" i="2"/>
  <c r="M324" i="2"/>
  <c r="M322" i="2"/>
  <c r="M323" i="2"/>
  <c r="M325" i="2"/>
  <c r="I302" i="2"/>
  <c r="I304" i="2"/>
  <c r="I322" i="2"/>
  <c r="I324" i="2"/>
  <c r="E302" i="2"/>
  <c r="E303" i="2"/>
  <c r="E305" i="2"/>
  <c r="E304" i="2"/>
  <c r="I179" i="2"/>
  <c r="I181" i="2"/>
  <c r="I182" i="2"/>
  <c r="I55" i="2"/>
  <c r="J161" i="2"/>
  <c r="J162" i="2"/>
  <c r="J163" i="2"/>
  <c r="J159" i="2"/>
  <c r="D53" i="2"/>
  <c r="E322" i="2"/>
  <c r="E323" i="2"/>
  <c r="E325" i="2"/>
  <c r="E324" i="2"/>
  <c r="K264" i="2"/>
  <c r="K262" i="2"/>
  <c r="K263" i="2"/>
  <c r="J362" i="2"/>
  <c r="J363" i="2"/>
  <c r="J365" i="2"/>
  <c r="J72" i="2"/>
  <c r="J364" i="2"/>
  <c r="K201" i="2"/>
  <c r="K199" i="2"/>
  <c r="G201" i="2"/>
  <c r="G202" i="2"/>
  <c r="G56" i="2"/>
  <c r="G199" i="2"/>
  <c r="L262" i="2"/>
  <c r="L263" i="2"/>
  <c r="L264" i="2"/>
  <c r="K120" i="2"/>
  <c r="K122" i="2"/>
  <c r="K123" i="2"/>
  <c r="E80" i="2"/>
  <c r="I323" i="2"/>
  <c r="K220" i="2"/>
  <c r="K222" i="2"/>
  <c r="K223" i="2"/>
  <c r="K57" i="2"/>
  <c r="G262" i="2"/>
  <c r="G263" i="2"/>
  <c r="G264" i="2"/>
  <c r="G219" i="2"/>
  <c r="G221" i="2"/>
  <c r="G222" i="2"/>
  <c r="G57" i="2"/>
  <c r="I162" i="2"/>
  <c r="I163" i="2"/>
  <c r="E363" i="2"/>
  <c r="D363" i="2"/>
  <c r="K343" i="2"/>
  <c r="K345" i="2"/>
  <c r="L220" i="2"/>
  <c r="L222" i="2"/>
  <c r="L57" i="2"/>
  <c r="L161" i="2"/>
  <c r="L159" i="2"/>
  <c r="D263" i="2"/>
  <c r="I303" i="2"/>
  <c r="I305" i="2"/>
  <c r="I306" i="2"/>
  <c r="F343" i="2"/>
  <c r="F345" i="2"/>
  <c r="F71" i="2"/>
  <c r="F202" i="2"/>
  <c r="F56" i="2"/>
  <c r="G242" i="2"/>
  <c r="G58" i="2"/>
  <c r="E222" i="2"/>
  <c r="E365" i="2"/>
  <c r="L325" i="2"/>
  <c r="L326" i="2"/>
  <c r="H365" i="2"/>
  <c r="M162" i="2"/>
  <c r="M54" i="2"/>
  <c r="I366" i="2"/>
  <c r="M57" i="2"/>
  <c r="J366" i="2"/>
  <c r="E70" i="2"/>
  <c r="H72" i="2"/>
  <c r="E69" i="2"/>
  <c r="J69" i="2"/>
  <c r="M72" i="2"/>
  <c r="E242" i="2"/>
  <c r="E58" i="2"/>
  <c r="G285" i="2"/>
  <c r="K52" i="2"/>
  <c r="J346" i="2"/>
  <c r="E72" i="2"/>
  <c r="I326" i="2"/>
  <c r="H182" i="2"/>
  <c r="I346" i="2"/>
  <c r="E142" i="2"/>
  <c r="F122" i="2"/>
  <c r="F52" i="2"/>
  <c r="M68" i="2"/>
  <c r="L68" i="2"/>
  <c r="L286" i="2"/>
  <c r="G365" i="2"/>
  <c r="G122" i="2"/>
  <c r="G52" i="2"/>
  <c r="D182" i="2"/>
  <c r="E84" i="2"/>
  <c r="O84" i="2"/>
  <c r="E81" i="2"/>
  <c r="D183" i="2"/>
  <c r="G68" i="2"/>
  <c r="G72" i="2"/>
  <c r="E53" i="2"/>
  <c r="E82" i="2"/>
  <c r="D55" i="2"/>
  <c r="J123" i="2"/>
  <c r="O82" i="2"/>
  <c r="O81" i="2"/>
  <c r="E176" i="2"/>
  <c r="L223" i="2"/>
  <c r="K163" i="2"/>
  <c r="H151" i="2"/>
  <c r="F131" i="2"/>
  <c r="F136" i="2"/>
  <c r="I111" i="2"/>
  <c r="I116" i="2"/>
  <c r="I131" i="2"/>
  <c r="I151" i="2"/>
  <c r="I156" i="2"/>
  <c r="I158" i="2"/>
  <c r="F231" i="2"/>
  <c r="F236" i="2"/>
  <c r="F238" i="2"/>
  <c r="H231" i="2"/>
  <c r="K231" i="2"/>
  <c r="K183" i="2"/>
  <c r="D57" i="2"/>
  <c r="F116" i="2"/>
  <c r="F118" i="2"/>
  <c r="I136" i="2"/>
  <c r="I176" i="2"/>
  <c r="D218" i="2"/>
  <c r="H216" i="2"/>
  <c r="H218" i="2"/>
  <c r="K236" i="2"/>
  <c r="I203" i="2"/>
  <c r="G91" i="2"/>
  <c r="G92" i="2"/>
  <c r="G286" i="2"/>
  <c r="F53" i="2"/>
  <c r="L54" i="2"/>
  <c r="L163" i="2"/>
  <c r="E67" i="2"/>
  <c r="M92" i="2"/>
  <c r="M366" i="2"/>
  <c r="E54" i="2"/>
  <c r="E55" i="2"/>
  <c r="D111" i="2"/>
  <c r="D116" i="2"/>
  <c r="D118" i="2"/>
  <c r="D231" i="2"/>
  <c r="D236" i="2"/>
  <c r="D191" i="2"/>
  <c r="D196" i="2"/>
  <c r="D198" i="2"/>
  <c r="D131" i="2"/>
  <c r="D136" i="2"/>
  <c r="D138" i="2"/>
  <c r="D151" i="2"/>
  <c r="D156" i="2"/>
  <c r="D158" i="2"/>
  <c r="D176" i="2"/>
  <c r="G231" i="2"/>
  <c r="G236" i="2"/>
  <c r="G238" i="2"/>
  <c r="G151" i="2"/>
  <c r="G156" i="2"/>
  <c r="G158" i="2"/>
  <c r="G131" i="2"/>
  <c r="G136" i="2"/>
  <c r="G138" i="2"/>
  <c r="G176" i="2"/>
  <c r="G191" i="2"/>
  <c r="G196" i="2"/>
  <c r="G198" i="2"/>
  <c r="G111" i="2"/>
  <c r="G116" i="2"/>
  <c r="L131" i="2"/>
  <c r="L136" i="2"/>
  <c r="L138" i="2"/>
  <c r="L191" i="2"/>
  <c r="L196" i="2"/>
  <c r="L176" i="2"/>
  <c r="L178" i="2"/>
  <c r="L151" i="2"/>
  <c r="L156" i="2"/>
  <c r="L158" i="2"/>
  <c r="L211" i="2"/>
  <c r="L216" i="2"/>
  <c r="L218" i="2"/>
  <c r="L231" i="2"/>
  <c r="L236" i="2"/>
  <c r="J140" i="2"/>
  <c r="J142" i="2"/>
  <c r="F220" i="2"/>
  <c r="F222" i="2"/>
  <c r="M67" i="2"/>
  <c r="M266" i="2"/>
  <c r="D162" i="2"/>
  <c r="M70" i="2"/>
  <c r="M326" i="2"/>
  <c r="H162" i="2"/>
  <c r="M53" i="2"/>
  <c r="H53" i="2"/>
  <c r="AK90" i="2"/>
  <c r="AK93" i="2"/>
  <c r="AT92" i="2"/>
  <c r="G211" i="2"/>
  <c r="G216" i="2"/>
  <c r="G218" i="2"/>
  <c r="L203" i="2"/>
  <c r="I69" i="2"/>
  <c r="I183" i="2"/>
  <c r="H202" i="2"/>
  <c r="J54" i="2"/>
  <c r="G326" i="2"/>
  <c r="G70" i="2"/>
  <c r="K58" i="2"/>
  <c r="L58" i="2"/>
  <c r="D160" i="2"/>
  <c r="E56" i="2"/>
  <c r="AT93" i="2"/>
  <c r="F216" i="2"/>
  <c r="F218" i="2"/>
  <c r="I57" i="2"/>
  <c r="I223" i="2"/>
  <c r="H156" i="2"/>
  <c r="H158" i="2"/>
  <c r="D326" i="2"/>
  <c r="D346" i="2"/>
  <c r="D266" i="2"/>
  <c r="D366" i="2"/>
  <c r="H52" i="2"/>
  <c r="D122" i="2"/>
  <c r="H120" i="2"/>
  <c r="L118" i="2"/>
  <c r="L120" i="2"/>
  <c r="L122" i="2"/>
  <c r="F138" i="2"/>
  <c r="L160" i="2"/>
  <c r="F182" i="2"/>
  <c r="F176" i="2"/>
  <c r="F178" i="2"/>
  <c r="F180" i="2"/>
  <c r="J180" i="2"/>
  <c r="J182" i="2"/>
  <c r="D178" i="2"/>
  <c r="D202" i="2"/>
  <c r="D200" i="2"/>
  <c r="L198" i="2"/>
  <c r="L200" i="2"/>
  <c r="J222" i="2"/>
  <c r="H242" i="2"/>
  <c r="H240" i="2"/>
  <c r="L238" i="2"/>
  <c r="L240" i="2"/>
  <c r="E254" i="2"/>
  <c r="E259" i="2"/>
  <c r="E261" i="2"/>
  <c r="E263" i="2"/>
  <c r="I265" i="2"/>
  <c r="I261" i="2"/>
  <c r="I263" i="2"/>
  <c r="L70" i="2"/>
  <c r="J68" i="2"/>
  <c r="J286" i="2"/>
  <c r="G69" i="2"/>
  <c r="O80" i="2"/>
  <c r="D242" i="2"/>
  <c r="G143" i="2"/>
  <c r="L143" i="2"/>
  <c r="H55" i="2"/>
  <c r="M163" i="2"/>
  <c r="E57" i="2"/>
  <c r="K71" i="2"/>
  <c r="K346" i="2"/>
  <c r="I54" i="2"/>
  <c r="F72" i="2"/>
  <c r="G53" i="2"/>
  <c r="J58" i="2"/>
  <c r="F140" i="2"/>
  <c r="O71" i="2"/>
  <c r="I143" i="2"/>
  <c r="M243" i="2"/>
  <c r="M58" i="2"/>
  <c r="G346" i="2"/>
  <c r="D120" i="2"/>
  <c r="D238" i="2"/>
  <c r="F68" i="2"/>
  <c r="K143" i="2"/>
  <c r="K266" i="2"/>
  <c r="K216" i="2"/>
  <c r="K218" i="2"/>
  <c r="L306" i="2"/>
  <c r="E191" i="2"/>
  <c r="E196" i="2"/>
  <c r="E198" i="2"/>
  <c r="E131" i="2"/>
  <c r="E136" i="2"/>
  <c r="E138" i="2"/>
  <c r="E111" i="2"/>
  <c r="E116" i="2"/>
  <c r="E118" i="2"/>
  <c r="E231" i="2"/>
  <c r="E236" i="2"/>
  <c r="E238" i="2"/>
  <c r="E151" i="2"/>
  <c r="E156" i="2"/>
  <c r="E158" i="2"/>
  <c r="J231" i="2"/>
  <c r="J236" i="2"/>
  <c r="J238" i="2"/>
  <c r="J151" i="2"/>
  <c r="J156" i="2"/>
  <c r="J158" i="2"/>
  <c r="J211" i="2"/>
  <c r="J216" i="2"/>
  <c r="J218" i="2"/>
  <c r="J176" i="2"/>
  <c r="J178" i="2"/>
  <c r="J191" i="2"/>
  <c r="J196" i="2"/>
  <c r="J198" i="2"/>
  <c r="J131" i="2"/>
  <c r="J136" i="2"/>
  <c r="J138" i="2"/>
  <c r="J111" i="2"/>
  <c r="J116" i="2"/>
  <c r="J118" i="2"/>
  <c r="M151" i="2"/>
  <c r="M156" i="2"/>
  <c r="M158" i="2"/>
  <c r="M211" i="2"/>
  <c r="M216" i="2"/>
  <c r="M218" i="2"/>
  <c r="M176" i="2"/>
  <c r="M178" i="2"/>
  <c r="M111" i="2"/>
  <c r="M116" i="2"/>
  <c r="M118" i="2"/>
  <c r="M231" i="2"/>
  <c r="M236" i="2"/>
  <c r="M191" i="2"/>
  <c r="M196" i="2"/>
  <c r="M198" i="2"/>
  <c r="M131" i="2"/>
  <c r="M136" i="2"/>
  <c r="M138" i="2"/>
  <c r="H91" i="2"/>
  <c r="H92" i="2"/>
  <c r="I118" i="2"/>
  <c r="G118" i="2"/>
  <c r="I138" i="2"/>
  <c r="G182" i="2"/>
  <c r="G178" i="2"/>
  <c r="K180" i="2"/>
  <c r="K176" i="2"/>
  <c r="K178" i="2"/>
  <c r="E178" i="2"/>
  <c r="I178" i="2"/>
  <c r="M200" i="2"/>
  <c r="M202" i="2"/>
  <c r="E218" i="2"/>
  <c r="M238" i="2"/>
  <c r="K238" i="2"/>
  <c r="F254" i="2"/>
  <c r="F259" i="2"/>
  <c r="F261" i="2"/>
  <c r="F265" i="2"/>
  <c r="J254" i="2"/>
  <c r="J259" i="2"/>
  <c r="J261" i="2"/>
  <c r="J265" i="2"/>
  <c r="G294" i="2"/>
  <c r="G299" i="2"/>
  <c r="G301" i="2"/>
  <c r="E301" i="2"/>
  <c r="K314" i="2"/>
  <c r="K319" i="2"/>
  <c r="K325" i="2"/>
  <c r="K321" i="2"/>
  <c r="E321" i="2"/>
  <c r="M321" i="2"/>
  <c r="G341" i="2"/>
  <c r="G343" i="2"/>
  <c r="M341" i="2"/>
  <c r="D354" i="2"/>
  <c r="D359" i="2"/>
  <c r="D361" i="2"/>
  <c r="H361" i="2"/>
  <c r="L363" i="2"/>
  <c r="L354" i="2"/>
  <c r="L359" i="2"/>
  <c r="L361" i="2"/>
  <c r="L365" i="2"/>
  <c r="J203" i="2"/>
  <c r="L183" i="2"/>
  <c r="I68" i="2"/>
  <c r="I286" i="2"/>
  <c r="L259" i="2"/>
  <c r="L261" i="2"/>
  <c r="H236" i="2"/>
  <c r="H238" i="2"/>
  <c r="F54" i="2"/>
  <c r="G259" i="2"/>
  <c r="G261" i="2"/>
  <c r="H111" i="2"/>
  <c r="H116" i="2"/>
  <c r="H118" i="2"/>
  <c r="H176" i="2"/>
  <c r="H178" i="2"/>
  <c r="H131" i="2"/>
  <c r="H136" i="2"/>
  <c r="H138" i="2"/>
  <c r="H191" i="2"/>
  <c r="H196" i="2"/>
  <c r="H198" i="2"/>
  <c r="K191" i="2"/>
  <c r="K196" i="2"/>
  <c r="K198" i="2"/>
  <c r="K131" i="2"/>
  <c r="K136" i="2"/>
  <c r="K138" i="2"/>
  <c r="K151" i="2"/>
  <c r="K156" i="2"/>
  <c r="K158" i="2"/>
  <c r="K111" i="2"/>
  <c r="K116" i="2"/>
  <c r="K118" i="2"/>
  <c r="E92" i="2"/>
  <c r="E223" i="2"/>
  <c r="G274" i="2"/>
  <c r="G279" i="2"/>
  <c r="G281" i="2"/>
  <c r="M281" i="2"/>
  <c r="D301" i="2"/>
  <c r="D305" i="2"/>
  <c r="F301" i="2"/>
  <c r="D321" i="2"/>
  <c r="L321" i="2"/>
  <c r="F341" i="2"/>
  <c r="E361" i="2"/>
  <c r="G361" i="2"/>
  <c r="F191" i="2"/>
  <c r="F196" i="2"/>
  <c r="F198" i="2"/>
  <c r="F151" i="2"/>
  <c r="F156" i="2"/>
  <c r="F158" i="2"/>
  <c r="I211" i="2"/>
  <c r="I216" i="2"/>
  <c r="I218" i="2"/>
  <c r="I231" i="2"/>
  <c r="I236" i="2"/>
  <c r="I238" i="2"/>
  <c r="I191" i="2"/>
  <c r="I196" i="2"/>
  <c r="I198" i="2"/>
  <c r="F91" i="2"/>
  <c r="F92" i="2"/>
  <c r="F163" i="2"/>
  <c r="L265" i="2"/>
  <c r="D285" i="2"/>
  <c r="D274" i="2"/>
  <c r="D279" i="2"/>
  <c r="D281" i="2"/>
  <c r="H281" i="2"/>
  <c r="L281" i="2"/>
  <c r="F281" i="2"/>
  <c r="O222" i="2"/>
  <c r="H306" i="2"/>
  <c r="H286" i="2"/>
  <c r="H366" i="2"/>
  <c r="H346" i="2"/>
  <c r="H266" i="2"/>
  <c r="H223" i="2"/>
  <c r="H183" i="2"/>
  <c r="H123" i="2"/>
  <c r="H326" i="2"/>
  <c r="H143" i="2"/>
  <c r="L266" i="2"/>
  <c r="L67" i="2"/>
  <c r="D69" i="2"/>
  <c r="O69" i="2"/>
  <c r="D306" i="2"/>
  <c r="L366" i="2"/>
  <c r="L72" i="2"/>
  <c r="K70" i="2"/>
  <c r="O70" i="2"/>
  <c r="K326" i="2"/>
  <c r="M56" i="2"/>
  <c r="M203" i="2"/>
  <c r="O72" i="2"/>
  <c r="D243" i="2"/>
  <c r="D58" i="2"/>
  <c r="O242" i="2"/>
  <c r="L52" i="2"/>
  <c r="L123" i="2"/>
  <c r="G266" i="2"/>
  <c r="G163" i="2"/>
  <c r="G123" i="2"/>
  <c r="G366" i="2"/>
  <c r="G203" i="2"/>
  <c r="G243" i="2"/>
  <c r="F326" i="2"/>
  <c r="G223" i="2"/>
  <c r="F346" i="2"/>
  <c r="E183" i="2"/>
  <c r="E266" i="2"/>
  <c r="F143" i="2"/>
  <c r="M346" i="2"/>
  <c r="M306" i="2"/>
  <c r="M123" i="2"/>
  <c r="M223" i="2"/>
  <c r="J67" i="2"/>
  <c r="J266" i="2"/>
  <c r="G183" i="2"/>
  <c r="G55" i="2"/>
  <c r="F286" i="2"/>
  <c r="M183" i="2"/>
  <c r="J223" i="2"/>
  <c r="F223" i="2"/>
  <c r="O223" i="2"/>
  <c r="J57" i="2"/>
  <c r="H203" i="2"/>
  <c r="H56" i="2"/>
  <c r="H163" i="2"/>
  <c r="H54" i="2"/>
  <c r="D54" i="2"/>
  <c r="O162" i="2"/>
  <c r="D163" i="2"/>
  <c r="F57" i="2"/>
  <c r="G306" i="2"/>
  <c r="M286" i="2"/>
  <c r="F203" i="2"/>
  <c r="F243" i="2"/>
  <c r="F123" i="2"/>
  <c r="E326" i="2"/>
  <c r="E286" i="2"/>
  <c r="E123" i="2"/>
  <c r="E366" i="2"/>
  <c r="E346" i="2"/>
  <c r="E306" i="2"/>
  <c r="H243" i="2"/>
  <c r="H58" i="2"/>
  <c r="J183" i="2"/>
  <c r="J55" i="2"/>
  <c r="F55" i="2"/>
  <c r="O55" i="2"/>
  <c r="F183" i="2"/>
  <c r="O182" i="2"/>
  <c r="U4" i="2"/>
  <c r="D99" i="2"/>
  <c r="D123" i="2"/>
  <c r="D52" i="2"/>
  <c r="O52" i="2"/>
  <c r="O122" i="2"/>
  <c r="E203" i="2"/>
  <c r="E243" i="2"/>
  <c r="D68" i="2"/>
  <c r="O68" i="2"/>
  <c r="D286" i="2"/>
  <c r="F266" i="2"/>
  <c r="F67" i="2"/>
  <c r="I67" i="2"/>
  <c r="I266" i="2"/>
  <c r="D203" i="2"/>
  <c r="O202" i="2"/>
  <c r="D56" i="2"/>
  <c r="O56" i="2"/>
  <c r="F366" i="2"/>
  <c r="F306" i="2"/>
  <c r="M143" i="2"/>
  <c r="J53" i="2"/>
  <c r="O53" i="2"/>
  <c r="J143" i="2"/>
  <c r="E163" i="2"/>
  <c r="E143" i="2"/>
  <c r="O142" i="2"/>
  <c r="O67" i="2"/>
  <c r="O143" i="2"/>
  <c r="O203" i="2"/>
  <c r="O57" i="2"/>
  <c r="P57" i="2"/>
  <c r="O163" i="2"/>
  <c r="P55" i="2"/>
  <c r="R55" i="2"/>
  <c r="Q55" i="2"/>
  <c r="P53" i="2"/>
  <c r="Q53" i="2"/>
  <c r="R53" i="2"/>
  <c r="O123" i="2"/>
  <c r="O183" i="2"/>
  <c r="O54" i="2"/>
  <c r="O58" i="2"/>
  <c r="R52" i="2"/>
  <c r="P52" i="2"/>
  <c r="Q52" i="2"/>
  <c r="Q56" i="2"/>
  <c r="R56" i="2"/>
  <c r="P56" i="2"/>
  <c r="O243" i="2"/>
  <c r="Q57" i="2"/>
  <c r="R57" i="2"/>
  <c r="Q58" i="2"/>
  <c r="P58" i="2"/>
  <c r="R58" i="2"/>
  <c r="Q54" i="2"/>
  <c r="R54" i="2"/>
  <c r="P54" i="2"/>
  <c r="E77" i="2" l="1"/>
  <c r="F12" i="2"/>
  <c r="E103" i="2"/>
  <c r="E97" i="2" s="1"/>
  <c r="E49" i="2"/>
  <c r="F103" i="2" l="1"/>
  <c r="F97" i="2" s="1"/>
  <c r="F65" i="2"/>
  <c r="F49" i="2"/>
  <c r="G12" i="2"/>
  <c r="F77" i="2"/>
  <c r="G77" i="2" l="1"/>
  <c r="G103" i="2"/>
  <c r="G97" i="2" s="1"/>
  <c r="G49" i="2"/>
  <c r="H12" i="2"/>
  <c r="G65" i="2"/>
  <c r="H65" i="2" l="1"/>
  <c r="H77" i="2"/>
  <c r="H103" i="2"/>
  <c r="H97" i="2" s="1"/>
  <c r="H49" i="2"/>
  <c r="I12" i="2"/>
  <c r="I49" i="2" l="1"/>
  <c r="I77" i="2"/>
  <c r="I103" i="2"/>
  <c r="J12" i="2"/>
  <c r="I65" i="2"/>
  <c r="E98" i="2"/>
  <c r="F98" i="2" s="1"/>
  <c r="G98" i="2" s="1"/>
  <c r="H98" i="2" s="1"/>
  <c r="I97" i="2" l="1"/>
  <c r="E99" i="2"/>
  <c r="F99" i="2" s="1"/>
  <c r="G99" i="2" s="1"/>
  <c r="H99" i="2" s="1"/>
  <c r="K12" i="2"/>
  <c r="J77" i="2"/>
  <c r="J65" i="2"/>
  <c r="J103" i="2"/>
  <c r="J97" i="2" s="1"/>
  <c r="J49" i="2"/>
  <c r="K65" i="2" l="1"/>
  <c r="K77" i="2"/>
  <c r="K103" i="2"/>
  <c r="K97" i="2" s="1"/>
  <c r="K49" i="2"/>
  <c r="L12" i="2"/>
  <c r="I98" i="2"/>
  <c r="J98" i="2" s="1"/>
  <c r="I99" i="2"/>
  <c r="J99" i="2" s="1"/>
  <c r="K98" i="2" l="1"/>
  <c r="L49" i="2"/>
  <c r="M12" i="2"/>
  <c r="L77" i="2"/>
  <c r="L65" i="2"/>
  <c r="L103" i="2"/>
  <c r="L97" i="2" s="1"/>
  <c r="K99" i="2" l="1"/>
  <c r="L98" i="2"/>
  <c r="L99" i="2"/>
  <c r="M49" i="2"/>
  <c r="M103" i="2"/>
  <c r="M97" i="2" s="1"/>
  <c r="M65" i="2"/>
  <c r="M77" i="2"/>
  <c r="N103" i="2"/>
  <c r="N97" i="2" s="1"/>
  <c r="M99" i="2" l="1"/>
  <c r="N99" i="2" s="1"/>
  <c r="M98" i="2"/>
  <c r="N98" i="2" s="1"/>
</calcChain>
</file>

<file path=xl/sharedStrings.xml><?xml version="1.0" encoding="utf-8"?>
<sst xmlns="http://schemas.openxmlformats.org/spreadsheetml/2006/main" count="756" uniqueCount="262">
  <si>
    <t>INSTRUCTIONS</t>
  </si>
  <si>
    <t>Data input - level information</t>
  </si>
  <si>
    <t>Suction wet well level is the level(s) at which the pumping system is drawing from.</t>
  </si>
  <si>
    <t>Discharge level is the level(s) at which the pumping system discharges into.</t>
  </si>
  <si>
    <t xml:space="preserve">Static head is calculated automatically. </t>
  </si>
  <si>
    <t>NPSH reference plane is used in the NPSHa calculations.</t>
  </si>
  <si>
    <t>Units: 
- Check that all of the levels are referenced to the correct (and same) datum (e.g. mAOD).
- The units for static head change automatically with media being pumped (water / sewage = m, sludge = bar).</t>
  </si>
  <si>
    <t>Data input - pipeline information</t>
  </si>
  <si>
    <t>To add an additional pipe section(s), highlight and copy column 'M' and insert column. Ensure that the section numbers are correct. If you don't copy the column then the relevant formula will not be copied across.</t>
  </si>
  <si>
    <t>Pump branch (suction/discharge) or rising main, this affects whether the section  of pipe is included in:
- the system curve (or taken away from the pump curve as a 'pump station loss').
- the NPSHa calculations.</t>
  </si>
  <si>
    <t>Ensure that the diameter is the correct internal diameter for the pipe material and pressure rating being modelled.</t>
  </si>
  <si>
    <t>Length</t>
  </si>
  <si>
    <t>Roughness: there is guidance in the Pipelines Manual (see column 'AI' onwards for appropriate page).</t>
  </si>
  <si>
    <t>Amend the fluid temperature as appropriate (calculations assume default of 20degC if left blank). The valid temperature range is 0.010 degC to 250 deg C. Temperatures between 1 and 100 degC must be in 1 deg increments; between 100 and 200 degC must be in 2 deg increments; and from 200 to 250 degC must be in 5 deg increments.</t>
  </si>
  <si>
    <t>Duty flow velocity: there is guidance in the Pipelines Manual (see column 'AI' onwards for appropriate page). The user is responsible for checking that the velocities within each pipe branch are appropriate.</t>
  </si>
  <si>
    <t>Minor losses drop down menu are generally as per the Pipelines Manual. Additional fittings can be added to the drop down menu (cells AA89 to AE171)</t>
  </si>
  <si>
    <t>Data input - pumped media</t>
  </si>
  <si>
    <t>Ensure that the correct sludge type is used as this can greatly affect the end result.</t>
  </si>
  <si>
    <t>Correct estimation of the sludge thickness / or to relevant client specification.</t>
  </si>
  <si>
    <t>Refer to TR185 for more information of sludge pumping.</t>
  </si>
  <si>
    <t>Data input - flow / head summary</t>
  </si>
  <si>
    <t>This provides a summary of the headlosses within each section of pipe. Pump branches are not listed here as they are taken off the pump performance curve.</t>
  </si>
  <si>
    <t>Data input - pump duty information</t>
  </si>
  <si>
    <t>The duty flow here is the total pumping station flow required with all the pumps being modelled.</t>
  </si>
  <si>
    <t>Insert the number of duty (and assist) pumps to be running at any one time. Having multiple pumps here will split the flow evenly between the pump branches and alter the system curve accordingly.</t>
  </si>
  <si>
    <t>Data input - pump performance curve data</t>
  </si>
  <si>
    <t>Insert six data points for a specific pump (flow, head and NPSHr) noting the units requested (units will be automatically determined by the media being pumped).</t>
  </si>
  <si>
    <t>Any pump branch (individual pump suction or discharge) section is included here by subtracting the dynamic losses from the pump performance curve. This is particularly important when the pumping system has multiple pumps in operation and the single system curve / pump performance curve is to be used to determine operating points with one or two (or more) pumps.</t>
  </si>
  <si>
    <t>If the pump is variable speed, then insert a percentage of full speed. This will calculate (using the Affinity Laws) the reduced flow and pump head.</t>
  </si>
  <si>
    <t>Variable speed pump curves will need to be plotted on the System Curve manually.</t>
  </si>
  <si>
    <t xml:space="preserve">Data input - pump testing / curve tolerance </t>
  </si>
  <si>
    <t>Produces tolerance bars on the effective pump performance curve based on ISO 9906.</t>
  </si>
  <si>
    <t>Different sized pumps will have different testing requirements.</t>
  </si>
  <si>
    <t>Check client specifications for any specific requirements and amend as appropriate.</t>
  </si>
  <si>
    <t>Data input - working depth calculations</t>
  </si>
  <si>
    <t>Manually input the wet well surface area.</t>
  </si>
  <si>
    <t>Beware that benching (and other structures) might alter the actual working volume of the wet well.</t>
  </si>
  <si>
    <t>Different pump suppliers will be able to advise on suitable / appropriate maximum number of starts/hour for their pumps.</t>
  </si>
  <si>
    <t>Check client specifications for any differences and amend as appropriate.</t>
  </si>
  <si>
    <t>Data input - retention time calculations</t>
  </si>
  <si>
    <t>This takes into account all the pipelines being modelled (through duty lines only) and the wet well volume.</t>
  </si>
  <si>
    <t>Once the retention time has been calculated, refer to a Process Engineer to determine whether septicity is likely to be a problem.</t>
  </si>
  <si>
    <t>LEVEL INFORMATION</t>
  </si>
  <si>
    <t>PUMPED MEDIA</t>
  </si>
  <si>
    <t>PUMP DUTY INFORMATION</t>
  </si>
  <si>
    <t>Max</t>
  </si>
  <si>
    <t>Min</t>
  </si>
  <si>
    <t>Design</t>
  </si>
  <si>
    <t>Suction wet well level</t>
  </si>
  <si>
    <t>mAOD</t>
  </si>
  <si>
    <t xml:space="preserve">Pumped media </t>
  </si>
  <si>
    <t>Clean Water / Sewage</t>
  </si>
  <si>
    <t>Duty flow</t>
  </si>
  <si>
    <t>l/s</t>
  </si>
  <si>
    <t>Pump Duty Head</t>
  </si>
  <si>
    <t>Discharge level</t>
  </si>
  <si>
    <t>Nr of duty pumps</t>
  </si>
  <si>
    <t>Pump Duty Flow</t>
  </si>
  <si>
    <t>Static head</t>
  </si>
  <si>
    <t>Median</t>
  </si>
  <si>
    <t>NPSH reference plane</t>
  </si>
  <si>
    <t>Pump located before section?</t>
  </si>
  <si>
    <t>Atmospheric pressure</t>
  </si>
  <si>
    <r>
      <t>kN/m</t>
    </r>
    <r>
      <rPr>
        <vertAlign val="superscript"/>
        <sz val="9"/>
        <rFont val="Calibri"/>
        <family val="2"/>
      </rPr>
      <t>2</t>
    </r>
  </si>
  <si>
    <t>PIPELINE INFORMATION</t>
  </si>
  <si>
    <t>PUMP PERFORMANCE CURVE DATA</t>
  </si>
  <si>
    <t>Section*</t>
  </si>
  <si>
    <t>Pump Model:</t>
  </si>
  <si>
    <t>Freq</t>
  </si>
  <si>
    <t>Description of sections</t>
  </si>
  <si>
    <t>Pump Curve:</t>
  </si>
  <si>
    <t>Pump Details from</t>
  </si>
  <si>
    <t>Effective</t>
  </si>
  <si>
    <t>2 Pump</t>
  </si>
  <si>
    <t>Variable Speed</t>
  </si>
  <si>
    <t>Pump testing / tolerance (ISO 9906)</t>
  </si>
  <si>
    <t>Manufacturer</t>
  </si>
  <si>
    <t>Pump</t>
  </si>
  <si>
    <t>1 Pump</t>
  </si>
  <si>
    <t>Head</t>
  </si>
  <si>
    <t>NPSHr</t>
  </si>
  <si>
    <t>Flow</t>
  </si>
  <si>
    <t>Pump Branch or Rising Main ?</t>
  </si>
  <si>
    <r>
      <t>NPSHa</t>
    </r>
    <r>
      <rPr>
        <vertAlign val="superscript"/>
        <sz val="9"/>
        <rFont val="Calibri"/>
        <family val="2"/>
      </rPr>
      <t>(1)</t>
    </r>
  </si>
  <si>
    <t>Positive tolerance</t>
  </si>
  <si>
    <t>Negative tolerance</t>
  </si>
  <si>
    <t>Diameter</t>
  </si>
  <si>
    <t>mm</t>
  </si>
  <si>
    <t>(l/s)</t>
  </si>
  <si>
    <t>m</t>
  </si>
  <si>
    <t>Roughness</t>
  </si>
  <si>
    <t>Temperature</t>
  </si>
  <si>
    <t>°C</t>
  </si>
  <si>
    <t>Duty flow velocity</t>
  </si>
  <si>
    <t>m/s</t>
  </si>
  <si>
    <t>Check that pipe velocities are appropriate for the type of fluid and whether it is a suction, pump discharge or rising main section.</t>
  </si>
  <si>
    <t>Minor losses</t>
  </si>
  <si>
    <t>Select fittings (use drop down menu) and insert number of each type of fitting in each section.</t>
  </si>
  <si>
    <t>Entry loss, sharp edged</t>
  </si>
  <si>
    <r>
      <rPr>
        <vertAlign val="superscript"/>
        <sz val="9"/>
        <rFont val="Arial"/>
        <family val="2"/>
      </rPr>
      <t>(1)</t>
    </r>
    <r>
      <rPr>
        <sz val="9"/>
        <rFont val="Arial"/>
        <family val="2"/>
      </rPr>
      <t xml:space="preserve"> NPSHa is only correct for single pump operations or multiple pumps with individual suctions. </t>
    </r>
  </si>
  <si>
    <t>Entry loss, bell mouth</t>
  </si>
  <si>
    <t>Further analysis is required for multiple pump operation with common suctions.</t>
  </si>
  <si>
    <t>Bend, SR (R/D = 1), 90°</t>
  </si>
  <si>
    <t>Bend, SR (R/D = 1), 45°</t>
  </si>
  <si>
    <t>PUMP TESTING / CURVE TOLERANCE (ISO 9906)</t>
  </si>
  <si>
    <t>Bend, LR (R/D = 2.5), 90°</t>
  </si>
  <si>
    <t>Acceptance grades and corresponding tolerance (ISO 9906, Table 8)</t>
  </si>
  <si>
    <t>Bend, LR (R/D = 2.5), 45°</t>
  </si>
  <si>
    <t>Grade</t>
  </si>
  <si>
    <t>+</t>
  </si>
  <si>
    <t>Equal tee, inline, 90°, radiused</t>
  </si>
  <si>
    <t>-</t>
  </si>
  <si>
    <t>Grade 1</t>
  </si>
  <si>
    <t>Grade 2</t>
  </si>
  <si>
    <t>Grade 3</t>
  </si>
  <si>
    <t>Equal tee, line-branch, 90°, radiused</t>
  </si>
  <si>
    <t>1U</t>
  </si>
  <si>
    <t>1E</t>
  </si>
  <si>
    <t>1B</t>
  </si>
  <si>
    <t>2U</t>
  </si>
  <si>
    <t>2B</t>
  </si>
  <si>
    <t>3B</t>
  </si>
  <si>
    <t>Taper contraction, 4/5</t>
  </si>
  <si>
    <t>WORKING DEPTH CALCULATIONS</t>
  </si>
  <si>
    <t>Taper enlargement, 4/5</t>
  </si>
  <si>
    <t>Valve, gate, full open</t>
  </si>
  <si>
    <t>Wet well cross sectional area</t>
  </si>
  <si>
    <r>
      <t>m</t>
    </r>
    <r>
      <rPr>
        <vertAlign val="superscript"/>
        <sz val="9"/>
        <rFont val="Calibri"/>
        <family val="2"/>
      </rPr>
      <t>2</t>
    </r>
  </si>
  <si>
    <t>Diff head</t>
  </si>
  <si>
    <t>Valve, butterfly, full open</t>
  </si>
  <si>
    <t>Maximum number of pump starts / hour</t>
  </si>
  <si>
    <t>Valve, swing check, full open</t>
  </si>
  <si>
    <t>Working volume between pump start and stop levels</t>
  </si>
  <si>
    <r>
      <t>m</t>
    </r>
    <r>
      <rPr>
        <vertAlign val="superscript"/>
        <sz val="9"/>
        <rFont val="Calibri"/>
        <family val="2"/>
      </rPr>
      <t>3</t>
    </r>
  </si>
  <si>
    <t>Exit loss, sharp edged</t>
  </si>
  <si>
    <t>Distance between pump start and stop levels</t>
  </si>
  <si>
    <t>Exit loss, bell mouth</t>
  </si>
  <si>
    <t>RETENTION TIME CALCULATIONS</t>
  </si>
  <si>
    <t>User Inputs</t>
  </si>
  <si>
    <t>Pumping station inflow</t>
  </si>
  <si>
    <t>Distance from wet well floor to BWL</t>
  </si>
  <si>
    <t>Total Minor Losses</t>
  </si>
  <si>
    <t>Retention time (wet well + rising main)</t>
  </si>
  <si>
    <t>hrs</t>
  </si>
  <si>
    <t>FLOW / HEAD DATA SUMMARY</t>
  </si>
  <si>
    <t>Headloss in each section</t>
  </si>
  <si>
    <t>Total</t>
  </si>
  <si>
    <t>Maximum</t>
  </si>
  <si>
    <t>Minimum</t>
  </si>
  <si>
    <t>Headloss</t>
  </si>
  <si>
    <t>Please note that only headlosses on sections marked as "common main" or "rising main" are included in calculation of the system curve.</t>
  </si>
  <si>
    <t>Headlosses on sections marked as "pump suction" or "pump discharge" are included in the pump performance curves.</t>
  </si>
  <si>
    <t>Summary of branch losses for effective pump curve calculations</t>
  </si>
  <si>
    <t>Sections marked as "pump suction" or "pump discharge" are included in the pump performance curves.</t>
  </si>
  <si>
    <t>Branch</t>
  </si>
  <si>
    <t>losses</t>
  </si>
  <si>
    <t>Summary of suction losses for NPSH(a) calculations</t>
  </si>
  <si>
    <t>Sections marked as "common suction" or "pump suction" are included in the NPSHa calculations.</t>
  </si>
  <si>
    <t>Suction</t>
  </si>
  <si>
    <t>Sludge properties</t>
  </si>
  <si>
    <t>Minor loss coefficients</t>
  </si>
  <si>
    <t>TR185 Data</t>
  </si>
  <si>
    <t>Kinematic viscosity and NPSH Data</t>
  </si>
  <si>
    <t>(MML Pipelines Manual, Table E.3.3)</t>
  </si>
  <si>
    <t>Pumped media</t>
  </si>
  <si>
    <t>Fitting description</t>
  </si>
  <si>
    <t>Loss coef., K
(V2/2g)</t>
  </si>
  <si>
    <t>Maximum temperature in common suction</t>
  </si>
  <si>
    <t>degC</t>
  </si>
  <si>
    <t>Water density</t>
  </si>
  <si>
    <r>
      <t>kg/m</t>
    </r>
    <r>
      <rPr>
        <vertAlign val="superscript"/>
        <sz val="9"/>
        <rFont val="Calibri"/>
        <family val="2"/>
      </rPr>
      <t>3</t>
    </r>
  </si>
  <si>
    <t>Maximum temperature in pump suction</t>
  </si>
  <si>
    <t>Suspended Solids Content (SS)</t>
  </si>
  <si>
    <t>Temperature used in NPSHa calculation</t>
  </si>
  <si>
    <t>Sludge Density</t>
  </si>
  <si>
    <t>Density of dry sludge</t>
  </si>
  <si>
    <t>Vapour pressure</t>
  </si>
  <si>
    <t>Specific weight</t>
  </si>
  <si>
    <r>
      <t>kN/m</t>
    </r>
    <r>
      <rPr>
        <vertAlign val="superscript"/>
        <sz val="9"/>
        <rFont val="Calibri"/>
        <family val="2"/>
      </rPr>
      <t>3</t>
    </r>
  </si>
  <si>
    <t>Upper, Median or Lower</t>
  </si>
  <si>
    <t>Hydraulic profile data</t>
  </si>
  <si>
    <t>Bend, SR (R/D = 1), 22.5°</t>
  </si>
  <si>
    <t>Table C2.2 Properties of water at saturation (CIBSE C - Reference Data)</t>
  </si>
  <si>
    <t>Power index</t>
  </si>
  <si>
    <t>Absolute vapour pressure</t>
  </si>
  <si>
    <t>Specific heat capacity</t>
  </si>
  <si>
    <t>Dynamic viscosity</t>
  </si>
  <si>
    <t>Density</t>
  </si>
  <si>
    <t>Specific enthalpy of liquid</t>
  </si>
  <si>
    <t>Prnadtl number</t>
  </si>
  <si>
    <t>Node or pump?</t>
  </si>
  <si>
    <t>Primary</t>
  </si>
  <si>
    <r>
      <t>t</t>
    </r>
    <r>
      <rPr>
        <vertAlign val="subscript"/>
        <sz val="9"/>
        <rFont val="Calibri"/>
        <family val="2"/>
      </rPr>
      <t>s</t>
    </r>
    <r>
      <rPr>
        <sz val="9"/>
        <rFont val="Calibri"/>
        <family val="2"/>
      </rPr>
      <t xml:space="preserve"> / degC</t>
    </r>
  </si>
  <si>
    <r>
      <t>p</t>
    </r>
    <r>
      <rPr>
        <vertAlign val="subscript"/>
        <sz val="9"/>
        <rFont val="Calibri"/>
        <family val="2"/>
      </rPr>
      <t>s</t>
    </r>
    <r>
      <rPr>
        <sz val="9"/>
        <rFont val="Calibri"/>
        <family val="2"/>
      </rPr>
      <t xml:space="preserve"> / kPa</t>
    </r>
  </si>
  <si>
    <r>
      <t>c</t>
    </r>
    <r>
      <rPr>
        <vertAlign val="subscript"/>
        <sz val="9"/>
        <rFont val="Calibri"/>
        <family val="2"/>
      </rPr>
      <t>r</t>
    </r>
    <r>
      <rPr>
        <sz val="9"/>
        <rFont val="Calibri"/>
        <family val="2"/>
      </rPr>
      <t xml:space="preserve"> / (kJ.kg</t>
    </r>
    <r>
      <rPr>
        <vertAlign val="superscript"/>
        <sz val="9"/>
        <rFont val="Calibri"/>
        <family val="2"/>
      </rPr>
      <t>-1</t>
    </r>
    <r>
      <rPr>
        <sz val="9"/>
        <rFont val="Calibri"/>
        <family val="2"/>
      </rPr>
      <t>.K</t>
    </r>
    <r>
      <rPr>
        <vertAlign val="superscript"/>
        <sz val="9"/>
        <rFont val="Calibri"/>
        <family val="2"/>
      </rPr>
      <t>-1</t>
    </r>
    <r>
      <rPr>
        <sz val="9"/>
        <rFont val="Calibri"/>
        <family val="2"/>
      </rPr>
      <t>)</t>
    </r>
  </si>
  <si>
    <r>
      <rPr>
        <sz val="9"/>
        <rFont val="Symbol"/>
        <family val="1"/>
        <charset val="2"/>
      </rPr>
      <t>m</t>
    </r>
    <r>
      <rPr>
        <vertAlign val="subscript"/>
        <sz val="9"/>
        <rFont val="Calibri"/>
        <family val="2"/>
      </rPr>
      <t>f</t>
    </r>
    <r>
      <rPr>
        <sz val="9"/>
        <rFont val="Calibri"/>
        <family val="2"/>
      </rPr>
      <t xml:space="preserve"> / (mPa.s)</t>
    </r>
  </si>
  <si>
    <r>
      <rPr>
        <sz val="9"/>
        <rFont val="Symbol"/>
        <family val="1"/>
        <charset val="2"/>
      </rPr>
      <t>r</t>
    </r>
    <r>
      <rPr>
        <sz val="9"/>
        <rFont val="Calibri"/>
        <family val="2"/>
      </rPr>
      <t xml:space="preserve"> / (kg.m</t>
    </r>
    <r>
      <rPr>
        <vertAlign val="superscript"/>
        <sz val="9"/>
        <rFont val="Calibri"/>
        <family val="2"/>
      </rPr>
      <t>-3</t>
    </r>
    <r>
      <rPr>
        <sz val="9"/>
        <rFont val="Calibri"/>
        <family val="2"/>
      </rPr>
      <t>)</t>
    </r>
  </si>
  <si>
    <r>
      <t>h</t>
    </r>
    <r>
      <rPr>
        <vertAlign val="subscript"/>
        <sz val="9"/>
        <rFont val="Calibri"/>
        <family val="2"/>
      </rPr>
      <t>f</t>
    </r>
    <r>
      <rPr>
        <sz val="9"/>
        <rFont val="Calibri"/>
        <family val="2"/>
      </rPr>
      <t xml:space="preserve"> / (kJ.kg</t>
    </r>
    <r>
      <rPr>
        <vertAlign val="superscript"/>
        <sz val="9"/>
        <rFont val="Calibri"/>
        <family val="2"/>
      </rPr>
      <t>-1</t>
    </r>
    <r>
      <rPr>
        <sz val="9"/>
        <rFont val="Calibri"/>
        <family val="2"/>
      </rPr>
      <t>)</t>
    </r>
  </si>
  <si>
    <t>(Pr)g</t>
  </si>
  <si>
    <t>Chainage (m)</t>
  </si>
  <si>
    <t>Bend, LR (R/D = 2.5), 22.5°</t>
  </si>
  <si>
    <t>Primary plus humus</t>
  </si>
  <si>
    <t>Head (m)</t>
  </si>
  <si>
    <t>Bend, 2 piece mitre, 90°</t>
  </si>
  <si>
    <t>Primary plus activated</t>
  </si>
  <si>
    <t>Bend, 2 piece mitre, 45°</t>
  </si>
  <si>
    <t>Activated</t>
  </si>
  <si>
    <t>Bend, 2 piece mitre, 22.5°</t>
  </si>
  <si>
    <t>Humus</t>
  </si>
  <si>
    <t>Pipe loss calculations</t>
  </si>
  <si>
    <t>Bend, 3 piece mitre, 90°</t>
  </si>
  <si>
    <t>Anaerobically Digested</t>
  </si>
  <si>
    <t>Bend, 3 piece mitre, 45°</t>
  </si>
  <si>
    <r>
      <t>Laminar viscosity (N.sn/m</t>
    </r>
    <r>
      <rPr>
        <vertAlign val="superscript"/>
        <sz val="9"/>
        <rFont val="Calibri"/>
        <family val="2"/>
      </rPr>
      <t>2</t>
    </r>
    <r>
      <rPr>
        <sz val="9"/>
        <rFont val="Calibri"/>
        <family val="2"/>
      </rPr>
      <t>)</t>
    </r>
  </si>
  <si>
    <t>Bend, 4 piece mitre, 90°</t>
  </si>
  <si>
    <t>Flow rate</t>
  </si>
  <si>
    <t>Equal tee, inline, 90°, sharp</t>
  </si>
  <si>
    <t>Pipe diameter</t>
  </si>
  <si>
    <t>Pipe roughness</t>
  </si>
  <si>
    <t>Equal tee, line-branch, 90°, sharp</t>
  </si>
  <si>
    <t>Pipe length</t>
  </si>
  <si>
    <t>Fittings coefficient</t>
  </si>
  <si>
    <t>Equal tee, line-branch, 45°, sharp</t>
  </si>
  <si>
    <t>deg C</t>
  </si>
  <si>
    <t>Equal tee, line-branch, 45°, radiused</t>
  </si>
  <si>
    <t>Turbulent viscosity</t>
  </si>
  <si>
    <t>Velocity</t>
  </si>
  <si>
    <t>Sudden contraction, 4/5</t>
  </si>
  <si>
    <t>Water kinematic viscosity</t>
  </si>
  <si>
    <r>
      <t>m</t>
    </r>
    <r>
      <rPr>
        <vertAlign val="superscript"/>
        <sz val="9"/>
        <rFont val="Calibri"/>
        <family val="2"/>
      </rPr>
      <t>2</t>
    </r>
    <r>
      <rPr>
        <sz val="9"/>
        <rFont val="Calibri"/>
        <family val="2"/>
      </rPr>
      <t>/s</t>
    </r>
  </si>
  <si>
    <t>Sudden contraction, 2/3</t>
  </si>
  <si>
    <t>Laminar viscosity</t>
  </si>
  <si>
    <r>
      <t>N.S^n/m</t>
    </r>
    <r>
      <rPr>
        <vertAlign val="superscript"/>
        <sz val="9"/>
        <rFont val="Calibri"/>
        <family val="2"/>
      </rPr>
      <t>2</t>
    </r>
  </si>
  <si>
    <t>Sudden contraction, 1/2</t>
  </si>
  <si>
    <t>Power law index</t>
  </si>
  <si>
    <t>Taper contraction, 2/3</t>
  </si>
  <si>
    <t>Reynolds number (turb)</t>
  </si>
  <si>
    <t>Taper contraction, 1/2</t>
  </si>
  <si>
    <t>Reynolds number (lam)</t>
  </si>
  <si>
    <t>Sudden enlargement, 4/5</t>
  </si>
  <si>
    <r>
      <t>Yield Stress (N/m</t>
    </r>
    <r>
      <rPr>
        <vertAlign val="superscript"/>
        <sz val="9"/>
        <rFont val="Calibri"/>
        <family val="2"/>
      </rPr>
      <t>2</t>
    </r>
    <r>
      <rPr>
        <sz val="9"/>
        <rFont val="Calibri"/>
        <family val="2"/>
      </rPr>
      <t>)</t>
    </r>
  </si>
  <si>
    <t>Friction factor (turb)</t>
  </si>
  <si>
    <t>Sudden enlargement, 2/3</t>
  </si>
  <si>
    <t>Friction factor (lam)</t>
  </si>
  <si>
    <t>Sudden enlargement, 1/2</t>
  </si>
  <si>
    <t>Friction factor</t>
  </si>
  <si>
    <t>Fitting losses factor</t>
  </si>
  <si>
    <t>Taper enlargement, 2/3</t>
  </si>
  <si>
    <t>Pipeline headloss</t>
  </si>
  <si>
    <t>Taper enlargement, 1/2</t>
  </si>
  <si>
    <t>bar</t>
  </si>
  <si>
    <t>Valve, gate, half open</t>
  </si>
  <si>
    <t>Upper bound</t>
  </si>
  <si>
    <t>Valve, butterfly, half open</t>
  </si>
  <si>
    <t>Valve, globe, full open</t>
  </si>
  <si>
    <t>Lower bound</t>
  </si>
  <si>
    <t>Valve, globe, half open</t>
  </si>
  <si>
    <t>Valve, multi-port disk, full open</t>
  </si>
  <si>
    <t>Valve, multi-port disk, half open</t>
  </si>
  <si>
    <t>??</t>
  </si>
  <si>
    <t>Anaerobically digested</t>
  </si>
  <si>
    <t>Pump branch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</si>
</sst>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_)"/>
    <numFmt numFmtId="167" formatCode="0.00000"/>
    <numFmt numFmtId="168" formatCode="0.0000000"/>
    <numFmt numFmtId="169" formatCode="0.00000_)"/>
    <numFmt numFmtId="170" formatCode="0.000_)"/>
  </numFmts>
  <fonts count="37">
    <font>
      <sz val="11"/>
      <name val="Calibri"/>
      <family val="2"/>
      <scheme val="minor"/>
    </font>
    <font>
      <sz val="11"/>
      <name val="Calibri"/>
      <family val="2"/>
      <scheme val="minor"/>
    </font>
    <font>
      <b/>
      <sz val="11"/>
      <color indexed="56"/>
      <name val="Calibri"/>
      <family val="2"/>
    </font>
    <font>
      <i/>
      <sz val="10"/>
      <color indexed="23"/>
      <name val="Calibri"/>
      <family val="2"/>
    </font>
    <font>
      <b/>
      <sz val="11"/>
      <color rgb="FF003366"/>
      <name val="Calibri"/>
      <family val="2"/>
      <scheme val="minor"/>
    </font>
    <font>
      <sz val="10"/>
      <name val="Arial"/>
      <family val="2"/>
    </font>
    <font>
      <sz val="9"/>
      <name val="Arial"/>
      <family val="2"/>
    </font>
    <font>
      <sz val="9"/>
      <name val="Times New Roman"/>
      <family val="1"/>
    </font>
    <font>
      <sz val="11"/>
      <name val="Calibri"/>
      <family val="2"/>
    </font>
    <font>
      <sz val="9"/>
      <name val="Calibri"/>
      <family val="2"/>
    </font>
    <font>
      <b/>
      <sz val="9"/>
      <name val="Calibri"/>
      <family val="2"/>
    </font>
    <font>
      <sz val="9"/>
      <name val="Calibri"/>
      <family val="2"/>
      <scheme val="minor"/>
    </font>
    <font>
      <b/>
      <sz val="9"/>
      <name val="Calibri"/>
      <family val="2"/>
      <scheme val="minor"/>
    </font>
    <font>
      <sz val="11"/>
      <color theme="0" tint="-0.499984740745262"/>
      <name val="Calibri"/>
      <family val="2"/>
    </font>
    <font>
      <sz val="9"/>
      <color theme="0" tint="-0.499984740745262"/>
      <name val="Calibri"/>
      <family val="2"/>
    </font>
    <font>
      <sz val="11"/>
      <color theme="4" tint="-0.24994659260841701"/>
      <name val="Calibri"/>
      <family val="2"/>
    </font>
    <font>
      <sz val="9"/>
      <color theme="4" tint="-0.24994659260841701"/>
      <name val="Calibri"/>
      <family val="2"/>
    </font>
    <font>
      <i/>
      <sz val="9"/>
      <color indexed="23"/>
      <name val="Calibri"/>
      <family val="2"/>
    </font>
    <font>
      <sz val="11"/>
      <color rgb="FFC00000"/>
      <name val="Calibri"/>
      <family val="2"/>
      <scheme val="minor"/>
    </font>
    <font>
      <sz val="9"/>
      <color rgb="FFC00000"/>
      <name val="Calibri"/>
      <family val="2"/>
      <scheme val="minor"/>
    </font>
    <font>
      <vertAlign val="superscript"/>
      <sz val="9"/>
      <name val="Calibri"/>
      <family val="2"/>
    </font>
    <font>
      <b/>
      <sz val="9"/>
      <color indexed="56"/>
      <name val="Calibri"/>
      <family val="2"/>
    </font>
    <font>
      <sz val="9"/>
      <name val="Arial MT"/>
    </font>
    <font>
      <i/>
      <sz val="9"/>
      <name val="Calibri"/>
      <family val="2"/>
    </font>
    <font>
      <b/>
      <sz val="9"/>
      <name val="Arial MT"/>
    </font>
    <font>
      <b/>
      <sz val="9"/>
      <name val="Arial"/>
      <family val="2"/>
    </font>
    <font>
      <sz val="11"/>
      <color rgb="FFFF66FF"/>
      <name val="Calibri"/>
      <family val="2"/>
      <scheme val="minor"/>
    </font>
    <font>
      <sz val="9"/>
      <color rgb="FFFF66FF"/>
      <name val="Calibri"/>
      <family val="2"/>
      <scheme val="minor"/>
    </font>
    <font>
      <vertAlign val="subscript"/>
      <sz val="9"/>
      <name val="Calibri"/>
      <family val="2"/>
    </font>
    <font>
      <sz val="9"/>
      <name val="Symbol"/>
      <family val="1"/>
      <charset val="2"/>
    </font>
    <font>
      <sz val="9"/>
      <color theme="4" tint="-0.24994659260841701"/>
      <name val="Calibri"/>
      <family val="2"/>
      <scheme val="minor"/>
    </font>
    <font>
      <sz val="9"/>
      <color indexed="8"/>
      <name val="Arial MT"/>
    </font>
    <font>
      <sz val="10"/>
      <name val="Times New Roman"/>
      <family val="1"/>
    </font>
    <font>
      <sz val="11"/>
      <color theme="6" tint="-0.24994659260841701"/>
      <name val="Calibri"/>
      <family val="2"/>
    </font>
    <font>
      <b/>
      <sz val="8.5"/>
      <color theme="0"/>
      <name val="Arial"/>
      <family val="2"/>
    </font>
    <font>
      <b/>
      <sz val="12"/>
      <color indexed="56"/>
      <name val="Calibri"/>
      <family val="2"/>
    </font>
    <font>
      <vertAlign val="superscript"/>
      <sz val="9"/>
      <name val="Arial"/>
      <family val="2"/>
    </font>
  </fonts>
  <fills count="10">
    <fill>
      <patternFill patternType="none"/>
    </fill>
    <fill>
      <patternFill patternType="gray125"/>
    </fill>
    <fill>
      <patternFill patternType="solid">
        <fgColor theme="0"/>
        <bgColor indexed="64"/>
      </patternFill>
    </fill>
    <fill>
      <patternFill patternType="solid">
        <fgColor theme="9" tint="0.59996337778862885"/>
        <bgColor indexed="64"/>
      </patternFill>
    </fill>
    <fill>
      <patternFill patternType="solid">
        <fgColor rgb="FFFFFFFF"/>
        <bgColor rgb="FF000000"/>
      </patternFill>
    </fill>
    <fill>
      <patternFill patternType="solid">
        <fgColor theme="2"/>
        <bgColor indexed="64"/>
      </patternFill>
    </fill>
    <fill>
      <patternFill patternType="solid">
        <fgColor indexed="26"/>
      </patternFill>
    </fill>
    <fill>
      <patternFill patternType="solid">
        <fgColor theme="0" tint="-0.24994659260841701"/>
        <bgColor indexed="64"/>
      </patternFill>
    </fill>
    <fill>
      <patternFill patternType="solid">
        <fgColor indexed="9"/>
        <bgColor indexed="64"/>
      </patternFill>
    </fill>
    <fill>
      <patternFill patternType="solid">
        <fgColor theme="4"/>
        <bgColor indexed="64"/>
      </patternFill>
    </fill>
  </fills>
  <borders count="49">
    <border>
      <left/>
      <right/>
      <top/>
      <bottom/>
      <diagonal/>
    </border>
    <border>
      <left style="thin">
        <color indexed="23"/>
      </left>
      <right style="thin">
        <color indexed="23"/>
      </right>
      <top style="thin">
        <color indexed="23"/>
      </top>
      <bottom style="thin">
        <color indexed="23"/>
      </bottom>
      <diagonal/>
    </border>
    <border>
      <left/>
      <right/>
      <top/>
      <bottom style="thin">
        <color rgb="FF808080"/>
      </bottom>
      <diagonal/>
    </border>
    <border>
      <left style="thin">
        <color rgb="FF808080"/>
      </left>
      <right style="thin">
        <color rgb="FF808080"/>
      </right>
      <top style="thin">
        <color rgb="FF808080"/>
      </top>
      <bottom style="thin">
        <color rgb="FF80808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right style="thin">
        <color indexed="23"/>
      </right>
      <top/>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style="thin">
        <color indexed="23"/>
      </right>
      <top style="thin">
        <color rgb="FF808080"/>
      </top>
      <bottom style="thin">
        <color rgb="FF808080"/>
      </bottom>
      <diagonal/>
    </border>
    <border>
      <left style="thin">
        <color indexed="23"/>
      </left>
      <right style="thin">
        <color indexed="23"/>
      </right>
      <top/>
      <bottom style="thin">
        <color indexed="23"/>
      </bottom>
      <diagonal/>
    </border>
    <border>
      <left style="thin">
        <color rgb="FF808080"/>
      </left>
      <right style="thin">
        <color rgb="FF808080"/>
      </right>
      <top/>
      <bottom style="thin">
        <color rgb="FF808080"/>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808080"/>
      </left>
      <right style="thin">
        <color rgb="FF808080"/>
      </right>
      <top/>
      <bottom/>
      <diagonal/>
    </border>
    <border>
      <left style="thin">
        <color indexed="64"/>
      </left>
      <right style="thin">
        <color rgb="FF808080"/>
      </right>
      <top style="thin">
        <color indexed="64"/>
      </top>
      <bottom style="thin">
        <color indexed="64"/>
      </bottom>
      <diagonal/>
    </border>
    <border>
      <left style="thin">
        <color rgb="FF808080"/>
      </left>
      <right style="thin">
        <color rgb="FF808080"/>
      </right>
      <top style="thin">
        <color indexed="64"/>
      </top>
      <bottom style="thin">
        <color indexed="64"/>
      </bottom>
      <diagonal/>
    </border>
    <border>
      <left style="thin">
        <color rgb="FF80808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23"/>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medium">
        <color rgb="FF808080"/>
      </left>
      <right style="medium">
        <color rgb="FF808080"/>
      </right>
      <top style="medium">
        <color rgb="FF808080"/>
      </top>
      <bottom style="medium">
        <color rgb="FF808080"/>
      </bottom>
      <diagonal/>
    </border>
    <border>
      <left/>
      <right/>
      <top style="thin">
        <color theme="4"/>
      </top>
      <bottom style="thin">
        <color auto="1"/>
      </bottom>
      <diagonal/>
    </border>
  </borders>
  <cellStyleXfs count="21">
    <xf numFmtId="0" fontId="0" fillId="2" borderId="0"/>
    <xf numFmtId="0" fontId="2" fillId="0" borderId="0" applyNumberFormat="0" applyFill="0" applyBorder="0" applyAlignment="0" applyProtection="0"/>
    <xf numFmtId="0" fontId="8" fillId="3" borderId="1" applyNumberFormat="0" applyAlignment="0" applyProtection="0"/>
    <xf numFmtId="0" fontId="15" fillId="5" borderId="1" applyNumberFormat="0" applyAlignment="0" applyProtection="0"/>
    <xf numFmtId="0" fontId="13" fillId="5" borderId="3" applyNumberFormat="0" applyAlignment="0" applyProtection="0"/>
    <xf numFmtId="0" fontId="1" fillId="6" borderId="3" applyNumberFormat="0" applyAlignment="0" applyProtection="0"/>
    <xf numFmtId="0" fontId="3" fillId="0" borderId="0" applyNumberFormat="0" applyFill="0" applyBorder="0" applyAlignment="0" applyProtection="0"/>
    <xf numFmtId="0" fontId="5" fillId="0" borderId="0"/>
    <xf numFmtId="0" fontId="8" fillId="5" borderId="3" applyNumberFormat="0" applyFill="0" applyBorder="0" applyAlignment="0" applyProtection="0"/>
    <xf numFmtId="0" fontId="18" fillId="2" borderId="0" applyNumberFormat="0" applyFill="0" applyBorder="0" applyAlignment="0" applyProtection="0"/>
    <xf numFmtId="0" fontId="26" fillId="2" borderId="0" applyNumberFormat="0" applyFill="0" applyBorder="0" applyAlignment="0" applyProtection="0"/>
    <xf numFmtId="0" fontId="32" fillId="0" borderId="0"/>
    <xf numFmtId="0" fontId="33" fillId="5" borderId="3" applyAlignment="0" applyProtection="0"/>
    <xf numFmtId="0" fontId="8" fillId="7" borderId="3" applyAlignment="0" applyProtection="0"/>
    <xf numFmtId="0" fontId="5" fillId="0" borderId="0"/>
    <xf numFmtId="9" fontId="5" fillId="0" borderId="0" applyFont="0" applyFill="0" applyBorder="0" applyAlignment="0" applyProtection="0"/>
    <xf numFmtId="0" fontId="2" fillId="8" borderId="47" applyFont="0" applyFill="0" applyAlignment="0">
      <alignment horizontal="right"/>
    </xf>
    <xf numFmtId="0" fontId="34" fillId="9" borderId="48"/>
    <xf numFmtId="0" fontId="8" fillId="5" borderId="3" applyNumberFormat="0" applyFill="0" applyBorder="0" applyAlignment="0" applyProtection="0"/>
    <xf numFmtId="0" fontId="15" fillId="5" borderId="1" applyNumberFormat="0" applyAlignment="0" applyProtection="0"/>
    <xf numFmtId="0" fontId="8" fillId="3" borderId="1" applyNumberFormat="0" applyAlignment="0" applyProtection="0"/>
  </cellStyleXfs>
  <cellXfs count="247">
    <xf numFmtId="0" fontId="0" fillId="2" borderId="0" xfId="0"/>
    <xf numFmtId="0" fontId="0" fillId="2" borderId="0" xfId="0" applyAlignment="1">
      <alignment horizontal="left" vertical="top"/>
    </xf>
    <xf numFmtId="0" fontId="2" fillId="2" borderId="0" xfId="1" applyFill="1" applyAlignment="1" applyProtection="1">
      <alignment horizontal="left" vertical="top"/>
    </xf>
    <xf numFmtId="0" fontId="2" fillId="2" borderId="0" xfId="1" applyFill="1" applyProtection="1"/>
    <xf numFmtId="0" fontId="3" fillId="3" borderId="1" xfId="6" applyFill="1" applyBorder="1" applyAlignment="1" applyProtection="1">
      <alignment horizontal="left" vertical="top" wrapText="1"/>
    </xf>
    <xf numFmtId="0" fontId="3" fillId="2" borderId="0" xfId="6" applyFill="1" applyAlignment="1" applyProtection="1">
      <alignment vertical="top"/>
    </xf>
    <xf numFmtId="0" fontId="0" fillId="2" borderId="0" xfId="0" applyAlignment="1">
      <alignment vertical="top"/>
    </xf>
    <xf numFmtId="0" fontId="4" fillId="4" borderId="2" xfId="0" applyFont="1" applyFill="1" applyBorder="1"/>
    <xf numFmtId="0" fontId="3" fillId="3" borderId="1" xfId="6" quotePrefix="1" applyFill="1" applyBorder="1" applyAlignment="1" applyProtection="1">
      <alignment vertical="top" wrapText="1"/>
    </xf>
    <xf numFmtId="0" fontId="3" fillId="3" borderId="1" xfId="6" applyFill="1" applyBorder="1" applyAlignment="1" applyProtection="1">
      <alignment vertical="top" wrapText="1"/>
    </xf>
    <xf numFmtId="0" fontId="4" fillId="4" borderId="0" xfId="0" applyFont="1" applyFill="1" applyAlignment="1">
      <alignment horizontal="left"/>
    </xf>
    <xf numFmtId="0" fontId="3" fillId="2" borderId="0" xfId="6" applyFill="1" applyProtection="1"/>
    <xf numFmtId="0" fontId="6" fillId="0" borderId="0" xfId="7" applyFont="1"/>
    <xf numFmtId="0" fontId="6" fillId="0" borderId="0" xfId="7" applyFont="1" applyAlignment="1">
      <alignment horizontal="center"/>
    </xf>
    <xf numFmtId="0" fontId="7" fillId="0" borderId="0" xfId="7" applyFont="1" applyAlignment="1">
      <alignment horizontal="center"/>
    </xf>
    <xf numFmtId="0" fontId="7" fillId="0" borderId="0" xfId="7" applyFont="1"/>
    <xf numFmtId="0" fontId="9" fillId="0" borderId="0" xfId="8" applyFont="1" applyFill="1" applyBorder="1" applyProtection="1"/>
    <xf numFmtId="0" fontId="10" fillId="0" borderId="0" xfId="8" applyFont="1" applyFill="1" applyBorder="1" applyProtection="1"/>
    <xf numFmtId="0" fontId="11" fillId="0" borderId="0" xfId="7" applyFont="1" applyAlignment="1">
      <alignment horizontal="center"/>
    </xf>
    <xf numFmtId="0" fontId="11" fillId="0" borderId="0" xfId="7" applyFont="1"/>
    <xf numFmtId="0" fontId="12" fillId="0" borderId="0" xfId="7" applyFont="1"/>
    <xf numFmtId="0" fontId="10" fillId="0" borderId="4" xfId="8" applyFont="1" applyFill="1" applyBorder="1" applyProtection="1"/>
    <xf numFmtId="0" fontId="9" fillId="0" borderId="5" xfId="8" applyFont="1" applyFill="1" applyBorder="1" applyAlignment="1" applyProtection="1">
      <alignment horizontal="center"/>
    </xf>
    <xf numFmtId="0" fontId="9" fillId="0" borderId="5" xfId="8" applyFont="1" applyFill="1" applyBorder="1" applyProtection="1"/>
    <xf numFmtId="0" fontId="9" fillId="0" borderId="6" xfId="8" applyFont="1" applyFill="1" applyBorder="1" applyProtection="1"/>
    <xf numFmtId="0" fontId="6" fillId="0" borderId="7" xfId="7" applyFont="1" applyBorder="1"/>
    <xf numFmtId="0" fontId="9" fillId="0" borderId="8" xfId="8" applyFont="1" applyFill="1" applyBorder="1" applyProtection="1"/>
    <xf numFmtId="2" fontId="9" fillId="3" borderId="1" xfId="2" applyNumberFormat="1" applyFont="1" applyAlignment="1" applyProtection="1">
      <alignment horizontal="center"/>
      <protection locked="0"/>
    </xf>
    <xf numFmtId="0" fontId="9" fillId="0" borderId="0" xfId="8" applyFont="1" applyFill="1" applyBorder="1" applyAlignment="1" applyProtection="1">
      <alignment horizontal="left"/>
    </xf>
    <xf numFmtId="0" fontId="9" fillId="0" borderId="7" xfId="8" applyFont="1" applyFill="1" applyBorder="1" applyAlignment="1" applyProtection="1">
      <alignment horizontal="left"/>
    </xf>
    <xf numFmtId="164" fontId="9" fillId="3" borderId="1" xfId="2" applyNumberFormat="1" applyFont="1" applyAlignment="1" applyProtection="1">
      <alignment horizontal="center"/>
      <protection locked="0"/>
    </xf>
    <xf numFmtId="0" fontId="11" fillId="0" borderId="0" xfId="5" quotePrefix="1" applyFont="1" applyFill="1" applyBorder="1" applyProtection="1"/>
    <xf numFmtId="0" fontId="9" fillId="0" borderId="0" xfId="8" applyFont="1" applyFill="1" applyBorder="1" applyAlignment="1" applyProtection="1"/>
    <xf numFmtId="164" fontId="14" fillId="5" borderId="3" xfId="4" applyNumberFormat="1" applyFont="1" applyProtection="1"/>
    <xf numFmtId="0" fontId="14" fillId="5" borderId="3" xfId="4" applyFont="1" applyProtection="1"/>
    <xf numFmtId="0" fontId="6" fillId="0" borderId="8" xfId="7" applyFont="1" applyBorder="1" applyAlignment="1">
      <alignment horizontal="center"/>
    </xf>
    <xf numFmtId="0" fontId="9" fillId="0" borderId="0" xfId="8" applyFont="1" applyFill="1" applyBorder="1" applyAlignment="1" applyProtection="1">
      <alignment horizontal="left" vertical="center"/>
    </xf>
    <xf numFmtId="0" fontId="9" fillId="0" borderId="0" xfId="8" applyFont="1" applyFill="1" applyBorder="1" applyAlignment="1" applyProtection="1">
      <alignment horizontal="center" vertical="center"/>
    </xf>
    <xf numFmtId="0" fontId="9" fillId="3" borderId="1" xfId="2" applyFont="1" applyAlignment="1" applyProtection="1">
      <alignment horizontal="center" vertical="center"/>
      <protection locked="0"/>
    </xf>
    <xf numFmtId="164" fontId="14" fillId="5" borderId="3" xfId="4" applyNumberFormat="1" applyFont="1" applyAlignment="1" applyProtection="1">
      <alignment horizontal="right"/>
    </xf>
    <xf numFmtId="2" fontId="16" fillId="5" borderId="1" xfId="3" applyNumberFormat="1" applyFont="1" applyAlignment="1" applyProtection="1">
      <alignment horizontal="center"/>
    </xf>
    <xf numFmtId="0" fontId="9" fillId="0" borderId="9" xfId="8" applyFont="1" applyFill="1" applyBorder="1" applyProtection="1"/>
    <xf numFmtId="0" fontId="9" fillId="0" borderId="10" xfId="8" applyFont="1" applyFill="1" applyBorder="1" applyProtection="1"/>
    <xf numFmtId="0" fontId="9" fillId="0" borderId="11" xfId="8" applyFont="1" applyFill="1" applyBorder="1" applyProtection="1"/>
    <xf numFmtId="0" fontId="9" fillId="0" borderId="0" xfId="8" applyFont="1" applyFill="1" applyBorder="1" applyAlignment="1" applyProtection="1">
      <alignment vertical="center"/>
    </xf>
    <xf numFmtId="2" fontId="9" fillId="3" borderId="1" xfId="2" applyNumberFormat="1" applyFont="1" applyAlignment="1" applyProtection="1">
      <alignment horizontal="center" vertical="center"/>
      <protection locked="0"/>
    </xf>
    <xf numFmtId="0" fontId="17" fillId="0" borderId="0" xfId="6" applyFont="1" applyFill="1" applyBorder="1" applyProtection="1"/>
    <xf numFmtId="2" fontId="19" fillId="5" borderId="1" xfId="9" applyNumberFormat="1" applyFont="1" applyFill="1" applyBorder="1" applyAlignment="1" applyProtection="1">
      <alignment horizontal="center"/>
    </xf>
    <xf numFmtId="0" fontId="6" fillId="0" borderId="0" xfId="7" applyFont="1" applyAlignment="1">
      <alignment vertical="center"/>
    </xf>
    <xf numFmtId="0" fontId="11" fillId="0" borderId="0" xfId="7" applyFont="1" applyAlignment="1">
      <alignment vertical="center"/>
    </xf>
    <xf numFmtId="9" fontId="9" fillId="3" borderId="1" xfId="2" applyNumberFormat="1" applyFont="1" applyAlignment="1" applyProtection="1">
      <alignment horizontal="center"/>
      <protection locked="0"/>
    </xf>
    <xf numFmtId="0" fontId="9" fillId="0" borderId="0" xfId="8" applyFont="1" applyFill="1" applyBorder="1" applyAlignment="1" applyProtection="1">
      <alignment horizontal="left" vertical="top"/>
    </xf>
    <xf numFmtId="0" fontId="9" fillId="0" borderId="15" xfId="8" applyFont="1" applyFill="1" applyBorder="1" applyAlignment="1" applyProtection="1">
      <alignment horizontal="center"/>
    </xf>
    <xf numFmtId="0" fontId="9" fillId="0" borderId="1" xfId="8" applyFont="1" applyFill="1" applyBorder="1" applyAlignment="1" applyProtection="1">
      <alignment vertical="center"/>
    </xf>
    <xf numFmtId="0" fontId="9" fillId="0" borderId="1" xfId="8" applyFont="1" applyFill="1" applyBorder="1" applyAlignment="1" applyProtection="1">
      <alignment horizontal="center" vertical="center"/>
    </xf>
    <xf numFmtId="0" fontId="9" fillId="0" borderId="3" xfId="8" applyFont="1" applyFill="1" applyAlignment="1" applyProtection="1">
      <alignment horizontal="center" vertical="center"/>
    </xf>
    <xf numFmtId="0" fontId="9" fillId="0" borderId="0" xfId="8" applyFont="1" applyFill="1" applyBorder="1" applyAlignment="1" applyProtection="1">
      <alignment vertical="center" wrapText="1"/>
    </xf>
    <xf numFmtId="0" fontId="9" fillId="3" borderId="1" xfId="2" applyFont="1" applyAlignment="1" applyProtection="1">
      <alignment horizontal="center" vertical="center" wrapText="1"/>
      <protection locked="0"/>
    </xf>
    <xf numFmtId="0" fontId="9" fillId="0" borderId="3" xfId="8" applyFont="1" applyFill="1" applyAlignment="1" applyProtection="1">
      <alignment horizontal="center" vertical="center" wrapText="1"/>
    </xf>
    <xf numFmtId="0" fontId="9" fillId="0" borderId="3" xfId="8" applyFont="1" applyFill="1" applyAlignment="1" applyProtection="1">
      <alignment vertical="center"/>
    </xf>
    <xf numFmtId="0" fontId="9" fillId="0" borderId="3" xfId="8" applyFont="1" applyFill="1" applyAlignment="1" applyProtection="1">
      <alignment horizontal="center"/>
    </xf>
    <xf numFmtId="0" fontId="14" fillId="5" borderId="3" xfId="4" applyFont="1" applyAlignment="1" applyProtection="1">
      <alignment horizontal="center"/>
    </xf>
    <xf numFmtId="164" fontId="16" fillId="5" borderId="1" xfId="3" applyNumberFormat="1" applyFont="1" applyAlignment="1" applyProtection="1">
      <alignment horizontal="center"/>
    </xf>
    <xf numFmtId="1" fontId="16" fillId="5" borderId="1" xfId="3" applyNumberFormat="1" applyFont="1" applyAlignment="1" applyProtection="1">
      <alignment horizontal="center"/>
    </xf>
    <xf numFmtId="0" fontId="17" fillId="0" borderId="0" xfId="6" applyFont="1" applyAlignment="1" applyProtection="1">
      <alignment horizontal="left"/>
    </xf>
    <xf numFmtId="0" fontId="6" fillId="0" borderId="0" xfId="7" applyFont="1" applyAlignment="1">
      <alignment horizontal="center" vertical="center"/>
    </xf>
    <xf numFmtId="0" fontId="11" fillId="6" borderId="3" xfId="5" applyFont="1" applyProtection="1">
      <protection locked="0"/>
    </xf>
    <xf numFmtId="0" fontId="11" fillId="6" borderId="3" xfId="5" applyFont="1" applyAlignment="1" applyProtection="1">
      <alignment horizontal="center"/>
      <protection locked="0"/>
    </xf>
    <xf numFmtId="0" fontId="6" fillId="0" borderId="4" xfId="7" applyFont="1" applyBorder="1"/>
    <xf numFmtId="0" fontId="6" fillId="0" borderId="5" xfId="7" applyFont="1" applyBorder="1"/>
    <xf numFmtId="0" fontId="7" fillId="0" borderId="5" xfId="7" applyFont="1" applyBorder="1" applyAlignment="1">
      <alignment horizontal="center"/>
    </xf>
    <xf numFmtId="0" fontId="7" fillId="0" borderId="5" xfId="7" applyFont="1" applyBorder="1"/>
    <xf numFmtId="0" fontId="6" fillId="0" borderId="6" xfId="7" applyFont="1" applyBorder="1"/>
    <xf numFmtId="0" fontId="10" fillId="0" borderId="0" xfId="8" applyFont="1" applyFill="1" applyBorder="1" applyAlignment="1" applyProtection="1"/>
    <xf numFmtId="0" fontId="6" fillId="0" borderId="8" xfId="7" applyFont="1" applyBorder="1"/>
    <xf numFmtId="0" fontId="6" fillId="0" borderId="0" xfId="7" applyFont="1" applyAlignment="1">
      <alignment horizontal="right"/>
    </xf>
    <xf numFmtId="9" fontId="14" fillId="5" borderId="3" xfId="4" applyNumberFormat="1" applyFont="1" applyAlignment="1" applyProtection="1">
      <alignment horizontal="center"/>
    </xf>
    <xf numFmtId="0" fontId="21" fillId="2" borderId="0" xfId="1" applyFont="1" applyFill="1" applyBorder="1" applyAlignment="1" applyProtection="1"/>
    <xf numFmtId="0" fontId="9" fillId="5" borderId="3" xfId="8" applyFont="1" applyBorder="1" applyAlignment="1" applyProtection="1">
      <alignment horizontal="center"/>
    </xf>
    <xf numFmtId="0" fontId="9" fillId="5" borderId="3" xfId="8" applyFont="1" applyBorder="1" applyAlignment="1" applyProtection="1"/>
    <xf numFmtId="0" fontId="19" fillId="6" borderId="3" xfId="9" applyFont="1" applyFill="1" applyBorder="1" applyAlignment="1" applyProtection="1">
      <alignment horizontal="center" vertical="top"/>
    </xf>
    <xf numFmtId="0" fontId="9" fillId="3" borderId="1" xfId="2" applyFont="1" applyProtection="1">
      <protection locked="0"/>
    </xf>
    <xf numFmtId="0" fontId="9" fillId="0" borderId="0" xfId="8" applyFont="1" applyFill="1" applyBorder="1" applyAlignment="1" applyProtection="1">
      <alignment horizontal="right"/>
    </xf>
    <xf numFmtId="0" fontId="16" fillId="5" borderId="1" xfId="3" applyFont="1" applyAlignment="1" applyProtection="1">
      <alignment horizontal="center"/>
    </xf>
    <xf numFmtId="0" fontId="6" fillId="0" borderId="9" xfId="7" applyFont="1" applyBorder="1"/>
    <xf numFmtId="0" fontId="6" fillId="0" borderId="10" xfId="7" applyFont="1" applyBorder="1"/>
    <xf numFmtId="0" fontId="6" fillId="0" borderId="11" xfId="7" applyFont="1" applyBorder="1"/>
    <xf numFmtId="164" fontId="6" fillId="0" borderId="0" xfId="7" applyNumberFormat="1" applyFont="1"/>
    <xf numFmtId="0" fontId="1" fillId="6" borderId="3" xfId="5" applyAlignment="1" applyProtection="1">
      <alignment horizontal="center"/>
      <protection locked="0"/>
    </xf>
    <xf numFmtId="164" fontId="16" fillId="5" borderId="0" xfId="3" applyNumberFormat="1" applyFont="1" applyBorder="1" applyAlignment="1" applyProtection="1">
      <alignment horizontal="center"/>
    </xf>
    <xf numFmtId="165" fontId="11" fillId="0" borderId="0" xfId="7" applyNumberFormat="1" applyFont="1"/>
    <xf numFmtId="0" fontId="9" fillId="0" borderId="19" xfId="8" applyFont="1" applyFill="1" applyBorder="1" applyProtection="1"/>
    <xf numFmtId="0" fontId="9" fillId="0" borderId="19" xfId="8" applyFont="1" applyFill="1" applyBorder="1" applyAlignment="1" applyProtection="1">
      <alignment horizontal="center"/>
    </xf>
    <xf numFmtId="0" fontId="11" fillId="0" borderId="19" xfId="5" applyFont="1" applyFill="1" applyBorder="1" applyAlignment="1" applyProtection="1">
      <alignment horizontal="center"/>
    </xf>
    <xf numFmtId="0" fontId="11" fillId="6" borderId="3" xfId="5" quotePrefix="1" applyFont="1" applyProtection="1">
      <protection locked="0"/>
    </xf>
    <xf numFmtId="2" fontId="11" fillId="6" borderId="3" xfId="5" applyNumberFormat="1" applyFont="1" applyAlignment="1" applyProtection="1">
      <alignment horizontal="center"/>
      <protection locked="0"/>
    </xf>
    <xf numFmtId="165" fontId="16" fillId="5" borderId="1" xfId="3" applyNumberFormat="1" applyFont="1" applyAlignment="1" applyProtection="1">
      <alignment horizontal="center"/>
    </xf>
    <xf numFmtId="2" fontId="6" fillId="0" borderId="0" xfId="7" applyNumberFormat="1" applyFont="1"/>
    <xf numFmtId="166" fontId="22" fillId="0" borderId="0" xfId="7" applyNumberFormat="1" applyFont="1"/>
    <xf numFmtId="0" fontId="9" fillId="0" borderId="21" xfId="8" applyFont="1" applyFill="1" applyBorder="1" applyProtection="1"/>
    <xf numFmtId="0" fontId="9" fillId="0" borderId="18" xfId="8" applyFont="1" applyFill="1" applyBorder="1" applyAlignment="1" applyProtection="1">
      <alignment horizontal="center"/>
    </xf>
    <xf numFmtId="0" fontId="9" fillId="0" borderId="20" xfId="8" applyFont="1" applyFill="1" applyBorder="1" applyAlignment="1" applyProtection="1">
      <alignment horizontal="center"/>
    </xf>
    <xf numFmtId="0" fontId="9" fillId="0" borderId="21" xfId="8" applyFont="1" applyFill="1" applyBorder="1" applyAlignment="1" applyProtection="1">
      <alignment horizontal="center"/>
    </xf>
    <xf numFmtId="0" fontId="9" fillId="0" borderId="27" xfId="8" applyFont="1" applyFill="1" applyBorder="1" applyAlignment="1" applyProtection="1">
      <alignment horizontal="center"/>
    </xf>
    <xf numFmtId="0" fontId="9" fillId="0" borderId="24" xfId="8" applyFont="1" applyFill="1" applyBorder="1" applyAlignment="1" applyProtection="1">
      <alignment horizontal="center"/>
    </xf>
    <xf numFmtId="164" fontId="14" fillId="5" borderId="3" xfId="4" applyNumberFormat="1" applyFont="1" applyAlignment="1" applyProtection="1">
      <alignment horizontal="center"/>
    </xf>
    <xf numFmtId="0" fontId="6" fillId="0" borderId="5" xfId="7" applyFont="1" applyBorder="1" applyAlignment="1">
      <alignment horizontal="center"/>
    </xf>
    <xf numFmtId="0" fontId="23" fillId="0" borderId="0" xfId="6" applyFont="1" applyFill="1" applyBorder="1" applyProtection="1"/>
    <xf numFmtId="0" fontId="24" fillId="0" borderId="0" xfId="7" applyFont="1"/>
    <xf numFmtId="164" fontId="9" fillId="5" borderId="0" xfId="8" applyNumberFormat="1" applyFont="1" applyBorder="1" applyAlignment="1" applyProtection="1">
      <alignment horizontal="center"/>
    </xf>
    <xf numFmtId="2" fontId="14" fillId="5" borderId="3" xfId="4" applyNumberFormat="1" applyFont="1" applyAlignment="1" applyProtection="1">
      <alignment horizontal="center"/>
    </xf>
    <xf numFmtId="0" fontId="6" fillId="0" borderId="10" xfId="7" applyFont="1" applyBorder="1" applyAlignment="1">
      <alignment horizontal="center"/>
    </xf>
    <xf numFmtId="0" fontId="9" fillId="0" borderId="4" xfId="8" applyFont="1" applyFill="1" applyBorder="1" applyProtection="1"/>
    <xf numFmtId="0" fontId="7" fillId="0" borderId="6" xfId="7" applyFont="1" applyBorder="1"/>
    <xf numFmtId="0" fontId="7" fillId="0" borderId="4" xfId="7" applyFont="1" applyBorder="1" applyAlignment="1">
      <alignment horizontal="center"/>
    </xf>
    <xf numFmtId="0" fontId="25" fillId="0" borderId="0" xfId="7" applyFont="1"/>
    <xf numFmtId="0" fontId="9" fillId="0" borderId="7" xfId="8" applyFont="1" applyFill="1" applyBorder="1" applyProtection="1"/>
    <xf numFmtId="0" fontId="7" fillId="0" borderId="8" xfId="7" applyFont="1" applyBorder="1"/>
    <xf numFmtId="0" fontId="12" fillId="0" borderId="8" xfId="7" applyFont="1" applyBorder="1"/>
    <xf numFmtId="0" fontId="7" fillId="0" borderId="7" xfId="7" applyFont="1" applyBorder="1" applyAlignment="1">
      <alignment horizontal="center"/>
    </xf>
    <xf numFmtId="0" fontId="21" fillId="2" borderId="8" xfId="1" applyFont="1" applyFill="1" applyBorder="1" applyAlignment="1" applyProtection="1"/>
    <xf numFmtId="0" fontId="11" fillId="0" borderId="8" xfId="7" applyFont="1" applyBorder="1"/>
    <xf numFmtId="0" fontId="9" fillId="5" borderId="28" xfId="8" applyFont="1" applyBorder="1" applyAlignment="1" applyProtection="1">
      <alignment vertical="top"/>
    </xf>
    <xf numFmtId="0" fontId="9" fillId="5" borderId="29" xfId="8" applyFont="1" applyBorder="1" applyAlignment="1" applyProtection="1">
      <alignment vertical="top"/>
    </xf>
    <xf numFmtId="0" fontId="9" fillId="5" borderId="30" xfId="8" applyFont="1" applyBorder="1" applyAlignment="1" applyProtection="1">
      <alignment vertical="top"/>
    </xf>
    <xf numFmtId="0" fontId="9" fillId="5" borderId="30" xfId="8" applyFont="1" applyBorder="1" applyAlignment="1" applyProtection="1">
      <alignment horizontal="right" vertical="top"/>
    </xf>
    <xf numFmtId="0" fontId="9" fillId="0" borderId="31" xfId="8" applyFont="1" applyFill="1" applyBorder="1" applyProtection="1"/>
    <xf numFmtId="0" fontId="9" fillId="5" borderId="32" xfId="8" applyFont="1" applyBorder="1" applyAlignment="1" applyProtection="1">
      <alignment horizontal="right"/>
    </xf>
    <xf numFmtId="0" fontId="14" fillId="5" borderId="33" xfId="4" applyFont="1" applyBorder="1" applyAlignment="1" applyProtection="1">
      <alignment horizontal="right"/>
    </xf>
    <xf numFmtId="0" fontId="14" fillId="5" borderId="33" xfId="4" applyFont="1" applyBorder="1" applyAlignment="1" applyProtection="1">
      <alignment horizontal="center"/>
    </xf>
    <xf numFmtId="0" fontId="19" fillId="6" borderId="34" xfId="9" applyFont="1" applyFill="1" applyBorder="1" applyAlignment="1" applyProtection="1">
      <alignment vertical="top"/>
      <protection locked="0"/>
    </xf>
    <xf numFmtId="0" fontId="19" fillId="6" borderId="35" xfId="9" applyFont="1" applyFill="1" applyBorder="1" applyAlignment="1" applyProtection="1">
      <alignment vertical="top"/>
      <protection locked="0"/>
    </xf>
    <xf numFmtId="0" fontId="19" fillId="6" borderId="36" xfId="9" applyFont="1" applyFill="1" applyBorder="1" applyAlignment="1" applyProtection="1">
      <alignment vertical="top"/>
      <protection locked="0"/>
    </xf>
    <xf numFmtId="0" fontId="19" fillId="6" borderId="33" xfId="9" applyFont="1" applyFill="1" applyBorder="1" applyAlignment="1" applyProtection="1">
      <alignment horizontal="left" vertical="top"/>
      <protection locked="0"/>
    </xf>
    <xf numFmtId="0" fontId="9" fillId="0" borderId="33" xfId="8" applyFont="1" applyFill="1" applyBorder="1" applyAlignment="1" applyProtection="1">
      <alignment horizontal="left" vertical="center"/>
    </xf>
    <xf numFmtId="0" fontId="9" fillId="0" borderId="33" xfId="8" applyFont="1" applyFill="1" applyBorder="1" applyProtection="1"/>
    <xf numFmtId="0" fontId="9" fillId="0" borderId="37" xfId="8" applyFont="1" applyFill="1" applyBorder="1" applyProtection="1"/>
    <xf numFmtId="0" fontId="9" fillId="0" borderId="35" xfId="8" applyFont="1" applyFill="1" applyBorder="1" applyProtection="1"/>
    <xf numFmtId="0" fontId="19" fillId="3" borderId="33" xfId="9" applyFont="1" applyFill="1" applyBorder="1" applyAlignment="1" applyProtection="1">
      <alignment horizontal="right"/>
    </xf>
    <xf numFmtId="0" fontId="16" fillId="5" borderId="33" xfId="3" applyFont="1" applyBorder="1" applyAlignment="1" applyProtection="1">
      <alignment horizontal="center"/>
    </xf>
    <xf numFmtId="0" fontId="9" fillId="0" borderId="38" xfId="8" applyFont="1" applyFill="1" applyBorder="1" applyProtection="1"/>
    <xf numFmtId="0" fontId="16" fillId="5" borderId="39" xfId="3" applyFont="1" applyBorder="1" applyAlignment="1" applyProtection="1">
      <alignment horizontal="center"/>
    </xf>
    <xf numFmtId="165" fontId="16" fillId="5" borderId="33" xfId="3" applyNumberFormat="1" applyFont="1" applyBorder="1" applyAlignment="1" applyProtection="1">
      <alignment horizontal="center"/>
    </xf>
    <xf numFmtId="0" fontId="9" fillId="0" borderId="36" xfId="8" applyFont="1" applyFill="1" applyBorder="1" applyProtection="1"/>
    <xf numFmtId="0" fontId="14" fillId="5" borderId="36" xfId="4" applyFont="1" applyBorder="1" applyAlignment="1" applyProtection="1">
      <alignment horizontal="right"/>
    </xf>
    <xf numFmtId="0" fontId="14" fillId="5" borderId="33" xfId="4" applyFont="1" applyBorder="1" applyProtection="1"/>
    <xf numFmtId="165" fontId="10" fillId="0" borderId="0" xfId="8" applyNumberFormat="1" applyFont="1" applyFill="1" applyBorder="1" applyAlignment="1" applyProtection="1"/>
    <xf numFmtId="0" fontId="1" fillId="0" borderId="0" xfId="7" applyFont="1"/>
    <xf numFmtId="165" fontId="9" fillId="0" borderId="0" xfId="8" applyNumberFormat="1" applyFont="1" applyFill="1" applyBorder="1" applyAlignment="1" applyProtection="1">
      <alignment horizontal="center"/>
    </xf>
    <xf numFmtId="0" fontId="11" fillId="0" borderId="8" xfId="7" applyFont="1" applyBorder="1" applyAlignment="1">
      <alignment horizontal="center"/>
    </xf>
    <xf numFmtId="165" fontId="9" fillId="0" borderId="31" xfId="8" applyNumberFormat="1" applyFont="1" applyFill="1" applyBorder="1" applyAlignment="1" applyProtection="1">
      <alignment horizontal="center"/>
    </xf>
    <xf numFmtId="165" fontId="9" fillId="0" borderId="41" xfId="8" applyNumberFormat="1" applyFont="1" applyFill="1" applyBorder="1" applyAlignment="1" applyProtection="1">
      <alignment horizontal="center"/>
    </xf>
    <xf numFmtId="0" fontId="7" fillId="0" borderId="7" xfId="7" applyFont="1" applyBorder="1"/>
    <xf numFmtId="0" fontId="9" fillId="0" borderId="33" xfId="8" applyFont="1" applyFill="1" applyBorder="1" applyAlignment="1" applyProtection="1"/>
    <xf numFmtId="2" fontId="27" fillId="0" borderId="33" xfId="10" applyNumberFormat="1" applyFont="1" applyFill="1" applyBorder="1" applyAlignment="1" applyProtection="1">
      <alignment horizontal="center"/>
    </xf>
    <xf numFmtId="165" fontId="27" fillId="0" borderId="33" xfId="10" applyNumberFormat="1" applyFont="1" applyFill="1" applyBorder="1" applyAlignment="1" applyProtection="1">
      <alignment horizontal="center"/>
    </xf>
    <xf numFmtId="0" fontId="12" fillId="0" borderId="8" xfId="7" applyFont="1" applyBorder="1" applyAlignment="1">
      <alignment horizontal="center"/>
    </xf>
    <xf numFmtId="165" fontId="9" fillId="0" borderId="37" xfId="8" applyNumberFormat="1" applyFont="1" applyFill="1" applyBorder="1" applyAlignment="1" applyProtection="1">
      <alignment horizontal="center"/>
    </xf>
    <xf numFmtId="165" fontId="9" fillId="0" borderId="42" xfId="8" applyNumberFormat="1" applyFont="1" applyFill="1" applyBorder="1" applyAlignment="1" applyProtection="1">
      <alignment horizontal="center"/>
    </xf>
    <xf numFmtId="165" fontId="27" fillId="3" borderId="33" xfId="10" applyNumberFormat="1" applyFont="1" applyFill="1" applyBorder="1" applyAlignment="1" applyProtection="1">
      <alignment horizontal="center"/>
    </xf>
    <xf numFmtId="165" fontId="27" fillId="3" borderId="36" xfId="10" applyNumberFormat="1" applyFont="1" applyFill="1" applyBorder="1" applyAlignment="1" applyProtection="1">
      <alignment horizontal="center"/>
    </xf>
    <xf numFmtId="1" fontId="27" fillId="3" borderId="33" xfId="10" applyNumberFormat="1" applyFont="1" applyFill="1" applyBorder="1" applyAlignment="1" applyProtection="1">
      <alignment horizontal="center"/>
    </xf>
    <xf numFmtId="167" fontId="11" fillId="0" borderId="8" xfId="7" applyNumberFormat="1" applyFont="1" applyBorder="1" applyAlignment="1">
      <alignment horizontal="center"/>
    </xf>
    <xf numFmtId="168" fontId="27" fillId="0" borderId="33" xfId="10" applyNumberFormat="1" applyFont="1" applyFill="1" applyBorder="1" applyAlignment="1" applyProtection="1">
      <alignment horizontal="center"/>
    </xf>
    <xf numFmtId="0" fontId="11" fillId="0" borderId="8" xfId="7" applyFont="1" applyBorder="1" applyAlignment="1">
      <alignment horizontal="left"/>
    </xf>
    <xf numFmtId="0" fontId="16" fillId="5" borderId="1" xfId="3" applyFont="1" applyAlignment="1" applyProtection="1">
      <alignment horizontal="center" vertical="center"/>
    </xf>
    <xf numFmtId="0" fontId="16" fillId="5" borderId="1" xfId="3" applyFont="1" applyProtection="1"/>
    <xf numFmtId="0" fontId="0" fillId="0" borderId="0" xfId="7" applyFont="1"/>
    <xf numFmtId="168" fontId="27" fillId="0" borderId="42" xfId="10" applyNumberFormat="1" applyFont="1" applyFill="1" applyBorder="1" applyAlignment="1" applyProtection="1">
      <alignment horizontal="center"/>
    </xf>
    <xf numFmtId="168" fontId="27" fillId="0" borderId="37" xfId="10" applyNumberFormat="1" applyFont="1" applyFill="1" applyBorder="1" applyAlignment="1" applyProtection="1">
      <alignment horizontal="center"/>
    </xf>
    <xf numFmtId="165" fontId="27" fillId="0" borderId="37" xfId="10" applyNumberFormat="1" applyFont="1" applyFill="1" applyBorder="1" applyAlignment="1" applyProtection="1">
      <alignment horizontal="center"/>
    </xf>
    <xf numFmtId="168" fontId="27" fillId="0" borderId="36" xfId="10" applyNumberFormat="1" applyFont="1" applyFill="1" applyBorder="1" applyProtection="1"/>
    <xf numFmtId="168" fontId="27" fillId="0" borderId="33" xfId="10" applyNumberFormat="1" applyFont="1" applyFill="1" applyBorder="1" applyProtection="1"/>
    <xf numFmtId="165" fontId="27" fillId="0" borderId="33" xfId="10" applyNumberFormat="1" applyFont="1" applyFill="1" applyBorder="1" applyProtection="1"/>
    <xf numFmtId="166" fontId="11" fillId="0" borderId="0" xfId="7" applyNumberFormat="1" applyFont="1"/>
    <xf numFmtId="166" fontId="12" fillId="0" borderId="0" xfId="7" applyNumberFormat="1" applyFont="1"/>
    <xf numFmtId="166" fontId="24" fillId="0" borderId="0" xfId="7" applyNumberFormat="1" applyFont="1" applyAlignment="1">
      <alignment horizontal="center"/>
    </xf>
    <xf numFmtId="0" fontId="25" fillId="0" borderId="8" xfId="7" applyFont="1" applyBorder="1" applyAlignment="1">
      <alignment horizontal="center"/>
    </xf>
    <xf numFmtId="0" fontId="9" fillId="0" borderId="40" xfId="8" applyFont="1" applyFill="1" applyBorder="1" applyAlignment="1" applyProtection="1">
      <alignment horizontal="left"/>
    </xf>
    <xf numFmtId="0" fontId="9" fillId="0" borderId="41" xfId="8" applyFont="1" applyFill="1" applyBorder="1" applyProtection="1"/>
    <xf numFmtId="169" fontId="31" fillId="0" borderId="0" xfId="7" applyNumberFormat="1" applyFont="1" applyAlignment="1">
      <alignment horizontal="center"/>
    </xf>
    <xf numFmtId="167" fontId="22" fillId="0" borderId="8" xfId="7" applyNumberFormat="1" applyFont="1" applyBorder="1" applyAlignment="1">
      <alignment horizontal="center"/>
    </xf>
    <xf numFmtId="0" fontId="9" fillId="0" borderId="43" xfId="8" applyFont="1" applyFill="1" applyBorder="1" applyAlignment="1" applyProtection="1">
      <alignment horizontal="left"/>
    </xf>
    <xf numFmtId="0" fontId="9" fillId="0" borderId="44" xfId="8" applyFont="1" applyFill="1" applyBorder="1" applyProtection="1"/>
    <xf numFmtId="170" fontId="31" fillId="0" borderId="0" xfId="7" applyNumberFormat="1" applyFont="1" applyAlignment="1">
      <alignment horizontal="center"/>
    </xf>
    <xf numFmtId="166" fontId="22" fillId="0" borderId="44" xfId="7" applyNumberFormat="1" applyFont="1" applyBorder="1"/>
    <xf numFmtId="0" fontId="7" fillId="0" borderId="7" xfId="11" applyFont="1" applyBorder="1"/>
    <xf numFmtId="0" fontId="9" fillId="0" borderId="45" xfId="8" applyFont="1" applyFill="1" applyBorder="1" applyAlignment="1" applyProtection="1">
      <alignment horizontal="left"/>
    </xf>
    <xf numFmtId="166" fontId="24" fillId="0" borderId="42" xfId="7" applyNumberFormat="1" applyFont="1" applyBorder="1" applyAlignment="1">
      <alignment horizontal="center"/>
    </xf>
    <xf numFmtId="0" fontId="7" fillId="0" borderId="10" xfId="7" applyFont="1" applyBorder="1"/>
    <xf numFmtId="166" fontId="22" fillId="0" borderId="10" xfId="7" applyNumberFormat="1" applyFont="1" applyBorder="1" applyAlignment="1">
      <alignment horizontal="center"/>
    </xf>
    <xf numFmtId="0" fontId="24" fillId="0" borderId="10" xfId="7" applyFont="1" applyBorder="1" applyAlignment="1">
      <alignment horizontal="center"/>
    </xf>
    <xf numFmtId="166" fontId="24" fillId="0" borderId="10" xfId="7" applyNumberFormat="1" applyFont="1" applyBorder="1" applyAlignment="1">
      <alignment horizontal="center"/>
    </xf>
    <xf numFmtId="0" fontId="25" fillId="0" borderId="11" xfId="7" applyFont="1" applyBorder="1" applyAlignment="1">
      <alignment horizontal="center"/>
    </xf>
    <xf numFmtId="166" fontId="22" fillId="0" borderId="0" xfId="7" applyNumberFormat="1" applyFont="1" applyAlignment="1">
      <alignment horizontal="center"/>
    </xf>
    <xf numFmtId="170" fontId="22" fillId="0" borderId="0" xfId="7" applyNumberFormat="1" applyFont="1" applyAlignment="1">
      <alignment horizontal="center"/>
    </xf>
    <xf numFmtId="167" fontId="22" fillId="0" borderId="0" xfId="7" applyNumberFormat="1" applyFont="1" applyAlignment="1">
      <alignment horizontal="center"/>
    </xf>
    <xf numFmtId="169" fontId="22" fillId="0" borderId="0" xfId="7" applyNumberFormat="1" applyFont="1" applyAlignment="1">
      <alignment horizontal="center"/>
    </xf>
    <xf numFmtId="0" fontId="14" fillId="5" borderId="3" xfId="4" applyFont="1" applyAlignment="1" applyProtection="1">
      <alignment horizontal="center" vertical="center"/>
    </xf>
    <xf numFmtId="0" fontId="7" fillId="0" borderId="10" xfId="7" applyFont="1" applyBorder="1" applyAlignment="1">
      <alignment horizontal="center"/>
    </xf>
    <xf numFmtId="0" fontId="7" fillId="0" borderId="11" xfId="7" applyFont="1" applyBorder="1"/>
    <xf numFmtId="2" fontId="14" fillId="5" borderId="3" xfId="4" applyNumberFormat="1" applyFont="1" applyAlignment="1" applyProtection="1">
      <alignment horizontal="center" vertical="center"/>
    </xf>
    <xf numFmtId="164" fontId="16" fillId="5" borderId="1" xfId="3" applyNumberFormat="1" applyFont="1" applyProtection="1"/>
    <xf numFmtId="0" fontId="7" fillId="0" borderId="9" xfId="7" applyFont="1" applyBorder="1" applyAlignment="1">
      <alignment horizontal="center"/>
    </xf>
    <xf numFmtId="0" fontId="35" fillId="2" borderId="0" xfId="1" applyFont="1" applyFill="1" applyProtection="1"/>
    <xf numFmtId="0" fontId="9" fillId="5" borderId="18" xfId="8" applyFont="1" applyBorder="1" applyAlignment="1" applyProtection="1">
      <alignment horizontal="center"/>
    </xf>
    <xf numFmtId="0" fontId="9" fillId="5" borderId="19" xfId="8" applyFont="1" applyBorder="1" applyAlignment="1" applyProtection="1">
      <alignment horizontal="center"/>
    </xf>
    <xf numFmtId="0" fontId="9" fillId="5" borderId="20" xfId="8" applyFont="1" applyBorder="1" applyAlignment="1" applyProtection="1">
      <alignment horizontal="center"/>
    </xf>
    <xf numFmtId="0" fontId="9" fillId="0" borderId="5" xfId="18" applyFont="1" applyFill="1" applyBorder="1" applyProtection="1"/>
    <xf numFmtId="0" fontId="9" fillId="0" borderId="5" xfId="18" applyFont="1" applyFill="1" applyBorder="1" applyAlignment="1" applyProtection="1">
      <alignment horizontal="center"/>
    </xf>
    <xf numFmtId="0" fontId="16" fillId="5" borderId="5" xfId="19" applyFont="1" applyBorder="1" applyAlignment="1" applyProtection="1">
      <alignment horizontal="center"/>
    </xf>
    <xf numFmtId="0" fontId="10" fillId="0" borderId="0" xfId="18" applyFont="1" applyFill="1" applyBorder="1" applyProtection="1"/>
    <xf numFmtId="0" fontId="9" fillId="0" borderId="0" xfId="18" applyFont="1" applyFill="1" applyBorder="1" applyProtection="1"/>
    <xf numFmtId="0" fontId="9" fillId="0" borderId="0" xfId="18" applyFont="1" applyFill="1" applyBorder="1" applyAlignment="1" applyProtection="1">
      <alignment horizontal="center"/>
    </xf>
    <xf numFmtId="0" fontId="30" fillId="5" borderId="1" xfId="19" applyFont="1" applyAlignment="1" applyProtection="1">
      <alignment horizontal="center"/>
    </xf>
    <xf numFmtId="164" fontId="30" fillId="5" borderId="1" xfId="19" applyNumberFormat="1" applyFont="1" applyAlignment="1" applyProtection="1">
      <alignment horizontal="center"/>
    </xf>
    <xf numFmtId="0" fontId="9" fillId="0" borderId="10" xfId="18" applyFont="1" applyFill="1" applyBorder="1" applyProtection="1"/>
    <xf numFmtId="0" fontId="9" fillId="0" borderId="10" xfId="18" applyFont="1" applyFill="1" applyBorder="1" applyAlignment="1" applyProtection="1">
      <alignment horizontal="center"/>
    </xf>
    <xf numFmtId="0" fontId="16" fillId="5" borderId="10" xfId="19" applyFont="1" applyBorder="1" applyAlignment="1" applyProtection="1">
      <alignment horizontal="center"/>
    </xf>
    <xf numFmtId="0" fontId="9" fillId="3" borderId="1" xfId="20" applyFont="1" applyAlignment="1" applyProtection="1">
      <alignment horizontal="center"/>
      <protection locked="0"/>
    </xf>
    <xf numFmtId="2" fontId="9" fillId="3" borderId="1" xfId="20" applyNumberFormat="1" applyFont="1" applyAlignment="1" applyProtection="1">
      <alignment horizontal="center"/>
      <protection locked="0"/>
    </xf>
    <xf numFmtId="0" fontId="9" fillId="0" borderId="0" xfId="8" applyFont="1" applyFill="1" applyBorder="1" applyAlignment="1" applyProtection="1">
      <alignment horizontal="center"/>
    </xf>
    <xf numFmtId="0" fontId="9" fillId="3" borderId="1" xfId="2" applyFont="1" applyAlignment="1" applyProtection="1">
      <alignment horizontal="center"/>
      <protection locked="0"/>
    </xf>
    <xf numFmtId="0" fontId="9" fillId="3" borderId="1" xfId="2" applyFont="1" applyAlignment="1" applyProtection="1">
      <alignment horizontal="center"/>
      <protection locked="0"/>
    </xf>
    <xf numFmtId="0" fontId="9" fillId="3" borderId="12" xfId="2" applyFont="1" applyBorder="1" applyAlignment="1" applyProtection="1">
      <alignment horizontal="center"/>
      <protection locked="0"/>
    </xf>
    <xf numFmtId="0" fontId="9" fillId="3" borderId="13" xfId="2" applyFont="1" applyBorder="1" applyAlignment="1" applyProtection="1">
      <alignment horizontal="center"/>
      <protection locked="0"/>
    </xf>
    <xf numFmtId="0" fontId="9" fillId="3" borderId="14" xfId="2" applyFont="1" applyBorder="1" applyAlignment="1" applyProtection="1">
      <alignment horizontal="center"/>
      <protection locked="0"/>
    </xf>
    <xf numFmtId="0" fontId="9" fillId="3" borderId="16" xfId="2" applyFont="1" applyBorder="1" applyAlignment="1" applyProtection="1">
      <alignment horizontal="center" vertical="top" textRotation="90" wrapText="1"/>
      <protection locked="0"/>
    </xf>
    <xf numFmtId="0" fontId="9" fillId="3" borderId="17" xfId="2" applyFont="1" applyBorder="1" applyAlignment="1" applyProtection="1">
      <alignment horizontal="center" vertical="top" textRotation="90" wrapText="1"/>
      <protection locked="0"/>
    </xf>
    <xf numFmtId="0" fontId="9" fillId="3" borderId="23" xfId="2" applyFont="1" applyBorder="1" applyAlignment="1" applyProtection="1">
      <alignment horizontal="center" vertical="top" textRotation="90" wrapText="1"/>
      <protection locked="0"/>
    </xf>
    <xf numFmtId="0" fontId="9" fillId="0" borderId="18" xfId="8" applyFont="1" applyFill="1" applyBorder="1" applyAlignment="1" applyProtection="1">
      <alignment horizontal="center" vertical="center"/>
    </xf>
    <xf numFmtId="0" fontId="9" fillId="0" borderId="19" xfId="8" applyFont="1" applyFill="1" applyBorder="1" applyAlignment="1" applyProtection="1">
      <alignment horizontal="center" vertical="center"/>
    </xf>
    <xf numFmtId="0" fontId="9" fillId="0" borderId="20" xfId="8" applyFont="1" applyFill="1" applyBorder="1" applyAlignment="1" applyProtection="1">
      <alignment horizontal="center" vertical="center"/>
    </xf>
    <xf numFmtId="0" fontId="9" fillId="0" borderId="21" xfId="8" applyFont="1" applyFill="1" applyBorder="1" applyAlignment="1" applyProtection="1">
      <alignment horizontal="center" vertical="center"/>
    </xf>
    <xf numFmtId="0" fontId="9" fillId="0" borderId="24" xfId="8" applyFont="1" applyFill="1" applyBorder="1" applyAlignment="1" applyProtection="1">
      <alignment horizontal="center" vertical="center"/>
    </xf>
    <xf numFmtId="0" fontId="9" fillId="0" borderId="22" xfId="8" applyFont="1" applyFill="1" applyBorder="1" applyAlignment="1" applyProtection="1">
      <alignment horizontal="center" vertical="center"/>
    </xf>
    <xf numFmtId="0" fontId="9" fillId="0" borderId="43" xfId="8" applyFont="1" applyFill="1" applyBorder="1" applyAlignment="1" applyProtection="1">
      <alignment horizontal="center"/>
    </xf>
    <xf numFmtId="0" fontId="9" fillId="0" borderId="0" xfId="8" applyFont="1" applyFill="1" applyBorder="1" applyAlignment="1" applyProtection="1">
      <alignment horizontal="center"/>
    </xf>
    <xf numFmtId="0" fontId="9" fillId="0" borderId="44" xfId="8" applyFont="1" applyFill="1" applyBorder="1" applyAlignment="1" applyProtection="1">
      <alignment horizontal="center"/>
    </xf>
    <xf numFmtId="0" fontId="9" fillId="0" borderId="45" xfId="8" applyFont="1" applyFill="1" applyBorder="1" applyAlignment="1" applyProtection="1">
      <alignment horizontal="center"/>
    </xf>
    <xf numFmtId="0" fontId="9" fillId="0" borderId="46" xfId="8" applyFont="1" applyFill="1" applyBorder="1" applyAlignment="1" applyProtection="1">
      <alignment horizontal="center"/>
    </xf>
    <xf numFmtId="0" fontId="9" fillId="0" borderId="42" xfId="8" applyFont="1" applyFill="1" applyBorder="1" applyAlignment="1" applyProtection="1">
      <alignment horizontal="center"/>
    </xf>
    <xf numFmtId="0" fontId="9" fillId="0" borderId="25" xfId="8" applyFont="1" applyFill="1" applyBorder="1" applyAlignment="1" applyProtection="1">
      <alignment horizontal="center" vertical="center"/>
    </xf>
    <xf numFmtId="0" fontId="9" fillId="0" borderId="26" xfId="8" applyFont="1" applyFill="1" applyBorder="1" applyAlignment="1" applyProtection="1">
      <alignment horizontal="center" vertical="center"/>
    </xf>
    <xf numFmtId="0" fontId="9" fillId="0" borderId="40" xfId="8" applyFont="1" applyFill="1" applyBorder="1" applyAlignment="1" applyProtection="1">
      <alignment horizontal="center"/>
    </xf>
    <xf numFmtId="0" fontId="9" fillId="0" borderId="32" xfId="8" applyFont="1" applyFill="1" applyBorder="1" applyAlignment="1" applyProtection="1">
      <alignment horizontal="center"/>
    </xf>
    <xf numFmtId="0" fontId="9" fillId="0" borderId="41" xfId="8" applyFont="1" applyFill="1" applyBorder="1" applyAlignment="1" applyProtection="1">
      <alignment horizontal="center"/>
    </xf>
  </cellXfs>
  <cellStyles count="21">
    <cellStyle name="Calculation" xfId="3" builtinId="22"/>
    <cellStyle name="Calculation 2" xfId="19" xr:uid="{00000000-0005-0000-0000-000001000000}"/>
    <cellStyle name="Corporate Data" xfId="12" xr:uid="{00000000-0005-0000-0000-000002000000}"/>
    <cellStyle name="Default" xfId="9" xr:uid="{00000000-0005-0000-0000-000003000000}"/>
    <cellStyle name="Expert Judgement" xfId="10" xr:uid="{00000000-0005-0000-0000-000004000000}"/>
    <cellStyle name="Explanatory Text" xfId="6" builtinId="53"/>
    <cellStyle name="Fixed" xfId="8" xr:uid="{00000000-0005-0000-0000-000006000000}"/>
    <cellStyle name="Fixed 2" xfId="18" xr:uid="{00000000-0005-0000-0000-000007000000}"/>
    <cellStyle name="Heading 4" xfId="1" builtinId="19"/>
    <cellStyle name="Input" xfId="2" builtinId="20"/>
    <cellStyle name="Input 2" xfId="20" xr:uid="{00000000-0005-0000-0000-00000A000000}"/>
    <cellStyle name="Linked Cell" xfId="4" builtinId="24"/>
    <cellStyle name="Macro" xfId="13" xr:uid="{00000000-0005-0000-0000-00000C000000}"/>
    <cellStyle name="Normal" xfId="0" builtinId="0"/>
    <cellStyle name="Normal 2" xfId="7" xr:uid="{00000000-0005-0000-0000-00000E000000}"/>
    <cellStyle name="Normal 3" xfId="14" xr:uid="{00000000-0005-0000-0000-00000F000000}"/>
    <cellStyle name="Normal_Mech Calc 05 - Wellpark PS" xfId="11" xr:uid="{00000000-0005-0000-0000-000010000000}"/>
    <cellStyle name="Note" xfId="5" builtinId="10"/>
    <cellStyle name="Percent 2" xfId="15" xr:uid="{00000000-0005-0000-0000-000012000000}"/>
    <cellStyle name="Table Border" xfId="16" xr:uid="{00000000-0005-0000-0000-000013000000}"/>
    <cellStyle name="Table Formatting" xfId="17" xr:uid="{00000000-0005-0000-0000-000014000000}"/>
  </cellStyles>
  <dxfs count="1">
    <dxf>
      <font>
        <color theme="0"/>
      </font>
      <fill>
        <patternFill patternType="none">
          <bgColor auto="1"/>
        </patternFill>
      </fill>
      <border>
        <left/>
        <right/>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37</xdr:col>
      <xdr:colOff>23813</xdr:colOff>
      <xdr:row>2</xdr:row>
      <xdr:rowOff>0</xdr:rowOff>
    </xdr:from>
    <xdr:to>
      <xdr:col>45</xdr:col>
      <xdr:colOff>729449</xdr:colOff>
      <xdr:row>71</xdr:row>
      <xdr:rowOff>3309</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6763" y="1457325"/>
          <a:ext cx="7516011" cy="108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1619250</xdr:colOff>
      <xdr:row>2</xdr:row>
      <xdr:rowOff>0</xdr:rowOff>
    </xdr:from>
    <xdr:to>
      <xdr:col>55</xdr:col>
      <xdr:colOff>551882</xdr:colOff>
      <xdr:row>71</xdr:row>
      <xdr:rowOff>69530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13450" y="1457325"/>
          <a:ext cx="7390832" cy="10948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381000</xdr:colOff>
      <xdr:row>2</xdr:row>
      <xdr:rowOff>0</xdr:rowOff>
    </xdr:from>
    <xdr:to>
      <xdr:col>69</xdr:col>
      <xdr:colOff>107826</xdr:colOff>
      <xdr:row>71</xdr:row>
      <xdr:rowOff>98442</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262050" y="1457325"/>
          <a:ext cx="7899276" cy="10977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69</xdr:col>
      <xdr:colOff>381000</xdr:colOff>
      <xdr:row>2</xdr:row>
      <xdr:rowOff>0</xdr:rowOff>
    </xdr:from>
    <xdr:to>
      <xdr:col>82</xdr:col>
      <xdr:colOff>357187</xdr:colOff>
      <xdr:row>71</xdr:row>
      <xdr:rowOff>71579</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7434500" y="1457325"/>
          <a:ext cx="8320087" cy="10950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ettingsSheet">
    <tabColor theme="1"/>
  </sheetPr>
  <dimension ref="A1:G66"/>
  <sheetViews>
    <sheetView view="pageBreakPreview" topLeftCell="A13" zoomScale="70" zoomScaleNormal="100" zoomScaleSheetLayoutView="70" workbookViewId="0">
      <selection activeCell="H48" sqref="H48"/>
    </sheetView>
  </sheetViews>
  <sheetFormatPr defaultColWidth="9.140625" defaultRowHeight="15"/>
  <cols>
    <col min="1" max="1" width="5.140625" style="1" customWidth="1"/>
    <col min="2" max="2" width="82.7109375" customWidth="1"/>
    <col min="3" max="9" width="9.140625" customWidth="1"/>
  </cols>
  <sheetData>
    <row r="1" spans="1:3" ht="15.75">
      <c r="B1" s="204" t="s">
        <v>0</v>
      </c>
    </row>
    <row r="2" spans="1:3" ht="4.5" customHeight="1"/>
    <row r="3" spans="1:3">
      <c r="A3" s="2">
        <v>1</v>
      </c>
      <c r="B3" s="3" t="s">
        <v>1</v>
      </c>
    </row>
    <row r="4" spans="1:3">
      <c r="A4" s="1">
        <f>A3+0.1</f>
        <v>1.1000000000000001</v>
      </c>
      <c r="B4" s="4" t="s">
        <v>2</v>
      </c>
      <c r="C4" s="5"/>
    </row>
    <row r="5" spans="1:3">
      <c r="A5" s="1">
        <f t="shared" ref="A5:A8" si="0">A4+0.1</f>
        <v>1.2000000000000002</v>
      </c>
      <c r="B5" s="4" t="s">
        <v>3</v>
      </c>
      <c r="C5" s="5"/>
    </row>
    <row r="6" spans="1:3">
      <c r="A6" s="1">
        <f t="shared" si="0"/>
        <v>1.3000000000000003</v>
      </c>
      <c r="B6" s="4" t="s">
        <v>4</v>
      </c>
      <c r="C6" s="5"/>
    </row>
    <row r="7" spans="1:3">
      <c r="A7" s="1">
        <f t="shared" si="0"/>
        <v>1.4000000000000004</v>
      </c>
      <c r="B7" s="4" t="s">
        <v>5</v>
      </c>
      <c r="C7" s="5"/>
    </row>
    <row r="8" spans="1:3" ht="51">
      <c r="A8" s="1">
        <f t="shared" si="0"/>
        <v>1.5000000000000004</v>
      </c>
      <c r="B8" s="4" t="s">
        <v>6</v>
      </c>
      <c r="C8" s="5"/>
    </row>
    <row r="9" spans="1:3" ht="3.75" customHeight="1">
      <c r="A9" s="1" t="e">
        <f>#REF!+0.1</f>
        <v>#REF!</v>
      </c>
      <c r="C9" s="6"/>
    </row>
    <row r="10" spans="1:3">
      <c r="A10" s="2">
        <v>2</v>
      </c>
      <c r="B10" s="3" t="s">
        <v>7</v>
      </c>
      <c r="C10" s="6"/>
    </row>
    <row r="11" spans="1:3" ht="38.25">
      <c r="A11" s="1">
        <f>A10+0.1</f>
        <v>2.1</v>
      </c>
      <c r="B11" s="4" t="s">
        <v>8</v>
      </c>
      <c r="C11" s="5"/>
    </row>
    <row r="12" spans="1:3" ht="38.25">
      <c r="A12" s="1">
        <f t="shared" ref="A12:A18" si="1">A11+0.1</f>
        <v>2.2000000000000002</v>
      </c>
      <c r="B12" s="4" t="s">
        <v>9</v>
      </c>
      <c r="C12" s="5"/>
    </row>
    <row r="13" spans="1:3" ht="25.5">
      <c r="A13" s="1">
        <f t="shared" si="1"/>
        <v>2.3000000000000003</v>
      </c>
      <c r="B13" s="4" t="s">
        <v>10</v>
      </c>
      <c r="C13" s="5"/>
    </row>
    <row r="14" spans="1:3">
      <c r="A14" s="1">
        <f t="shared" si="1"/>
        <v>2.4000000000000004</v>
      </c>
      <c r="B14" s="4" t="s">
        <v>11</v>
      </c>
      <c r="C14" s="5"/>
    </row>
    <row r="15" spans="1:3">
      <c r="A15" s="1">
        <f t="shared" si="1"/>
        <v>2.5000000000000004</v>
      </c>
      <c r="B15" s="4" t="s">
        <v>12</v>
      </c>
      <c r="C15" s="5"/>
    </row>
    <row r="16" spans="1:3" ht="51">
      <c r="A16" s="1">
        <f t="shared" si="1"/>
        <v>2.6000000000000005</v>
      </c>
      <c r="B16" s="4" t="s">
        <v>13</v>
      </c>
      <c r="C16" s="5"/>
    </row>
    <row r="17" spans="1:3" ht="25.5">
      <c r="A17" s="1">
        <f t="shared" si="1"/>
        <v>2.7000000000000006</v>
      </c>
      <c r="B17" s="4" t="s">
        <v>14</v>
      </c>
      <c r="C17" s="5"/>
    </row>
    <row r="18" spans="1:3" ht="25.5">
      <c r="A18" s="1">
        <f t="shared" si="1"/>
        <v>2.8000000000000007</v>
      </c>
      <c r="B18" s="4" t="s">
        <v>15</v>
      </c>
      <c r="C18" s="5"/>
    </row>
    <row r="19" spans="1:3" ht="3.75" customHeight="1">
      <c r="C19" s="6"/>
    </row>
    <row r="20" spans="1:3">
      <c r="A20" s="2">
        <v>3</v>
      </c>
      <c r="B20" s="3" t="s">
        <v>16</v>
      </c>
      <c r="C20" s="6"/>
    </row>
    <row r="21" spans="1:3">
      <c r="A21" s="1">
        <f>A20+0.1</f>
        <v>3.1</v>
      </c>
      <c r="B21" s="4" t="s">
        <v>17</v>
      </c>
      <c r="C21" s="5"/>
    </row>
    <row r="22" spans="1:3">
      <c r="A22" s="1">
        <f t="shared" ref="A22:A23" si="2">A21+0.1</f>
        <v>3.2</v>
      </c>
      <c r="B22" s="4" t="s">
        <v>18</v>
      </c>
      <c r="C22" s="5"/>
    </row>
    <row r="23" spans="1:3">
      <c r="A23" s="1">
        <f t="shared" si="2"/>
        <v>3.3000000000000003</v>
      </c>
      <c r="B23" s="4" t="s">
        <v>19</v>
      </c>
      <c r="C23" s="5"/>
    </row>
    <row r="24" spans="1:3" ht="3.75" customHeight="1">
      <c r="C24" s="6"/>
    </row>
    <row r="25" spans="1:3">
      <c r="A25" s="2">
        <v>4</v>
      </c>
      <c r="B25" s="3" t="s">
        <v>20</v>
      </c>
      <c r="C25" s="6"/>
    </row>
    <row r="26" spans="1:3" ht="25.5">
      <c r="A26" s="1">
        <f>A25+0.1</f>
        <v>4.0999999999999996</v>
      </c>
      <c r="B26" s="4" t="s">
        <v>21</v>
      </c>
      <c r="C26" s="5"/>
    </row>
    <row r="27" spans="1:3" ht="3.75" customHeight="1"/>
    <row r="28" spans="1:3">
      <c r="A28" s="2">
        <v>5</v>
      </c>
      <c r="B28" s="7" t="s">
        <v>22</v>
      </c>
    </row>
    <row r="29" spans="1:3">
      <c r="A29" s="1">
        <f>A28+0.1</f>
        <v>5.0999999999999996</v>
      </c>
      <c r="B29" s="8" t="s">
        <v>23</v>
      </c>
    </row>
    <row r="30" spans="1:3" ht="25.5">
      <c r="A30" s="1">
        <f t="shared" ref="A30" si="3">A29+0.1</f>
        <v>5.1999999999999993</v>
      </c>
      <c r="B30" s="8" t="s">
        <v>24</v>
      </c>
    </row>
    <row r="31" spans="1:3" ht="3.75" customHeight="1"/>
    <row r="32" spans="1:3">
      <c r="A32" s="2">
        <v>6</v>
      </c>
      <c r="B32" s="7" t="s">
        <v>25</v>
      </c>
    </row>
    <row r="33" spans="1:2" ht="25.5">
      <c r="A33" s="1">
        <f>A32+0.1</f>
        <v>6.1</v>
      </c>
      <c r="B33" s="8" t="s">
        <v>26</v>
      </c>
    </row>
    <row r="34" spans="1:2" ht="51">
      <c r="A34" s="1">
        <f t="shared" ref="A34:A36" si="4">A33+0.1</f>
        <v>6.1999999999999993</v>
      </c>
      <c r="B34" s="8" t="s">
        <v>27</v>
      </c>
    </row>
    <row r="35" spans="1:2" ht="25.5">
      <c r="A35" s="1">
        <f t="shared" si="4"/>
        <v>6.2999999999999989</v>
      </c>
      <c r="B35" s="9" t="s">
        <v>28</v>
      </c>
    </row>
    <row r="36" spans="1:2">
      <c r="A36" s="1">
        <f t="shared" si="4"/>
        <v>6.3999999999999986</v>
      </c>
      <c r="B36" s="9" t="s">
        <v>29</v>
      </c>
    </row>
    <row r="37" spans="1:2" ht="3.75" customHeight="1">
      <c r="A37" s="1" t="e">
        <f>#REF!+0.1</f>
        <v>#REF!</v>
      </c>
    </row>
    <row r="38" spans="1:2">
      <c r="A38" s="2">
        <v>7</v>
      </c>
      <c r="B38" s="10" t="s">
        <v>30</v>
      </c>
    </row>
    <row r="39" spans="1:2">
      <c r="A39" s="1">
        <f t="shared" ref="A39:A41" si="5">A38+0.1</f>
        <v>7.1</v>
      </c>
      <c r="B39" s="9" t="s">
        <v>31</v>
      </c>
    </row>
    <row r="40" spans="1:2">
      <c r="A40" s="1">
        <f t="shared" si="5"/>
        <v>7.1999999999999993</v>
      </c>
      <c r="B40" s="9" t="s">
        <v>32</v>
      </c>
    </row>
    <row r="41" spans="1:2">
      <c r="A41" s="1">
        <f t="shared" si="5"/>
        <v>7.2999999999999989</v>
      </c>
      <c r="B41" s="9" t="s">
        <v>33</v>
      </c>
    </row>
    <row r="42" spans="1:2" ht="3.75" customHeight="1"/>
    <row r="43" spans="1:2">
      <c r="A43" s="2">
        <v>8</v>
      </c>
      <c r="B43" s="10" t="s">
        <v>34</v>
      </c>
    </row>
    <row r="44" spans="1:2">
      <c r="A44" s="1">
        <f t="shared" ref="A44:A47" si="6">A43+0.1</f>
        <v>8.1</v>
      </c>
      <c r="B44" s="9" t="s">
        <v>35</v>
      </c>
    </row>
    <row r="45" spans="1:2">
      <c r="A45" s="1">
        <f t="shared" si="6"/>
        <v>8.1999999999999993</v>
      </c>
      <c r="B45" s="9" t="s">
        <v>36</v>
      </c>
    </row>
    <row r="46" spans="1:2" ht="25.5">
      <c r="A46" s="1">
        <f t="shared" si="6"/>
        <v>8.2999999999999989</v>
      </c>
      <c r="B46" s="9" t="s">
        <v>37</v>
      </c>
    </row>
    <row r="47" spans="1:2">
      <c r="A47" s="1">
        <f t="shared" si="6"/>
        <v>8.3999999999999986</v>
      </c>
      <c r="B47" s="9" t="s">
        <v>38</v>
      </c>
    </row>
    <row r="48" spans="1:2" ht="3.75" customHeight="1"/>
    <row r="49" spans="1:7">
      <c r="A49" s="2">
        <v>9</v>
      </c>
      <c r="B49" s="10" t="s">
        <v>39</v>
      </c>
    </row>
    <row r="50" spans="1:7" ht="25.5">
      <c r="A50" s="1">
        <f t="shared" ref="A50:A51" si="7">A49+0.1</f>
        <v>9.1</v>
      </c>
      <c r="B50" s="9" t="s">
        <v>40</v>
      </c>
    </row>
    <row r="51" spans="1:7" ht="25.5">
      <c r="A51" s="1">
        <f t="shared" si="7"/>
        <v>9.1999999999999993</v>
      </c>
      <c r="B51" s="9" t="s">
        <v>41</v>
      </c>
    </row>
    <row r="52" spans="1:7">
      <c r="G52" s="11"/>
    </row>
    <row r="53" spans="1:7">
      <c r="G53" s="11"/>
    </row>
    <row r="54" spans="1:7">
      <c r="G54" s="11"/>
    </row>
    <row r="55" spans="1:7">
      <c r="G55" s="11"/>
    </row>
    <row r="56" spans="1:7">
      <c r="G56" s="11"/>
    </row>
    <row r="57" spans="1:7">
      <c r="G57" s="11"/>
    </row>
    <row r="58" spans="1:7">
      <c r="G58" s="11"/>
    </row>
    <row r="59" spans="1:7">
      <c r="G59" s="11"/>
    </row>
    <row r="60" spans="1:7">
      <c r="G60" s="11"/>
    </row>
    <row r="61" spans="1:7">
      <c r="G61" s="11"/>
    </row>
    <row r="62" spans="1:7">
      <c r="G62" s="11"/>
    </row>
    <row r="63" spans="1:7">
      <c r="G63" s="11"/>
    </row>
    <row r="64" spans="1:7">
      <c r="G64" s="11"/>
    </row>
    <row r="65" spans="7:7">
      <c r="G65" s="11"/>
    </row>
    <row r="66" spans="7:7">
      <c r="G66" s="11"/>
    </row>
  </sheetData>
  <pageMargins left="0.59055118110236227" right="0.39370078740157483" top="0.39370078740157483" bottom="0.59055118110236227" header="0.51181102362204722" footer="0.51181102362204722"/>
  <pageSetup paperSize="9" orientation="portrait" r:id="rId1"/>
  <headerFooter alignWithMargins="0">
    <oddFooter>&amp;L&amp;F&amp;C&amp;P of &amp;N&amp;R&amp;A</oddFooter>
  </headerFooter>
  <rowBreaks count="2" manualBreakCount="2">
    <brk id="30" max="1" man="1"/>
    <brk id="51"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9"/>
  </sheetPr>
  <dimension ref="A1:ER367"/>
  <sheetViews>
    <sheetView tabSelected="1" view="pageBreakPreview" zoomScale="85" zoomScaleNormal="70" zoomScaleSheetLayoutView="85" workbookViewId="0">
      <selection activeCell="C4" sqref="C4:E5"/>
    </sheetView>
  </sheetViews>
  <sheetFormatPr defaultColWidth="9.140625" defaultRowHeight="12"/>
  <cols>
    <col min="1" max="1" width="2.7109375" style="12" customWidth="1"/>
    <col min="2" max="2" width="29.28515625" style="12" customWidth="1"/>
    <col min="3" max="13" width="8.7109375" style="13" customWidth="1"/>
    <col min="14" max="14" width="4.5703125" style="13" customWidth="1"/>
    <col min="15" max="22" width="8.7109375" style="12" customWidth="1"/>
    <col min="23" max="24" width="8.7109375" style="13" customWidth="1"/>
    <col min="25" max="26" width="8.7109375" style="12" customWidth="1"/>
    <col min="27" max="28" width="9.28515625" style="14" customWidth="1"/>
    <col min="29" max="29" width="8.7109375" style="14" customWidth="1"/>
    <col min="30" max="34" width="8.7109375" style="15" customWidth="1"/>
    <col min="35" max="35" width="25.140625" style="15" bestFit="1" customWidth="1"/>
    <col min="36" max="36" width="9.7109375" style="15" bestFit="1" customWidth="1"/>
    <col min="37" max="37" width="11.28515625" style="15" bestFit="1" customWidth="1"/>
    <col min="38" max="38" width="9.7109375" style="15" bestFit="1" customWidth="1"/>
    <col min="39" max="39" width="6.5703125" style="15" bestFit="1" customWidth="1"/>
    <col min="40" max="40" width="8.42578125" style="15" customWidth="1"/>
    <col min="41" max="42" width="9.28515625" style="14" customWidth="1"/>
    <col min="43" max="43" width="18.5703125" style="14" customWidth="1"/>
    <col min="44" max="44" width="21.42578125" style="14" bestFit="1" customWidth="1"/>
    <col min="45" max="45" width="18.85546875" style="13" bestFit="1" customWidth="1"/>
    <col min="46" max="46" width="15" style="13" bestFit="1" customWidth="1"/>
    <col min="47" max="47" width="9.42578125" style="13" bestFit="1" customWidth="1"/>
    <col min="48" max="48" width="21.85546875" style="13" bestFit="1" customWidth="1"/>
    <col min="49" max="49" width="13.140625" style="12" bestFit="1" customWidth="1"/>
    <col min="50" max="50" width="11" style="12" customWidth="1"/>
    <col min="51" max="76" width="9.42578125" style="12" customWidth="1"/>
    <col min="77" max="77" width="13.140625" style="12" customWidth="1"/>
    <col min="78" max="80" width="9.140625" style="12" customWidth="1"/>
    <col min="81" max="81" width="9.42578125" style="12" customWidth="1"/>
    <col min="82" max="82" width="9.140625" style="12" customWidth="1"/>
    <col min="83" max="83" width="9.42578125" style="12" customWidth="1"/>
    <col min="84" max="84" width="9.140625" style="12" customWidth="1"/>
    <col min="85" max="85" width="9.42578125" style="12" customWidth="1"/>
    <col min="86" max="86" width="9.140625" style="12" customWidth="1"/>
    <col min="87" max="94" width="9.42578125" style="12" customWidth="1"/>
    <col min="95" max="95" width="13.42578125" style="12" customWidth="1"/>
    <col min="96" max="98" width="9.140625" style="12" customWidth="1"/>
    <col min="99" max="99" width="9.42578125" style="12" customWidth="1"/>
    <col min="100" max="100" width="9.140625" style="12" customWidth="1"/>
    <col min="101" max="101" width="9.42578125" style="12" customWidth="1"/>
    <col min="102" max="102" width="9.140625" style="12" customWidth="1"/>
    <col min="103" max="103" width="9.42578125" style="12" customWidth="1"/>
    <col min="104" max="104" width="9.140625" style="12" customWidth="1"/>
    <col min="105" max="112" width="9.42578125" style="12" customWidth="1"/>
    <col min="113" max="113" width="13.42578125" style="12" customWidth="1"/>
    <col min="114" max="116" width="9.140625" style="12" customWidth="1"/>
    <col min="117" max="117" width="9.42578125" style="12" customWidth="1"/>
    <col min="118" max="118" width="9.140625" style="12" customWidth="1"/>
    <col min="119" max="119" width="9.42578125" style="12" customWidth="1"/>
    <col min="120" max="120" width="9.140625" style="12" customWidth="1"/>
    <col min="121" max="121" width="9.42578125" style="12" customWidth="1"/>
    <col min="122" max="122" width="9.140625" style="12" customWidth="1"/>
    <col min="123" max="124" width="9.42578125" style="12" customWidth="1"/>
    <col min="125" max="130" width="9.42578125" style="12" bestFit="1" customWidth="1"/>
    <col min="131" max="131" width="13.42578125" style="12" bestFit="1" customWidth="1"/>
    <col min="132" max="134" width="9.140625" style="12"/>
    <col min="135" max="135" width="9.42578125" style="12" bestFit="1" customWidth="1"/>
    <col min="136" max="136" width="9.140625" style="12"/>
    <col min="137" max="137" width="9.42578125" style="12" bestFit="1" customWidth="1"/>
    <col min="138" max="138" width="9.140625" style="12"/>
    <col min="139" max="139" width="9.42578125" style="12" bestFit="1" customWidth="1"/>
    <col min="140" max="140" width="9.140625" style="12"/>
    <col min="141" max="144" width="9.42578125" style="12" bestFit="1" customWidth="1"/>
    <col min="145" max="16384" width="9.140625" style="12"/>
  </cols>
  <sheetData>
    <row r="1" spans="1:148" ht="12.75" thickBot="1">
      <c r="A1" s="16"/>
      <c r="B1" s="16"/>
      <c r="C1" s="221"/>
      <c r="D1" s="221"/>
      <c r="E1" s="221"/>
      <c r="F1" s="221"/>
      <c r="G1" s="221"/>
      <c r="H1" s="221"/>
      <c r="I1" s="221"/>
      <c r="J1" s="221"/>
      <c r="K1" s="221"/>
      <c r="L1" s="221"/>
      <c r="M1" s="221"/>
      <c r="N1" s="221"/>
      <c r="O1" s="16"/>
      <c r="P1" s="16"/>
      <c r="Q1" s="16"/>
      <c r="R1" s="16"/>
      <c r="S1" s="16"/>
      <c r="T1" s="16"/>
      <c r="U1" s="16"/>
      <c r="V1" s="16"/>
      <c r="W1" s="221"/>
      <c r="X1" s="221"/>
      <c r="Y1" s="16"/>
      <c r="Z1" s="16"/>
    </row>
    <row r="2" spans="1:148">
      <c r="A2" s="16"/>
      <c r="B2" s="17" t="s">
        <v>42</v>
      </c>
      <c r="C2" s="18"/>
      <c r="D2" s="18"/>
      <c r="E2" s="18"/>
      <c r="F2" s="18"/>
      <c r="G2" s="19"/>
      <c r="H2" s="17" t="s">
        <v>43</v>
      </c>
      <c r="I2" s="20"/>
      <c r="J2" s="18"/>
      <c r="K2" s="18"/>
      <c r="L2" s="19"/>
      <c r="M2" s="19"/>
      <c r="N2" s="16"/>
      <c r="O2" s="21" t="s">
        <v>44</v>
      </c>
      <c r="P2" s="22"/>
      <c r="Q2" s="23"/>
      <c r="R2" s="23"/>
      <c r="S2" s="23"/>
      <c r="T2" s="23"/>
      <c r="U2" s="23"/>
      <c r="V2" s="23"/>
      <c r="W2" s="24"/>
      <c r="X2" s="16"/>
      <c r="Y2" s="16"/>
      <c r="Z2" s="16"/>
      <c r="AA2" s="12"/>
      <c r="AB2" s="12"/>
      <c r="AC2" s="12"/>
      <c r="AD2" s="12"/>
      <c r="AE2" s="12"/>
      <c r="AF2" s="12"/>
      <c r="AG2" s="12"/>
      <c r="AH2" s="12"/>
      <c r="AI2" s="12"/>
      <c r="AJ2" s="12"/>
      <c r="AK2" s="12"/>
      <c r="AL2" s="12"/>
      <c r="AM2" s="12"/>
      <c r="AN2" s="12"/>
      <c r="AO2" s="13"/>
      <c r="AP2" s="13"/>
      <c r="AQ2" s="13"/>
      <c r="AR2" s="13"/>
    </row>
    <row r="3" spans="1:148">
      <c r="A3" s="16"/>
      <c r="B3" s="16"/>
      <c r="C3" s="221" t="s">
        <v>45</v>
      </c>
      <c r="D3" s="221" t="s">
        <v>46</v>
      </c>
      <c r="E3" s="221" t="s">
        <v>47</v>
      </c>
      <c r="F3" s="221"/>
      <c r="G3" s="12"/>
      <c r="H3" s="221"/>
      <c r="I3" s="221"/>
      <c r="J3" s="221"/>
      <c r="K3" s="221"/>
      <c r="L3" s="16"/>
      <c r="M3" s="16"/>
      <c r="N3" s="16"/>
      <c r="O3" s="25"/>
      <c r="V3" s="16"/>
      <c r="W3" s="26"/>
      <c r="X3" s="16"/>
      <c r="Y3" s="16"/>
      <c r="Z3" s="16"/>
      <c r="AA3" s="12"/>
      <c r="AB3" s="12"/>
      <c r="AC3" s="12"/>
      <c r="AD3" s="12"/>
      <c r="AE3" s="12"/>
      <c r="AF3" s="12"/>
      <c r="AG3" s="12"/>
      <c r="AH3" s="12"/>
      <c r="AI3" s="12"/>
      <c r="AJ3" s="12"/>
      <c r="AK3" s="12"/>
      <c r="AL3" s="12"/>
      <c r="AM3" s="12"/>
      <c r="AN3" s="12"/>
      <c r="AO3" s="13"/>
      <c r="AP3" s="13"/>
      <c r="AQ3" s="13"/>
      <c r="AR3" s="13"/>
    </row>
    <row r="4" spans="1:148">
      <c r="A4" s="16"/>
      <c r="B4" s="16" t="s">
        <v>48</v>
      </c>
      <c r="C4" s="27"/>
      <c r="D4" s="27"/>
      <c r="E4" s="220"/>
      <c r="F4" s="16" t="s">
        <v>49</v>
      </c>
      <c r="G4" s="12"/>
      <c r="H4" s="28" t="s">
        <v>50</v>
      </c>
      <c r="I4" s="221"/>
      <c r="J4" s="223" t="s">
        <v>51</v>
      </c>
      <c r="K4" s="223"/>
      <c r="L4" s="16"/>
      <c r="M4" s="16"/>
      <c r="N4" s="16"/>
      <c r="O4" s="29" t="s">
        <v>52</v>
      </c>
      <c r="Q4" s="30"/>
      <c r="R4" s="31" t="s">
        <v>53</v>
      </c>
      <c r="S4" s="32" t="s">
        <v>54</v>
      </c>
      <c r="U4" s="33">
        <f>E6+IF(J4="Clean Water / Sewage",O182,O183)</f>
        <v>0</v>
      </c>
      <c r="V4" s="34" t="str">
        <f>IF($J$4="Clean Water / Sewage","m","bar")</f>
        <v>m</v>
      </c>
      <c r="W4" s="35"/>
      <c r="Y4" s="16"/>
      <c r="Z4" s="16"/>
      <c r="AA4" s="12"/>
      <c r="AB4" s="12"/>
      <c r="AC4" s="12"/>
      <c r="AD4" s="12"/>
      <c r="AE4" s="12"/>
      <c r="AF4" s="12"/>
      <c r="AG4" s="12"/>
      <c r="AH4" s="12"/>
      <c r="AI4" s="12"/>
      <c r="AJ4" s="12"/>
      <c r="AK4" s="12"/>
      <c r="AL4" s="12"/>
      <c r="AM4" s="12"/>
      <c r="AN4" s="12"/>
      <c r="AO4" s="13"/>
      <c r="AP4" s="13"/>
      <c r="AQ4" s="13"/>
      <c r="AR4" s="13"/>
    </row>
    <row r="5" spans="1:148">
      <c r="A5" s="16"/>
      <c r="B5" s="16" t="s">
        <v>55</v>
      </c>
      <c r="C5" s="27"/>
      <c r="D5" s="27"/>
      <c r="E5" s="220"/>
      <c r="F5" s="16" t="s">
        <v>49</v>
      </c>
      <c r="G5" s="12"/>
      <c r="H5" s="36" t="str">
        <f>IF($J$4="Clean Water / Sewage","","Dry solids content")</f>
        <v/>
      </c>
      <c r="I5" s="37"/>
      <c r="J5" s="38">
        <v>6</v>
      </c>
      <c r="K5" s="36" t="str">
        <f>IF($J$4="Clean Water / Sewage","","%")</f>
        <v/>
      </c>
      <c r="L5" s="16"/>
      <c r="M5" s="16"/>
      <c r="N5" s="16"/>
      <c r="O5" s="29" t="s">
        <v>56</v>
      </c>
      <c r="Q5" s="222"/>
      <c r="S5" s="32" t="s">
        <v>57</v>
      </c>
      <c r="U5" s="39">
        <f>IF(Q5=0,0,Q4/Q5)</f>
        <v>0</v>
      </c>
      <c r="V5" s="16" t="s">
        <v>53</v>
      </c>
      <c r="W5" s="35"/>
      <c r="Y5" s="16"/>
      <c r="Z5" s="16"/>
      <c r="AA5" s="12"/>
      <c r="AB5" s="12"/>
      <c r="AC5" s="12"/>
      <c r="AD5" s="12"/>
      <c r="AE5" s="12"/>
      <c r="AF5" s="12"/>
      <c r="AG5" s="12"/>
      <c r="AH5" s="12"/>
      <c r="AI5" s="12"/>
      <c r="AJ5" s="12"/>
      <c r="AK5" s="12"/>
      <c r="AL5" s="12"/>
      <c r="AM5" s="12"/>
      <c r="AN5" s="12"/>
      <c r="AO5" s="13"/>
      <c r="AP5" s="13"/>
      <c r="AQ5" s="13"/>
      <c r="AR5" s="13"/>
    </row>
    <row r="6" spans="1:148">
      <c r="A6" s="16"/>
      <c r="B6" s="16" t="s">
        <v>58</v>
      </c>
      <c r="C6" s="40">
        <f>(C5-D4)*IF($J$4="Clean Water / Sewage",1,$AK$93*9.81/100000)</f>
        <v>0</v>
      </c>
      <c r="D6" s="40">
        <f>(D5-C4)*IF($J$4="Clean Water / Sewage",1,$AK$93*9.81/100000)</f>
        <v>0</v>
      </c>
      <c r="E6" s="40">
        <f>(E5-E4)*IF($J$4="Clean Water / Sewage",1,$AK$93*9.81/100000)</f>
        <v>0</v>
      </c>
      <c r="F6" s="34" t="str">
        <f>IF($J$4="Clean Water / Sewage","m","bar")</f>
        <v>m</v>
      </c>
      <c r="G6" s="12"/>
      <c r="H6" s="36" t="str">
        <f>IF($J$4="Clean Water / Sewage","","Bound")</f>
        <v/>
      </c>
      <c r="I6" s="221"/>
      <c r="J6" s="223" t="s">
        <v>59</v>
      </c>
      <c r="K6" s="223"/>
      <c r="L6" s="12"/>
      <c r="M6" s="16"/>
      <c r="N6" s="16"/>
      <c r="O6" s="25"/>
      <c r="W6" s="35"/>
      <c r="X6" s="16"/>
      <c r="Y6" s="16"/>
      <c r="Z6" s="16"/>
      <c r="AA6" s="12"/>
      <c r="AB6" s="12"/>
      <c r="AC6" s="12"/>
      <c r="AD6" s="12"/>
      <c r="AE6" s="12"/>
      <c r="AF6" s="12"/>
      <c r="AG6" s="12"/>
      <c r="AH6" s="12"/>
      <c r="AI6" s="12"/>
      <c r="AJ6" s="12"/>
      <c r="AK6" s="12"/>
      <c r="AL6" s="12"/>
      <c r="AM6" s="12"/>
      <c r="AN6" s="12"/>
      <c r="AO6" s="13"/>
      <c r="AP6" s="13"/>
      <c r="AQ6" s="13"/>
      <c r="AR6" s="13"/>
    </row>
    <row r="7" spans="1:148">
      <c r="A7" s="16"/>
      <c r="B7" s="44" t="s">
        <v>60</v>
      </c>
      <c r="C7" s="45"/>
      <c r="D7" s="16" t="s">
        <v>49</v>
      </c>
      <c r="E7" s="18"/>
      <c r="F7" s="18"/>
      <c r="G7" s="12"/>
      <c r="H7" s="46" t="str">
        <f>IF($J$4="Clean Water / Sewage","","NB. For humus sludges, only the median bound may be used.")</f>
        <v/>
      </c>
      <c r="I7" s="16"/>
      <c r="J7" s="16"/>
      <c r="K7" s="16"/>
      <c r="L7" s="12"/>
      <c r="M7" s="16"/>
      <c r="N7" s="16"/>
      <c r="O7" s="25" t="s">
        <v>61</v>
      </c>
      <c r="R7" s="222">
        <v>1</v>
      </c>
      <c r="W7" s="35"/>
      <c r="X7" s="12"/>
      <c r="Y7" s="19"/>
      <c r="Z7" s="19"/>
      <c r="AA7" s="12"/>
      <c r="AB7" s="12"/>
      <c r="AC7" s="12"/>
      <c r="AD7" s="12"/>
      <c r="AE7" s="12"/>
      <c r="AF7" s="12"/>
      <c r="AG7" s="12"/>
      <c r="AH7" s="12"/>
      <c r="AI7" s="12"/>
      <c r="AJ7" s="12"/>
      <c r="AK7" s="12"/>
      <c r="AL7" s="12"/>
      <c r="AM7" s="12"/>
      <c r="AN7" s="12"/>
      <c r="AO7" s="13"/>
      <c r="AP7" s="13"/>
      <c r="AQ7" s="13"/>
      <c r="AR7" s="13"/>
    </row>
    <row r="8" spans="1:148" ht="15" thickBot="1">
      <c r="A8" s="16"/>
      <c r="B8" s="12" t="s">
        <v>62</v>
      </c>
      <c r="C8" s="47">
        <v>101.3</v>
      </c>
      <c r="D8" s="16" t="s">
        <v>63</v>
      </c>
      <c r="G8" s="12"/>
      <c r="H8" s="46" t="str">
        <f>IF($J$4="Clean Water / Sewage","","Assume lower and upper bound vary by a factor of two from the median.")</f>
        <v/>
      </c>
      <c r="I8" s="16"/>
      <c r="J8" s="16"/>
      <c r="K8" s="16"/>
      <c r="L8" s="16"/>
      <c r="M8" s="16"/>
      <c r="N8" s="16"/>
      <c r="O8" s="41"/>
      <c r="P8" s="42"/>
      <c r="Q8" s="42"/>
      <c r="R8" s="42"/>
      <c r="S8" s="42"/>
      <c r="T8" s="42"/>
      <c r="U8" s="42"/>
      <c r="V8" s="42"/>
      <c r="W8" s="43"/>
      <c r="X8" s="12"/>
      <c r="Y8" s="16"/>
      <c r="Z8" s="16"/>
      <c r="AA8" s="12"/>
      <c r="AB8" s="12"/>
      <c r="AC8" s="12"/>
      <c r="AD8" s="12"/>
      <c r="AE8" s="12"/>
      <c r="AF8" s="12"/>
      <c r="AG8" s="12"/>
      <c r="AH8" s="12"/>
      <c r="AI8" s="12"/>
      <c r="AJ8" s="12"/>
      <c r="AK8" s="12"/>
      <c r="AL8" s="12"/>
      <c r="AM8" s="12"/>
      <c r="AN8" s="12"/>
      <c r="AO8" s="13"/>
      <c r="AP8" s="13"/>
      <c r="AQ8" s="13"/>
      <c r="AR8" s="13"/>
    </row>
    <row r="9" spans="1:148">
      <c r="A9" s="16"/>
      <c r="B9" s="48"/>
      <c r="C9" s="48"/>
      <c r="D9" s="48"/>
      <c r="F9" s="48"/>
      <c r="G9" s="49"/>
      <c r="H9" s="49"/>
      <c r="I9" s="16"/>
      <c r="J9" s="16"/>
      <c r="K9" s="16"/>
      <c r="L9" s="16"/>
      <c r="M9" s="16"/>
      <c r="N9" s="16"/>
      <c r="W9" s="12"/>
      <c r="X9" s="12"/>
      <c r="Y9" s="16"/>
      <c r="Z9" s="16"/>
      <c r="AA9" s="12"/>
      <c r="AB9" s="12"/>
      <c r="AC9" s="12"/>
      <c r="AD9" s="12"/>
      <c r="AE9" s="12"/>
      <c r="AF9" s="12"/>
      <c r="AG9" s="12"/>
      <c r="AH9" s="12"/>
      <c r="AI9" s="12"/>
      <c r="AJ9" s="12"/>
      <c r="AK9" s="12"/>
      <c r="AL9" s="12"/>
      <c r="AM9" s="12"/>
      <c r="AN9" s="12"/>
      <c r="AO9" s="13"/>
      <c r="AP9" s="13"/>
      <c r="AQ9" s="13"/>
      <c r="AR9" s="13"/>
    </row>
    <row r="10" spans="1:148">
      <c r="A10" s="16"/>
      <c r="B10" s="17" t="s">
        <v>64</v>
      </c>
      <c r="C10" s="12"/>
      <c r="D10" s="12"/>
      <c r="E10" s="12"/>
      <c r="F10" s="12"/>
      <c r="G10" s="12"/>
      <c r="H10" s="12"/>
      <c r="I10" s="12"/>
      <c r="J10" s="12"/>
      <c r="K10" s="12"/>
      <c r="L10" s="12"/>
      <c r="M10" s="12"/>
      <c r="N10" s="16"/>
      <c r="O10" s="17" t="s">
        <v>65</v>
      </c>
      <c r="P10" s="16"/>
      <c r="Q10" s="16"/>
      <c r="R10" s="16"/>
      <c r="S10" s="16"/>
      <c r="T10" s="16"/>
      <c r="U10" s="16"/>
      <c r="V10" s="16"/>
      <c r="W10" s="221"/>
      <c r="X10" s="221"/>
      <c r="Y10" s="16"/>
      <c r="Z10" s="16"/>
      <c r="AA10" s="18"/>
      <c r="AG10" s="12"/>
      <c r="AH10" s="12"/>
      <c r="AI10" s="12"/>
      <c r="AJ10" s="12"/>
      <c r="AK10" s="12"/>
      <c r="AL10" s="12"/>
      <c r="AM10" s="12"/>
      <c r="AN10" s="12"/>
      <c r="AO10" s="13"/>
      <c r="AP10" s="13"/>
      <c r="AQ10" s="13"/>
      <c r="AR10" s="13"/>
    </row>
    <row r="11" spans="1:148">
      <c r="A11" s="19"/>
      <c r="B11" s="16"/>
      <c r="C11" s="16"/>
      <c r="D11" s="16"/>
      <c r="E11" s="16"/>
      <c r="F11" s="16"/>
      <c r="G11" s="16"/>
      <c r="H11" s="16"/>
      <c r="I11" s="16"/>
      <c r="J11" s="16"/>
      <c r="K11" s="16"/>
      <c r="L11" s="16"/>
      <c r="M11" s="16"/>
      <c r="N11" s="19"/>
      <c r="O11" s="16"/>
      <c r="P11" s="16"/>
      <c r="Q11" s="16"/>
      <c r="R11" s="16"/>
      <c r="S11" s="16"/>
      <c r="T11" s="16"/>
      <c r="W11" s="12"/>
      <c r="X11" s="12"/>
      <c r="Y11" s="16"/>
      <c r="AA11" s="18"/>
      <c r="AG11" s="12"/>
      <c r="AH11" s="12"/>
      <c r="AI11" s="12"/>
      <c r="AJ11" s="12"/>
      <c r="AK11" s="12"/>
      <c r="AL11" s="12"/>
      <c r="AM11" s="12"/>
      <c r="AN11" s="12"/>
      <c r="AO11" s="13"/>
      <c r="AP11" s="13"/>
      <c r="AQ11" s="13"/>
      <c r="AR11" s="13"/>
    </row>
    <row r="12" spans="1:148">
      <c r="A12" s="19"/>
      <c r="B12" s="16" t="s">
        <v>66</v>
      </c>
      <c r="C12" s="18"/>
      <c r="D12" s="221">
        <v>1</v>
      </c>
      <c r="E12" s="221">
        <f ca="1">OFFSET(E12,0,-1)+1</f>
        <v>2</v>
      </c>
      <c r="F12" s="221">
        <f t="shared" ref="F12:M12" ca="1" si="0">OFFSET(F12,0,-1)+1</f>
        <v>3</v>
      </c>
      <c r="G12" s="221">
        <f t="shared" ca="1" si="0"/>
        <v>4</v>
      </c>
      <c r="H12" s="221">
        <f t="shared" ca="1" si="0"/>
        <v>5</v>
      </c>
      <c r="I12" s="221">
        <f t="shared" ca="1" si="0"/>
        <v>6</v>
      </c>
      <c r="J12" s="221">
        <f t="shared" ca="1" si="0"/>
        <v>7</v>
      </c>
      <c r="K12" s="221">
        <f t="shared" ca="1" si="0"/>
        <v>8</v>
      </c>
      <c r="L12" s="221">
        <f t="shared" ca="1" si="0"/>
        <v>9</v>
      </c>
      <c r="M12" s="221">
        <f t="shared" ca="1" si="0"/>
        <v>10</v>
      </c>
      <c r="N12" s="18"/>
      <c r="O12" s="32" t="s">
        <v>67</v>
      </c>
      <c r="P12" s="32"/>
      <c r="Q12" s="224"/>
      <c r="R12" s="225"/>
      <c r="S12" s="226"/>
      <c r="T12" s="19"/>
      <c r="W12" s="32" t="s">
        <v>68</v>
      </c>
      <c r="X12" s="50"/>
      <c r="AA12" s="18"/>
      <c r="AG12" s="14"/>
      <c r="AH12" s="14"/>
      <c r="AI12" s="14"/>
      <c r="AJ12" s="14"/>
      <c r="AK12" s="14"/>
      <c r="AL12" s="14"/>
      <c r="AM12" s="14"/>
      <c r="AN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row>
    <row r="13" spans="1:148" ht="12" customHeight="1">
      <c r="A13" s="19"/>
      <c r="B13" s="51" t="s">
        <v>69</v>
      </c>
      <c r="C13" s="52"/>
      <c r="D13" s="227"/>
      <c r="E13" s="227"/>
      <c r="F13" s="227"/>
      <c r="G13" s="227"/>
      <c r="H13" s="227"/>
      <c r="I13" s="227"/>
      <c r="J13" s="227"/>
      <c r="K13" s="227"/>
      <c r="L13" s="227"/>
      <c r="M13" s="227"/>
      <c r="N13" s="18"/>
      <c r="O13" s="32" t="s">
        <v>70</v>
      </c>
      <c r="P13" s="32"/>
      <c r="Q13" s="224"/>
      <c r="R13" s="225"/>
      <c r="S13" s="226"/>
      <c r="T13" s="19"/>
      <c r="W13" s="12"/>
      <c r="X13" s="12"/>
      <c r="AA13" s="18"/>
      <c r="AG13" s="14"/>
      <c r="AH13" s="14"/>
      <c r="AI13" s="14"/>
      <c r="AJ13" s="14"/>
      <c r="AK13" s="14"/>
      <c r="AL13" s="14"/>
      <c r="AM13" s="14"/>
      <c r="AN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row>
    <row r="14" spans="1:148">
      <c r="A14" s="19"/>
      <c r="B14" s="51"/>
      <c r="C14" s="52"/>
      <c r="D14" s="228"/>
      <c r="E14" s="228"/>
      <c r="F14" s="228"/>
      <c r="G14" s="228"/>
      <c r="H14" s="228"/>
      <c r="I14" s="228"/>
      <c r="J14" s="228"/>
      <c r="K14" s="228"/>
      <c r="L14" s="228"/>
      <c r="M14" s="228"/>
      <c r="N14" s="18"/>
      <c r="O14" s="16"/>
      <c r="P14" s="16"/>
      <c r="Q14" s="16"/>
      <c r="R14" s="16"/>
      <c r="S14" s="16"/>
      <c r="T14" s="16"/>
      <c r="U14" s="16"/>
      <c r="V14" s="16"/>
      <c r="W14" s="16"/>
      <c r="X14" s="16"/>
      <c r="Y14" s="16"/>
      <c r="Z14" s="16"/>
      <c r="AB14" s="12"/>
      <c r="AC14" s="12"/>
      <c r="AD14" s="14"/>
      <c r="AG14" s="14"/>
      <c r="AH14" s="14"/>
      <c r="AI14" s="14"/>
      <c r="AJ14" s="14"/>
      <c r="AK14" s="14"/>
      <c r="AL14" s="14"/>
      <c r="AM14" s="14"/>
      <c r="AN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row>
    <row r="15" spans="1:148">
      <c r="A15" s="19"/>
      <c r="B15" s="51"/>
      <c r="C15" s="52"/>
      <c r="D15" s="228"/>
      <c r="E15" s="228"/>
      <c r="F15" s="228"/>
      <c r="G15" s="228"/>
      <c r="H15" s="228"/>
      <c r="I15" s="228"/>
      <c r="J15" s="228"/>
      <c r="K15" s="228"/>
      <c r="L15" s="228"/>
      <c r="M15" s="228"/>
      <c r="N15" s="18"/>
      <c r="O15" s="230" t="s">
        <v>71</v>
      </c>
      <c r="P15" s="231"/>
      <c r="Q15" s="232"/>
      <c r="R15" s="230" t="s">
        <v>72</v>
      </c>
      <c r="S15" s="232"/>
      <c r="T15" s="233" t="s">
        <v>73</v>
      </c>
      <c r="U15" s="230" t="s">
        <v>74</v>
      </c>
      <c r="V15" s="231"/>
      <c r="W15" s="231"/>
      <c r="X15" s="235"/>
      <c r="Y15" s="53" t="s">
        <v>75</v>
      </c>
      <c r="Z15" s="54"/>
      <c r="AA15" s="54"/>
      <c r="AB15" s="54"/>
      <c r="AC15" s="54"/>
      <c r="AD15" s="54"/>
      <c r="AE15" s="54"/>
      <c r="AF15" s="54"/>
      <c r="AG15" s="14"/>
      <c r="AH15" s="14"/>
      <c r="AI15" s="14"/>
      <c r="AJ15" s="14"/>
      <c r="AK15" s="14"/>
      <c r="AL15" s="14"/>
      <c r="AM15" s="14"/>
      <c r="AN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row>
    <row r="16" spans="1:148">
      <c r="A16" s="16"/>
      <c r="B16" s="51"/>
      <c r="C16" s="52"/>
      <c r="D16" s="229"/>
      <c r="E16" s="229"/>
      <c r="F16" s="229"/>
      <c r="G16" s="229"/>
      <c r="H16" s="229"/>
      <c r="I16" s="229"/>
      <c r="J16" s="229"/>
      <c r="K16" s="229"/>
      <c r="L16" s="229"/>
      <c r="M16" s="229"/>
      <c r="N16" s="221"/>
      <c r="O16" s="230" t="s">
        <v>76</v>
      </c>
      <c r="P16" s="231"/>
      <c r="Q16" s="232"/>
      <c r="R16" s="230" t="s">
        <v>77</v>
      </c>
      <c r="S16" s="232"/>
      <c r="T16" s="234"/>
      <c r="U16" s="55" t="s">
        <v>78</v>
      </c>
      <c r="V16" s="233" t="s">
        <v>79</v>
      </c>
      <c r="W16" s="233" t="s">
        <v>80</v>
      </c>
      <c r="X16" s="55" t="s">
        <v>73</v>
      </c>
      <c r="Y16" s="242" t="s">
        <v>81</v>
      </c>
      <c r="Z16" s="243"/>
      <c r="AA16" s="242" t="s">
        <v>79</v>
      </c>
      <c r="AB16" s="243"/>
      <c r="AC16" s="55" t="s">
        <v>45</v>
      </c>
      <c r="AD16" s="55" t="s">
        <v>46</v>
      </c>
      <c r="AE16" s="55" t="s">
        <v>45</v>
      </c>
      <c r="AF16" s="55" t="s">
        <v>46</v>
      </c>
      <c r="AG16" s="14"/>
      <c r="AH16" s="14"/>
      <c r="AI16" s="14"/>
      <c r="AJ16" s="14"/>
      <c r="AK16" s="14"/>
      <c r="AL16" s="14"/>
      <c r="AM16" s="14"/>
      <c r="AN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row>
    <row r="17" spans="1:141" ht="24">
      <c r="A17" s="19"/>
      <c r="B17" s="56" t="s">
        <v>82</v>
      </c>
      <c r="C17" s="56"/>
      <c r="D17" s="57"/>
      <c r="E17" s="57"/>
      <c r="F17" s="57"/>
      <c r="G17" s="57"/>
      <c r="H17" s="57"/>
      <c r="I17" s="57"/>
      <c r="J17" s="57"/>
      <c r="K17" s="57"/>
      <c r="L17" s="57"/>
      <c r="M17" s="57"/>
      <c r="N17" s="12"/>
      <c r="O17" s="55" t="s">
        <v>81</v>
      </c>
      <c r="P17" s="55" t="s">
        <v>79</v>
      </c>
      <c r="Q17" s="55" t="s">
        <v>80</v>
      </c>
      <c r="R17" s="55" t="s">
        <v>79</v>
      </c>
      <c r="S17" s="55" t="s">
        <v>83</v>
      </c>
      <c r="T17" s="55" t="s">
        <v>81</v>
      </c>
      <c r="U17" s="55" t="s">
        <v>81</v>
      </c>
      <c r="V17" s="234"/>
      <c r="W17" s="234"/>
      <c r="X17" s="55" t="s">
        <v>81</v>
      </c>
      <c r="Y17" s="58" t="s">
        <v>84</v>
      </c>
      <c r="Z17" s="58" t="s">
        <v>85</v>
      </c>
      <c r="AA17" s="58" t="s">
        <v>84</v>
      </c>
      <c r="AB17" s="58" t="s">
        <v>85</v>
      </c>
      <c r="AC17" s="59" t="s">
        <v>81</v>
      </c>
      <c r="AD17" s="59" t="s">
        <v>81</v>
      </c>
      <c r="AE17" s="59" t="s">
        <v>79</v>
      </c>
      <c r="AF17" s="59" t="s">
        <v>79</v>
      </c>
      <c r="AG17" s="12"/>
      <c r="AH17" s="12"/>
      <c r="AI17" s="12"/>
      <c r="AJ17" s="12"/>
      <c r="AK17" s="12"/>
      <c r="AL17" s="12"/>
      <c r="AM17" s="13"/>
      <c r="AN17" s="13"/>
      <c r="AO17" s="13"/>
      <c r="AP17" s="13"/>
      <c r="AQ17" s="13"/>
      <c r="AR17" s="13"/>
      <c r="AU17" s="12"/>
      <c r="AV17" s="12"/>
    </row>
    <row r="18" spans="1:141">
      <c r="A18" s="16"/>
      <c r="B18" s="16" t="s">
        <v>86</v>
      </c>
      <c r="C18" s="221" t="s">
        <v>87</v>
      </c>
      <c r="D18" s="219"/>
      <c r="E18" s="219"/>
      <c r="F18" s="219"/>
      <c r="G18" s="219"/>
      <c r="H18" s="219"/>
      <c r="I18" s="219"/>
      <c r="J18" s="219"/>
      <c r="K18" s="219"/>
      <c r="L18" s="219"/>
      <c r="M18" s="219"/>
      <c r="N18" s="221"/>
      <c r="O18" s="60" t="s">
        <v>88</v>
      </c>
      <c r="P18" s="61" t="str">
        <f>IF($J$4="Clean Water / Sewage","(m)","(bar)")</f>
        <v>(m)</v>
      </c>
      <c r="Q18" s="61" t="str">
        <f>IF($J$4="Clean Water / Sewage","(m)","(bar)")</f>
        <v>(m)</v>
      </c>
      <c r="R18" s="61" t="str">
        <f>IF($J$4="Clean Water / Sewage","(m)","(bar)")</f>
        <v>(m)</v>
      </c>
      <c r="S18" s="61" t="str">
        <f>IF($J$4="Clean Water / Sewage","(m)","(bar)")</f>
        <v>(m)</v>
      </c>
      <c r="T18" s="60" t="s">
        <v>88</v>
      </c>
      <c r="U18" s="60" t="s">
        <v>88</v>
      </c>
      <c r="V18" s="61" t="str">
        <f>IF($J$4="Clean Water / Sewage","(m)","(bar)")</f>
        <v>(m)</v>
      </c>
      <c r="W18" s="61" t="str">
        <f>IF($J$4="Clean Water / Sewage","(m)","(bar)")</f>
        <v>(m)</v>
      </c>
      <c r="X18" s="60" t="s">
        <v>88</v>
      </c>
      <c r="Y18" s="60" t="s">
        <v>88</v>
      </c>
      <c r="Z18" s="60" t="s">
        <v>88</v>
      </c>
      <c r="AA18" s="61" t="str">
        <f>IF($J$4="Clean Water / Sewage","(m)","(bar)")</f>
        <v>(m)</v>
      </c>
      <c r="AB18" s="61" t="str">
        <f>IF($J$4="Clean Water / Sewage","(m)","(bar)")</f>
        <v>(m)</v>
      </c>
      <c r="AC18" s="60" t="s">
        <v>88</v>
      </c>
      <c r="AD18" s="60" t="s">
        <v>88</v>
      </c>
      <c r="AE18" s="61" t="str">
        <f>IF($J$4="Clean Water / Sewage","(m)","(bar)")</f>
        <v>(m)</v>
      </c>
      <c r="AF18" s="61" t="str">
        <f>IF($J$4="Clean Water / Sewage","(m)","(bar)")</f>
        <v>(m)</v>
      </c>
      <c r="AG18" s="12"/>
      <c r="AH18" s="12"/>
      <c r="AI18" s="12"/>
      <c r="AJ18" s="12"/>
      <c r="AK18" s="12"/>
      <c r="AL18" s="12"/>
      <c r="AM18" s="13"/>
      <c r="AN18" s="13"/>
      <c r="AO18" s="13"/>
      <c r="AP18" s="13"/>
      <c r="AQ18" s="13"/>
      <c r="AR18" s="13"/>
      <c r="AU18" s="12"/>
      <c r="AV18" s="12"/>
    </row>
    <row r="19" spans="1:141">
      <c r="A19" s="19"/>
      <c r="B19" s="16" t="s">
        <v>11</v>
      </c>
      <c r="C19" s="221" t="s">
        <v>89</v>
      </c>
      <c r="D19" s="219"/>
      <c r="E19" s="219"/>
      <c r="F19" s="219"/>
      <c r="G19" s="219"/>
      <c r="H19" s="219"/>
      <c r="I19" s="219"/>
      <c r="J19" s="219"/>
      <c r="K19" s="219"/>
      <c r="L19" s="219"/>
      <c r="M19" s="219"/>
      <c r="N19" s="18"/>
      <c r="O19" s="30"/>
      <c r="P19" s="30"/>
      <c r="Q19" s="30"/>
      <c r="R19" s="62" t="str">
        <f>IF(P19="","",P19-O67)</f>
        <v/>
      </c>
      <c r="S19" s="62" t="str">
        <f t="shared" ref="S19:S24" si="1">IF($C$7="","",($C$8/$AT$93)*IF($J$4="Clean Water / Sewage",1,$AK$93*9.81/100000)-$O79-($C$7-$D$4)*IF($J$4="Clean Water / Sewage",1,$AK$93*9.81/100000)-($AT$92/$AT$93))</f>
        <v/>
      </c>
      <c r="T19" s="63" t="str">
        <f>IF(O19="","",O19*2)</f>
        <v/>
      </c>
      <c r="U19" s="63" t="str">
        <f>IF(O19="","",O19*X$12)</f>
        <v/>
      </c>
      <c r="V19" s="63" t="str">
        <f>IF(R19="","",R19*X$12^2)</f>
        <v/>
      </c>
      <c r="W19" s="63" t="str">
        <f>IF(Q19="","",Q19*X$12^2)</f>
        <v/>
      </c>
      <c r="X19" s="63" t="str">
        <f>IF(U19="","",U19*2)</f>
        <v/>
      </c>
      <c r="Y19" s="62" t="str">
        <f t="shared" ref="Y19:Y24" si="2">IF($P$30="","",$T$30*O19)</f>
        <v/>
      </c>
      <c r="Z19" s="62" t="str">
        <f t="shared" ref="Z19:Z24" si="3">IF($P$30="","",$T$31*O19)</f>
        <v/>
      </c>
      <c r="AA19" s="62" t="str">
        <f t="shared" ref="AA19:AA24" si="4">IF($P$30="","",$X$30*$P19)</f>
        <v/>
      </c>
      <c r="AB19" s="62" t="str">
        <f t="shared" ref="AB19:AB24" si="5">IF($P$30="","",$X$31*$P19)</f>
        <v/>
      </c>
      <c r="AC19" s="62" t="str">
        <f t="shared" ref="AC19:AC24" si="6">IF($P$30="","",$O19+$O19*$T$30)</f>
        <v/>
      </c>
      <c r="AD19" s="62" t="str">
        <f t="shared" ref="AD19:AD24" si="7">IF($P$30="","",$O19-$O19*$T$31)</f>
        <v/>
      </c>
      <c r="AE19" s="62" t="str">
        <f t="shared" ref="AE19:AE24" si="8">IF($P$30="","",$P19+$P19*$X$30)</f>
        <v/>
      </c>
      <c r="AF19" s="62" t="str">
        <f t="shared" ref="AF19:AF24" si="9">IF($P$30="","",$P19+$P19*$X$31)</f>
        <v/>
      </c>
      <c r="AG19" s="12"/>
      <c r="AH19" s="12"/>
      <c r="AI19" s="12"/>
      <c r="AJ19" s="12"/>
      <c r="AK19" s="12"/>
      <c r="AL19" s="12"/>
      <c r="AM19" s="13"/>
      <c r="AN19" s="13"/>
      <c r="AO19" s="13"/>
      <c r="AP19" s="13"/>
      <c r="AQ19" s="13"/>
      <c r="AR19" s="13"/>
      <c r="AU19" s="12"/>
      <c r="AV19" s="12"/>
    </row>
    <row r="20" spans="1:141">
      <c r="A20" s="19"/>
      <c r="B20" s="16" t="s">
        <v>90</v>
      </c>
      <c r="C20" s="221" t="s">
        <v>87</v>
      </c>
      <c r="D20" s="219"/>
      <c r="E20" s="219"/>
      <c r="F20" s="219"/>
      <c r="G20" s="219"/>
      <c r="H20" s="219"/>
      <c r="I20" s="219"/>
      <c r="J20" s="219"/>
      <c r="K20" s="219"/>
      <c r="L20" s="219"/>
      <c r="M20" s="219"/>
      <c r="N20" s="18"/>
      <c r="O20" s="30"/>
      <c r="P20" s="30"/>
      <c r="Q20" s="30"/>
      <c r="R20" s="63" t="str">
        <f>IF(P19="","",P20-O68)</f>
        <v/>
      </c>
      <c r="S20" s="62" t="str">
        <f t="shared" si="1"/>
        <v/>
      </c>
      <c r="T20" s="63" t="str">
        <f t="shared" ref="T20:T24" si="10">IF(O20="","",O20*2)</f>
        <v/>
      </c>
      <c r="U20" s="63" t="str">
        <f t="shared" ref="U20:U24" si="11">IF(O20="","",O20*X$12)</f>
        <v/>
      </c>
      <c r="V20" s="63" t="str">
        <f t="shared" ref="V20:V24" si="12">IF(R20="","",R20*X$12^2)</f>
        <v/>
      </c>
      <c r="W20" s="63" t="str">
        <f t="shared" ref="W20:W24" si="13">IF(Q20="","",Q20*X$12^2)</f>
        <v/>
      </c>
      <c r="X20" s="63" t="str">
        <f t="shared" ref="X20:X24" si="14">IF(U20="","",U20*2)</f>
        <v/>
      </c>
      <c r="Y20" s="62" t="str">
        <f t="shared" si="2"/>
        <v/>
      </c>
      <c r="Z20" s="62" t="str">
        <f t="shared" si="3"/>
        <v/>
      </c>
      <c r="AA20" s="62" t="str">
        <f t="shared" si="4"/>
        <v/>
      </c>
      <c r="AB20" s="62" t="str">
        <f t="shared" si="5"/>
        <v/>
      </c>
      <c r="AC20" s="62" t="str">
        <f t="shared" si="6"/>
        <v/>
      </c>
      <c r="AD20" s="62" t="str">
        <f t="shared" si="7"/>
        <v/>
      </c>
      <c r="AE20" s="62" t="str">
        <f t="shared" si="8"/>
        <v/>
      </c>
      <c r="AF20" s="62" t="str">
        <f t="shared" si="9"/>
        <v/>
      </c>
      <c r="AG20" s="12"/>
      <c r="AH20" s="12"/>
      <c r="AI20" s="12"/>
      <c r="AJ20" s="12"/>
      <c r="AK20" s="12"/>
      <c r="AL20" s="12"/>
      <c r="AM20" s="13"/>
      <c r="AN20" s="13"/>
      <c r="AO20" s="13"/>
      <c r="AP20" s="13"/>
      <c r="AQ20" s="13"/>
      <c r="AR20" s="13"/>
      <c r="AU20" s="12"/>
      <c r="AV20" s="12"/>
    </row>
    <row r="21" spans="1:141">
      <c r="A21" s="19"/>
      <c r="B21" s="16" t="s">
        <v>91</v>
      </c>
      <c r="C21" s="221" t="s">
        <v>92</v>
      </c>
      <c r="D21" s="219"/>
      <c r="E21" s="219"/>
      <c r="F21" s="219"/>
      <c r="G21" s="219"/>
      <c r="H21" s="219"/>
      <c r="I21" s="219"/>
      <c r="J21" s="219"/>
      <c r="K21" s="219"/>
      <c r="L21" s="219"/>
      <c r="M21" s="219"/>
      <c r="N21" s="18"/>
      <c r="O21" s="30"/>
      <c r="P21" s="30"/>
      <c r="Q21" s="30"/>
      <c r="R21" s="62" t="str">
        <f>IF(P19="","",P21-O69)</f>
        <v/>
      </c>
      <c r="S21" s="62" t="str">
        <f t="shared" si="1"/>
        <v/>
      </c>
      <c r="T21" s="63" t="str">
        <f t="shared" si="10"/>
        <v/>
      </c>
      <c r="U21" s="63" t="str">
        <f t="shared" si="11"/>
        <v/>
      </c>
      <c r="V21" s="63" t="str">
        <f t="shared" si="12"/>
        <v/>
      </c>
      <c r="W21" s="63" t="str">
        <f t="shared" si="13"/>
        <v/>
      </c>
      <c r="X21" s="63" t="str">
        <f t="shared" si="14"/>
        <v/>
      </c>
      <c r="Y21" s="62" t="str">
        <f t="shared" si="2"/>
        <v/>
      </c>
      <c r="Z21" s="62" t="str">
        <f t="shared" si="3"/>
        <v/>
      </c>
      <c r="AA21" s="62" t="str">
        <f t="shared" si="4"/>
        <v/>
      </c>
      <c r="AB21" s="62" t="str">
        <f t="shared" si="5"/>
        <v/>
      </c>
      <c r="AC21" s="62" t="str">
        <f t="shared" si="6"/>
        <v/>
      </c>
      <c r="AD21" s="62" t="str">
        <f t="shared" si="7"/>
        <v/>
      </c>
      <c r="AE21" s="62" t="str">
        <f t="shared" si="8"/>
        <v/>
      </c>
      <c r="AF21" s="62" t="str">
        <f t="shared" si="9"/>
        <v/>
      </c>
      <c r="AG21" s="12"/>
      <c r="AH21" s="12"/>
      <c r="AI21" s="12"/>
      <c r="AJ21" s="12"/>
      <c r="AK21" s="12"/>
      <c r="AL21" s="12"/>
      <c r="AM21" s="13"/>
      <c r="AN21" s="13"/>
      <c r="AO21" s="13"/>
      <c r="AP21" s="13"/>
      <c r="AQ21" s="13"/>
      <c r="AR21" s="13"/>
      <c r="AU21" s="12"/>
      <c r="AV21" s="12"/>
    </row>
    <row r="22" spans="1:141">
      <c r="A22" s="19"/>
      <c r="B22" s="16" t="s">
        <v>93</v>
      </c>
      <c r="C22" s="221" t="s">
        <v>94</v>
      </c>
      <c r="D22" s="40" t="str">
        <f t="shared" ref="D22:M22" si="15">IF(D18=0,"-",IF(D17="Rising Main",$Q$4/1000/3.1416/(D18/1000/2)^2,IF(D17="Common Suction",$Q$4/1000/3.1416/(D18/1000/2)^2,$Q$4/1000/$Q$5/3.1416/(D18/1000/2)^2)))</f>
        <v>-</v>
      </c>
      <c r="E22" s="40" t="str">
        <f t="shared" si="15"/>
        <v>-</v>
      </c>
      <c r="F22" s="40" t="str">
        <f t="shared" si="15"/>
        <v>-</v>
      </c>
      <c r="G22" s="40" t="str">
        <f t="shared" si="15"/>
        <v>-</v>
      </c>
      <c r="H22" s="40" t="str">
        <f t="shared" si="15"/>
        <v>-</v>
      </c>
      <c r="I22" s="40" t="str">
        <f t="shared" si="15"/>
        <v>-</v>
      </c>
      <c r="J22" s="40" t="str">
        <f t="shared" si="15"/>
        <v>-</v>
      </c>
      <c r="K22" s="40" t="str">
        <f t="shared" si="15"/>
        <v>-</v>
      </c>
      <c r="L22" s="40" t="str">
        <f t="shared" si="15"/>
        <v>-</v>
      </c>
      <c r="M22" s="40" t="str">
        <f t="shared" si="15"/>
        <v>-</v>
      </c>
      <c r="N22" s="18"/>
      <c r="O22" s="30"/>
      <c r="P22" s="30"/>
      <c r="Q22" s="30"/>
      <c r="R22" s="62" t="str">
        <f>IF(P19="","",P22-O70)</f>
        <v/>
      </c>
      <c r="S22" s="62" t="str">
        <f t="shared" si="1"/>
        <v/>
      </c>
      <c r="T22" s="63" t="str">
        <f t="shared" si="10"/>
        <v/>
      </c>
      <c r="U22" s="63" t="str">
        <f t="shared" si="11"/>
        <v/>
      </c>
      <c r="V22" s="63" t="str">
        <f t="shared" si="12"/>
        <v/>
      </c>
      <c r="W22" s="63" t="str">
        <f t="shared" si="13"/>
        <v/>
      </c>
      <c r="X22" s="63" t="str">
        <f t="shared" si="14"/>
        <v/>
      </c>
      <c r="Y22" s="62" t="str">
        <f t="shared" si="2"/>
        <v/>
      </c>
      <c r="Z22" s="62" t="str">
        <f t="shared" si="3"/>
        <v/>
      </c>
      <c r="AA22" s="62" t="str">
        <f t="shared" si="4"/>
        <v/>
      </c>
      <c r="AB22" s="62" t="str">
        <f t="shared" si="5"/>
        <v/>
      </c>
      <c r="AC22" s="62" t="str">
        <f t="shared" si="6"/>
        <v/>
      </c>
      <c r="AD22" s="62" t="str">
        <f t="shared" si="7"/>
        <v/>
      </c>
      <c r="AE22" s="62" t="str">
        <f t="shared" si="8"/>
        <v/>
      </c>
      <c r="AF22" s="62" t="str">
        <f t="shared" si="9"/>
        <v/>
      </c>
      <c r="AG22" s="12"/>
      <c r="AH22" s="12"/>
      <c r="AI22" s="12"/>
      <c r="AJ22" s="12"/>
      <c r="AK22" s="12"/>
      <c r="AL22" s="12"/>
      <c r="AM22" s="13"/>
      <c r="AN22" s="13"/>
      <c r="AO22" s="13"/>
      <c r="AP22" s="13"/>
      <c r="AQ22" s="13"/>
      <c r="AR22" s="13"/>
      <c r="AU22" s="12"/>
      <c r="AV22" s="12"/>
    </row>
    <row r="23" spans="1:141" ht="15" customHeight="1">
      <c r="A23" s="19"/>
      <c r="B23" s="16"/>
      <c r="C23" s="64" t="s">
        <v>95</v>
      </c>
      <c r="D23" s="18"/>
      <c r="E23" s="18"/>
      <c r="F23" s="18"/>
      <c r="G23" s="18"/>
      <c r="H23" s="18"/>
      <c r="I23" s="18"/>
      <c r="J23" s="18"/>
      <c r="K23" s="18"/>
      <c r="L23" s="18"/>
      <c r="M23" s="18"/>
      <c r="N23" s="18"/>
      <c r="O23" s="30"/>
      <c r="P23" s="30"/>
      <c r="Q23" s="30"/>
      <c r="R23" s="62" t="str">
        <f>IF(P19="","",P23-O71)</f>
        <v/>
      </c>
      <c r="S23" s="62" t="str">
        <f t="shared" si="1"/>
        <v/>
      </c>
      <c r="T23" s="63" t="str">
        <f t="shared" si="10"/>
        <v/>
      </c>
      <c r="U23" s="63" t="str">
        <f t="shared" si="11"/>
        <v/>
      </c>
      <c r="V23" s="63" t="str">
        <f t="shared" si="12"/>
        <v/>
      </c>
      <c r="W23" s="63" t="str">
        <f t="shared" si="13"/>
        <v/>
      </c>
      <c r="X23" s="63" t="str">
        <f t="shared" si="14"/>
        <v/>
      </c>
      <c r="Y23" s="62" t="str">
        <f t="shared" si="2"/>
        <v/>
      </c>
      <c r="Z23" s="62" t="str">
        <f t="shared" si="3"/>
        <v/>
      </c>
      <c r="AA23" s="62" t="str">
        <f t="shared" si="4"/>
        <v/>
      </c>
      <c r="AB23" s="62" t="str">
        <f t="shared" si="5"/>
        <v/>
      </c>
      <c r="AC23" s="62" t="str">
        <f t="shared" si="6"/>
        <v/>
      </c>
      <c r="AD23" s="62" t="str">
        <f t="shared" si="7"/>
        <v/>
      </c>
      <c r="AE23" s="62" t="str">
        <f t="shared" si="8"/>
        <v/>
      </c>
      <c r="AF23" s="62" t="str">
        <f t="shared" si="9"/>
        <v/>
      </c>
      <c r="AG23" s="12"/>
      <c r="AH23" s="12"/>
      <c r="AI23" s="12"/>
      <c r="AJ23" s="12"/>
      <c r="AK23" s="12"/>
      <c r="AL23" s="12"/>
      <c r="AM23" s="13"/>
      <c r="AN23" s="13"/>
      <c r="AO23" s="13"/>
      <c r="AP23" s="13"/>
      <c r="AQ23" s="13"/>
      <c r="AR23" s="13"/>
      <c r="AU23" s="12"/>
      <c r="AV23" s="12"/>
    </row>
    <row r="24" spans="1:141" s="48" customFormat="1">
      <c r="A24" s="49"/>
      <c r="B24" s="17" t="s">
        <v>96</v>
      </c>
      <c r="C24" s="64" t="s">
        <v>97</v>
      </c>
      <c r="D24" s="64"/>
      <c r="E24" s="18"/>
      <c r="F24" s="18"/>
      <c r="G24" s="18"/>
      <c r="H24" s="18"/>
      <c r="I24" s="18"/>
      <c r="J24" s="18"/>
      <c r="K24" s="18"/>
      <c r="L24" s="18"/>
      <c r="M24" s="18"/>
      <c r="N24" s="49"/>
      <c r="O24" s="30"/>
      <c r="P24" s="30"/>
      <c r="Q24" s="30"/>
      <c r="R24" s="62" t="str">
        <f>IF(P19="","",P24-O72)</f>
        <v/>
      </c>
      <c r="S24" s="62" t="str">
        <f t="shared" si="1"/>
        <v/>
      </c>
      <c r="T24" s="63" t="str">
        <f t="shared" si="10"/>
        <v/>
      </c>
      <c r="U24" s="63" t="str">
        <f t="shared" si="11"/>
        <v/>
      </c>
      <c r="V24" s="63" t="str">
        <f t="shared" si="12"/>
        <v/>
      </c>
      <c r="W24" s="63" t="str">
        <f t="shared" si="13"/>
        <v/>
      </c>
      <c r="X24" s="63" t="str">
        <f t="shared" si="14"/>
        <v/>
      </c>
      <c r="Y24" s="62" t="str">
        <f t="shared" si="2"/>
        <v/>
      </c>
      <c r="Z24" s="62" t="str">
        <f t="shared" si="3"/>
        <v/>
      </c>
      <c r="AA24" s="62" t="str">
        <f t="shared" si="4"/>
        <v/>
      </c>
      <c r="AB24" s="62" t="str">
        <f t="shared" si="5"/>
        <v/>
      </c>
      <c r="AC24" s="62" t="str">
        <f t="shared" si="6"/>
        <v/>
      </c>
      <c r="AD24" s="62" t="str">
        <f t="shared" si="7"/>
        <v/>
      </c>
      <c r="AE24" s="62" t="str">
        <f t="shared" si="8"/>
        <v/>
      </c>
      <c r="AF24" s="62" t="str">
        <f t="shared" si="9"/>
        <v/>
      </c>
      <c r="AM24" s="65"/>
      <c r="AN24" s="65"/>
      <c r="AO24" s="65"/>
      <c r="AP24" s="65"/>
      <c r="AQ24" s="65"/>
      <c r="AR24" s="65"/>
      <c r="AS24" s="65"/>
      <c r="AT24" s="65"/>
    </row>
    <row r="25" spans="1:141" ht="13.5">
      <c r="A25" s="19"/>
      <c r="B25" s="66" t="s">
        <v>98</v>
      </c>
      <c r="C25" s="61">
        <f>IF(B25="","-",VLOOKUP(B25,'Data Input'!$AA$90:$AE$171,5,FALSE))</f>
        <v>0.5</v>
      </c>
      <c r="D25" s="67"/>
      <c r="E25" s="67"/>
      <c r="F25" s="67"/>
      <c r="G25" s="67"/>
      <c r="H25" s="67"/>
      <c r="I25" s="67"/>
      <c r="J25" s="67"/>
      <c r="K25" s="67"/>
      <c r="L25" s="67"/>
      <c r="M25" s="67"/>
      <c r="N25" s="18"/>
      <c r="O25" s="12" t="s">
        <v>99</v>
      </c>
      <c r="W25" s="12"/>
      <c r="X25" s="12"/>
      <c r="AA25" s="12"/>
      <c r="AB25" s="12"/>
      <c r="AC25" s="12"/>
      <c r="AD25" s="12"/>
      <c r="AE25" s="12"/>
      <c r="AF25" s="12"/>
      <c r="AH25" s="12"/>
      <c r="AI25" s="12"/>
      <c r="AJ25" s="12"/>
      <c r="AK25" s="12"/>
      <c r="AL25" s="12"/>
      <c r="AM25" s="12"/>
      <c r="AN25" s="12"/>
      <c r="AO25" s="13"/>
      <c r="AP25" s="13"/>
      <c r="AQ25" s="13"/>
      <c r="AR25" s="13"/>
    </row>
    <row r="26" spans="1:141">
      <c r="A26" s="19"/>
      <c r="B26" s="66" t="s">
        <v>100</v>
      </c>
      <c r="C26" s="61">
        <f>IF(B26="","-",VLOOKUP(B26,'Data Input'!$AA$90:$AE$171,5,FALSE))</f>
        <v>0.05</v>
      </c>
      <c r="D26" s="67"/>
      <c r="E26" s="67"/>
      <c r="F26" s="67"/>
      <c r="G26" s="67"/>
      <c r="H26" s="67"/>
      <c r="I26" s="67"/>
      <c r="J26" s="67"/>
      <c r="K26" s="67"/>
      <c r="L26" s="67"/>
      <c r="M26" s="67"/>
      <c r="N26" s="18"/>
      <c r="O26" s="12" t="s">
        <v>101</v>
      </c>
      <c r="W26" s="12"/>
      <c r="X26" s="12"/>
      <c r="AA26" s="12"/>
      <c r="AB26" s="12"/>
      <c r="AC26" s="12"/>
      <c r="AD26" s="12"/>
      <c r="AE26" s="12"/>
      <c r="AF26" s="12"/>
      <c r="AG26" s="12"/>
      <c r="AH26" s="12"/>
      <c r="AI26" s="12"/>
      <c r="AJ26" s="12"/>
      <c r="AK26" s="12"/>
      <c r="AL26" s="12"/>
      <c r="AM26" s="12"/>
      <c r="AN26" s="12"/>
      <c r="AO26" s="13"/>
      <c r="AP26" s="13"/>
      <c r="AQ26" s="13"/>
      <c r="AR26" s="13"/>
    </row>
    <row r="27" spans="1:141" ht="12.75" thickBot="1">
      <c r="A27" s="19"/>
      <c r="B27" s="66" t="s">
        <v>102</v>
      </c>
      <c r="C27" s="61">
        <f>IF(B27="","-",VLOOKUP(B27,'Data Input'!$AA$90:$AE$171,5,FALSE))</f>
        <v>0.75</v>
      </c>
      <c r="D27" s="67"/>
      <c r="E27" s="67"/>
      <c r="F27" s="67"/>
      <c r="G27" s="67"/>
      <c r="H27" s="67"/>
      <c r="I27" s="67"/>
      <c r="J27" s="67"/>
      <c r="K27" s="67"/>
      <c r="L27" s="67"/>
      <c r="M27" s="67"/>
      <c r="N27" s="18"/>
      <c r="W27" s="12"/>
      <c r="X27" s="12"/>
      <c r="AA27" s="12"/>
      <c r="AB27" s="12"/>
      <c r="AC27" s="12"/>
      <c r="AD27" s="12"/>
      <c r="AE27" s="12"/>
      <c r="AF27" s="12"/>
      <c r="AG27" s="12"/>
      <c r="AH27" s="12"/>
      <c r="AI27" s="12"/>
      <c r="AJ27" s="12"/>
      <c r="AK27" s="12"/>
      <c r="AL27" s="12"/>
      <c r="AM27" s="12"/>
      <c r="AN27" s="12"/>
      <c r="AO27" s="13"/>
      <c r="AP27" s="13"/>
      <c r="AQ27" s="13"/>
      <c r="AR27" s="13"/>
      <c r="BQ27" s="13"/>
      <c r="CI27" s="13"/>
      <c r="DA27" s="13"/>
      <c r="DS27" s="13"/>
      <c r="EK27" s="13"/>
    </row>
    <row r="28" spans="1:141">
      <c r="A28" s="19"/>
      <c r="B28" s="66" t="s">
        <v>103</v>
      </c>
      <c r="C28" s="61">
        <f>IF(B28="","-",VLOOKUP(B28,'Data Input'!$AA$90:$AE$171,5,FALSE))</f>
        <v>0.3</v>
      </c>
      <c r="D28" s="67"/>
      <c r="E28" s="67"/>
      <c r="F28" s="67"/>
      <c r="G28" s="67"/>
      <c r="H28" s="67"/>
      <c r="I28" s="67"/>
      <c r="J28" s="67"/>
      <c r="K28" s="67"/>
      <c r="L28" s="67"/>
      <c r="M28" s="67"/>
      <c r="N28" s="18"/>
      <c r="O28" s="17" t="s">
        <v>104</v>
      </c>
      <c r="P28" s="221"/>
      <c r="Q28" s="221"/>
      <c r="R28" s="16"/>
      <c r="S28" s="18"/>
      <c r="W28" s="12"/>
      <c r="X28" s="12"/>
      <c r="Y28" s="68"/>
      <c r="Z28" s="69"/>
      <c r="AA28" s="70"/>
      <c r="AB28" s="70"/>
      <c r="AC28" s="70"/>
      <c r="AD28" s="70"/>
      <c r="AE28" s="70"/>
      <c r="AF28" s="70"/>
      <c r="AG28" s="71"/>
      <c r="AH28" s="72"/>
      <c r="AI28" s="12"/>
      <c r="AJ28" s="12"/>
      <c r="AK28" s="12"/>
      <c r="AL28" s="12"/>
      <c r="AM28" s="12"/>
      <c r="AN28" s="12"/>
      <c r="AO28" s="13"/>
      <c r="AP28" s="13"/>
      <c r="AQ28" s="13"/>
      <c r="AR28" s="13"/>
      <c r="BQ28" s="13"/>
      <c r="CI28" s="13"/>
      <c r="DA28" s="13"/>
      <c r="DS28" s="13"/>
      <c r="EK28" s="13"/>
    </row>
    <row r="29" spans="1:141">
      <c r="A29" s="19"/>
      <c r="B29" s="66" t="s">
        <v>105</v>
      </c>
      <c r="C29" s="61">
        <f>IF(B29="","-",VLOOKUP(B29,'Data Input'!$AA$90:$AE$171,5,FALSE))</f>
        <v>0.4</v>
      </c>
      <c r="D29" s="67"/>
      <c r="E29" s="67"/>
      <c r="F29" s="67"/>
      <c r="G29" s="67"/>
      <c r="H29" s="67"/>
      <c r="I29" s="67"/>
      <c r="J29" s="67"/>
      <c r="K29" s="67"/>
      <c r="L29" s="67"/>
      <c r="M29" s="67"/>
      <c r="N29" s="18"/>
      <c r="W29" s="12"/>
      <c r="X29" s="12"/>
      <c r="Y29" s="25"/>
      <c r="Z29" s="73" t="s">
        <v>106</v>
      </c>
      <c r="AH29" s="74"/>
      <c r="AI29" s="12"/>
      <c r="AJ29" s="12"/>
      <c r="AK29" s="12"/>
      <c r="AL29" s="12"/>
      <c r="AM29" s="12"/>
      <c r="AN29" s="12"/>
      <c r="AO29" s="13"/>
      <c r="AP29" s="13"/>
      <c r="AQ29" s="13"/>
      <c r="AR29" s="13"/>
      <c r="BQ29" s="13"/>
      <c r="CI29" s="13"/>
      <c r="DA29" s="13"/>
      <c r="DS29" s="13"/>
      <c r="EK29" s="13"/>
    </row>
    <row r="30" spans="1:141">
      <c r="A30" s="19"/>
      <c r="B30" s="66" t="s">
        <v>107</v>
      </c>
      <c r="C30" s="61">
        <f>IF(B30="","-",VLOOKUP(B30,'Data Input'!$AA$90:$AE$171,5,FALSE))</f>
        <v>0.2</v>
      </c>
      <c r="D30" s="67"/>
      <c r="E30" s="67"/>
      <c r="F30" s="67"/>
      <c r="G30" s="67"/>
      <c r="H30" s="67"/>
      <c r="I30" s="67"/>
      <c r="J30" s="67"/>
      <c r="K30" s="67"/>
      <c r="L30" s="67"/>
      <c r="M30" s="67"/>
      <c r="N30" s="18"/>
      <c r="O30" s="16" t="s">
        <v>108</v>
      </c>
      <c r="P30" s="222"/>
      <c r="R30" s="16" t="s">
        <v>81</v>
      </c>
      <c r="S30" s="75" t="s">
        <v>109</v>
      </c>
      <c r="T30" s="76" t="str">
        <f>IF($P$30="","-",HLOOKUP($P$30,'Data Input'!$AB$32:$AG$36,2,FALSE))</f>
        <v>-</v>
      </c>
      <c r="V30" s="16" t="s">
        <v>79</v>
      </c>
      <c r="W30" s="75" t="s">
        <v>109</v>
      </c>
      <c r="X30" s="76" t="str">
        <f>IF($P$30="","-",HLOOKUP($P$30,'Data Input'!$AB$32:$AG$36,4,FALSE))</f>
        <v>-</v>
      </c>
      <c r="Y30" s="25"/>
      <c r="AA30" s="77"/>
      <c r="AB30" s="77"/>
      <c r="AF30" s="77"/>
      <c r="AG30" s="77"/>
      <c r="AH30" s="74"/>
      <c r="AI30" s="12"/>
      <c r="AJ30" s="12"/>
      <c r="AK30" s="12"/>
      <c r="AL30" s="12"/>
      <c r="AM30" s="12"/>
      <c r="AN30" s="12"/>
      <c r="AO30" s="13"/>
      <c r="AP30" s="13"/>
      <c r="AQ30" s="13"/>
      <c r="AR30" s="13"/>
      <c r="BQ30" s="13"/>
      <c r="CI30" s="13"/>
      <c r="DA30" s="13"/>
      <c r="DS30" s="13"/>
      <c r="EK30" s="13"/>
    </row>
    <row r="31" spans="1:141">
      <c r="A31" s="19"/>
      <c r="B31" s="66" t="s">
        <v>110</v>
      </c>
      <c r="C31" s="61">
        <f>IF(B31="","-",VLOOKUP(B31,'Data Input'!$AA$90:$AE$171,5,FALSE))</f>
        <v>0.35</v>
      </c>
      <c r="D31" s="67"/>
      <c r="E31" s="67"/>
      <c r="F31" s="67"/>
      <c r="G31" s="67"/>
      <c r="H31" s="67"/>
      <c r="I31" s="67"/>
      <c r="J31" s="67"/>
      <c r="K31" s="67"/>
      <c r="L31" s="67"/>
      <c r="M31" s="67"/>
      <c r="N31" s="18"/>
      <c r="O31" s="19"/>
      <c r="P31" s="20"/>
      <c r="S31" s="75" t="s">
        <v>111</v>
      </c>
      <c r="T31" s="76" t="str">
        <f>IF($P$30="","-",HLOOKUP($P$30,'Data Input'!$AB$32:$AG$36,3,FALSE))</f>
        <v>-</v>
      </c>
      <c r="W31" s="75" t="s">
        <v>111</v>
      </c>
      <c r="X31" s="76" t="str">
        <f>IF($P$30="","-",HLOOKUP($P$30,'Data Input'!$AB$32:$AG$36,5,FALSE))</f>
        <v>-</v>
      </c>
      <c r="Y31" s="25"/>
      <c r="Z31" s="78"/>
      <c r="AA31" s="78"/>
      <c r="AB31" s="205" t="s">
        <v>112</v>
      </c>
      <c r="AC31" s="206"/>
      <c r="AD31" s="207"/>
      <c r="AE31" s="205" t="s">
        <v>113</v>
      </c>
      <c r="AF31" s="207"/>
      <c r="AG31" s="78" t="s">
        <v>114</v>
      </c>
      <c r="AH31" s="74"/>
      <c r="AI31" s="12"/>
      <c r="AJ31" s="12"/>
      <c r="AK31" s="12"/>
      <c r="AL31" s="12"/>
      <c r="AM31" s="12"/>
      <c r="AN31" s="12"/>
      <c r="AO31" s="13"/>
      <c r="AP31" s="13"/>
      <c r="AQ31" s="13"/>
      <c r="AR31" s="13"/>
      <c r="BQ31" s="13"/>
      <c r="CI31" s="13"/>
      <c r="DA31" s="13"/>
      <c r="DS31" s="13"/>
      <c r="EK31" s="13"/>
    </row>
    <row r="32" spans="1:141">
      <c r="A32" s="19"/>
      <c r="B32" s="66" t="s">
        <v>115</v>
      </c>
      <c r="C32" s="61">
        <f>IF(B32="","-",VLOOKUP(B32,'Data Input'!$AA$90:$AE$171,5,FALSE))</f>
        <v>0.8</v>
      </c>
      <c r="D32" s="67"/>
      <c r="E32" s="67"/>
      <c r="F32" s="67"/>
      <c r="G32" s="67"/>
      <c r="H32" s="67"/>
      <c r="I32" s="67"/>
      <c r="J32" s="67"/>
      <c r="K32" s="67"/>
      <c r="L32" s="67"/>
      <c r="M32" s="67"/>
      <c r="N32" s="18"/>
      <c r="W32" s="12"/>
      <c r="X32" s="12"/>
      <c r="Y32" s="25"/>
      <c r="Z32" s="78"/>
      <c r="AA32" s="78"/>
      <c r="AB32" s="78" t="s">
        <v>116</v>
      </c>
      <c r="AC32" s="78" t="s">
        <v>117</v>
      </c>
      <c r="AD32" s="78" t="s">
        <v>118</v>
      </c>
      <c r="AE32" s="78" t="s">
        <v>119</v>
      </c>
      <c r="AF32" s="78" t="s">
        <v>120</v>
      </c>
      <c r="AG32" s="78" t="s">
        <v>121</v>
      </c>
      <c r="AH32" s="74"/>
      <c r="AI32" s="12"/>
      <c r="AJ32" s="12"/>
      <c r="AK32" s="12"/>
      <c r="AL32" s="12"/>
      <c r="AM32" s="12"/>
      <c r="AN32" s="12"/>
      <c r="AO32" s="13"/>
      <c r="AP32" s="13"/>
      <c r="AQ32" s="13"/>
      <c r="AR32" s="13"/>
    </row>
    <row r="33" spans="1:148">
      <c r="A33" s="19"/>
      <c r="B33" s="66" t="s">
        <v>122</v>
      </c>
      <c r="C33" s="61">
        <f>IF(B33="","-",VLOOKUP(B33,'Data Input'!$AA$90:$AE$171,5,FALSE))</f>
        <v>0</v>
      </c>
      <c r="D33" s="67"/>
      <c r="E33" s="67"/>
      <c r="F33" s="67"/>
      <c r="G33" s="67"/>
      <c r="H33" s="67"/>
      <c r="I33" s="67"/>
      <c r="J33" s="67"/>
      <c r="K33" s="67"/>
      <c r="L33" s="67"/>
      <c r="M33" s="67"/>
      <c r="N33" s="18"/>
      <c r="O33" s="17" t="s">
        <v>123</v>
      </c>
      <c r="X33" s="12"/>
      <c r="Y33" s="25"/>
      <c r="Z33" s="79" t="s">
        <v>81</v>
      </c>
      <c r="AA33" s="78" t="s">
        <v>109</v>
      </c>
      <c r="AB33" s="80">
        <v>0.1</v>
      </c>
      <c r="AC33" s="80">
        <v>0.05</v>
      </c>
      <c r="AD33" s="80">
        <v>0.05</v>
      </c>
      <c r="AE33" s="80">
        <v>0.16</v>
      </c>
      <c r="AF33" s="80">
        <v>0.08</v>
      </c>
      <c r="AG33" s="80">
        <v>0.09</v>
      </c>
      <c r="AH33" s="74"/>
      <c r="AI33" s="12"/>
      <c r="AJ33" s="12"/>
      <c r="AK33" s="12"/>
      <c r="AL33" s="12"/>
      <c r="AM33" s="12"/>
      <c r="AN33" s="12"/>
      <c r="AO33" s="13"/>
      <c r="AP33" s="13"/>
      <c r="AQ33" s="13"/>
      <c r="AR33" s="13"/>
    </row>
    <row r="34" spans="1:148">
      <c r="A34" s="19"/>
      <c r="B34" s="66" t="s">
        <v>124</v>
      </c>
      <c r="C34" s="61">
        <f>IF(B34="","-",VLOOKUP(B34,'Data Input'!$AA$90:$AE$171,5,FALSE))</f>
        <v>0.03</v>
      </c>
      <c r="D34" s="67"/>
      <c r="E34" s="67"/>
      <c r="F34" s="67"/>
      <c r="G34" s="67"/>
      <c r="H34" s="67"/>
      <c r="I34" s="67"/>
      <c r="J34" s="67"/>
      <c r="K34" s="67"/>
      <c r="L34" s="67"/>
      <c r="M34" s="67"/>
      <c r="N34" s="18"/>
      <c r="P34" s="16"/>
      <c r="Q34" s="16"/>
      <c r="R34" s="16"/>
      <c r="S34" s="16"/>
      <c r="T34" s="16"/>
      <c r="U34" s="16"/>
      <c r="V34" s="16"/>
      <c r="W34" s="12"/>
      <c r="X34" s="12"/>
      <c r="Y34" s="25"/>
      <c r="Z34" s="79" t="s">
        <v>81</v>
      </c>
      <c r="AA34" s="78" t="s">
        <v>111</v>
      </c>
      <c r="AB34" s="80">
        <v>0</v>
      </c>
      <c r="AC34" s="80">
        <v>0.05</v>
      </c>
      <c r="AD34" s="80">
        <v>0.05</v>
      </c>
      <c r="AE34" s="80">
        <v>0</v>
      </c>
      <c r="AF34" s="80">
        <v>0.08</v>
      </c>
      <c r="AG34" s="80">
        <v>0.09</v>
      </c>
      <c r="AH34" s="74"/>
      <c r="AI34" s="12"/>
      <c r="AJ34" s="12"/>
      <c r="AK34" s="12"/>
      <c r="AL34" s="12"/>
      <c r="AM34" s="12"/>
      <c r="AN34" s="12"/>
      <c r="AO34" s="13"/>
      <c r="AP34" s="13"/>
      <c r="AQ34" s="13"/>
      <c r="AR34" s="13"/>
    </row>
    <row r="35" spans="1:148" ht="14.25">
      <c r="A35" s="19"/>
      <c r="B35" s="66" t="s">
        <v>125</v>
      </c>
      <c r="C35" s="61">
        <f>IF(B35="","-",VLOOKUP(B35,'Data Input'!$AA$90:$AE$171,5,FALSE))</f>
        <v>0.15</v>
      </c>
      <c r="D35" s="67"/>
      <c r="E35" s="67"/>
      <c r="F35" s="67"/>
      <c r="G35" s="67"/>
      <c r="H35" s="67"/>
      <c r="I35" s="67"/>
      <c r="J35" s="67"/>
      <c r="K35" s="67"/>
      <c r="L35" s="67"/>
      <c r="M35" s="67"/>
      <c r="N35" s="18"/>
      <c r="O35" s="16" t="s">
        <v>126</v>
      </c>
      <c r="P35" s="16"/>
      <c r="Q35" s="16"/>
      <c r="R35" s="16"/>
      <c r="S35" s="16"/>
      <c r="T35" s="16"/>
      <c r="U35" s="81"/>
      <c r="V35" s="16" t="s">
        <v>127</v>
      </c>
      <c r="W35" s="12"/>
      <c r="X35" s="12"/>
      <c r="Y35" s="25"/>
      <c r="Z35" s="79" t="s">
        <v>128</v>
      </c>
      <c r="AA35" s="78" t="s">
        <v>109</v>
      </c>
      <c r="AB35" s="80">
        <v>0.06</v>
      </c>
      <c r="AC35" s="80">
        <v>0.03</v>
      </c>
      <c r="AD35" s="80">
        <v>0.03</v>
      </c>
      <c r="AE35" s="80">
        <v>0.1</v>
      </c>
      <c r="AF35" s="80">
        <v>0.05</v>
      </c>
      <c r="AG35" s="80">
        <v>7.0000000000000007E-2</v>
      </c>
      <c r="AH35" s="74"/>
      <c r="AI35" s="12"/>
      <c r="AJ35" s="12"/>
      <c r="AK35" s="12"/>
      <c r="AL35" s="12"/>
      <c r="AM35" s="12"/>
      <c r="AN35" s="12"/>
      <c r="AO35" s="13"/>
      <c r="AP35" s="13"/>
      <c r="AQ35" s="13"/>
      <c r="AR35" s="13"/>
      <c r="AW35" s="87"/>
      <c r="AX35" s="87"/>
    </row>
    <row r="36" spans="1:148">
      <c r="A36" s="19"/>
      <c r="B36" s="66" t="s">
        <v>129</v>
      </c>
      <c r="C36" s="61">
        <f>IF(B36="","-",VLOOKUP(B36,'Data Input'!$AA$90:$AE$171,5,FALSE))</f>
        <v>0.3</v>
      </c>
      <c r="D36" s="67"/>
      <c r="E36" s="67"/>
      <c r="F36" s="67"/>
      <c r="G36" s="67"/>
      <c r="H36" s="67"/>
      <c r="I36" s="67"/>
      <c r="J36" s="67"/>
      <c r="K36" s="67"/>
      <c r="L36" s="67"/>
      <c r="M36" s="67"/>
      <c r="N36" s="18"/>
      <c r="O36" s="16" t="s">
        <v>130</v>
      </c>
      <c r="P36" s="16"/>
      <c r="Q36" s="16"/>
      <c r="R36" s="16"/>
      <c r="S36" s="16"/>
      <c r="T36" s="16"/>
      <c r="U36" s="222"/>
      <c r="V36" s="16"/>
      <c r="W36" s="12"/>
      <c r="X36" s="12"/>
      <c r="Y36" s="25"/>
      <c r="Z36" s="79" t="s">
        <v>128</v>
      </c>
      <c r="AA36" s="78" t="s">
        <v>111</v>
      </c>
      <c r="AB36" s="80">
        <v>0</v>
      </c>
      <c r="AC36" s="80">
        <v>0.03</v>
      </c>
      <c r="AD36" s="80">
        <v>0.03</v>
      </c>
      <c r="AE36" s="80">
        <v>0</v>
      </c>
      <c r="AF36" s="80">
        <v>0.05</v>
      </c>
      <c r="AG36" s="80">
        <v>7.0000000000000007E-2</v>
      </c>
      <c r="AH36" s="74"/>
      <c r="AI36" s="12"/>
      <c r="AJ36" s="12"/>
      <c r="AK36" s="12"/>
      <c r="AL36" s="12"/>
      <c r="AM36" s="12"/>
      <c r="AN36" s="12"/>
      <c r="AO36" s="13"/>
      <c r="AP36" s="13"/>
      <c r="AQ36" s="13"/>
      <c r="AR36" s="13"/>
      <c r="AW36" s="87"/>
      <c r="AX36" s="87"/>
    </row>
    <row r="37" spans="1:148" ht="15.75" thickBot="1">
      <c r="A37" s="19"/>
      <c r="B37" s="66" t="s">
        <v>131</v>
      </c>
      <c r="C37" s="61">
        <f>IF(B37="","-",VLOOKUP(B37,'Data Input'!$AA$90:$AE$171,5,FALSE))</f>
        <v>2</v>
      </c>
      <c r="D37" s="67"/>
      <c r="E37" s="67"/>
      <c r="F37" s="88"/>
      <c r="G37" s="67"/>
      <c r="H37" s="67"/>
      <c r="I37" s="67"/>
      <c r="J37" s="67"/>
      <c r="K37" s="67"/>
      <c r="L37" s="67"/>
      <c r="M37" s="67"/>
      <c r="N37" s="18"/>
      <c r="O37" s="16" t="s">
        <v>132</v>
      </c>
      <c r="P37" s="16"/>
      <c r="Q37" s="16"/>
      <c r="R37" s="82"/>
      <c r="S37" s="16"/>
      <c r="T37" s="16"/>
      <c r="U37" s="83" t="str">
        <f>IF(U36=0,"-",U5/1000*3600/4/U36)</f>
        <v>-</v>
      </c>
      <c r="V37" s="16" t="s">
        <v>133</v>
      </c>
      <c r="W37" s="12"/>
      <c r="X37" s="12"/>
      <c r="Y37" s="84"/>
      <c r="Z37" s="85"/>
      <c r="AA37" s="85"/>
      <c r="AB37" s="85"/>
      <c r="AC37" s="85"/>
      <c r="AD37" s="85"/>
      <c r="AE37" s="85"/>
      <c r="AF37" s="85"/>
      <c r="AG37" s="85"/>
      <c r="AH37" s="86"/>
      <c r="AI37" s="12"/>
      <c r="AJ37" s="12"/>
      <c r="AK37" s="12"/>
      <c r="AL37" s="12"/>
      <c r="AM37" s="12"/>
      <c r="AN37" s="12"/>
      <c r="AO37" s="13"/>
      <c r="AP37" s="13"/>
      <c r="AQ37" s="13"/>
      <c r="AR37" s="13"/>
      <c r="AW37" s="87"/>
      <c r="AX37" s="87"/>
    </row>
    <row r="38" spans="1:148">
      <c r="A38" s="19"/>
      <c r="B38" s="66" t="s">
        <v>134</v>
      </c>
      <c r="C38" s="61">
        <f>IF(B38="","-",VLOOKUP(B38,'Data Input'!$AA$90:$AE$171,5,FALSE))</f>
        <v>1</v>
      </c>
      <c r="D38" s="67"/>
      <c r="E38" s="67"/>
      <c r="F38" s="67"/>
      <c r="G38" s="67"/>
      <c r="H38" s="67"/>
      <c r="I38" s="67"/>
      <c r="J38" s="67"/>
      <c r="K38" s="67"/>
      <c r="L38" s="67"/>
      <c r="M38" s="67"/>
      <c r="N38" s="18"/>
      <c r="O38" s="16" t="s">
        <v>135</v>
      </c>
      <c r="P38" s="16"/>
      <c r="Q38" s="16"/>
      <c r="R38" s="16"/>
      <c r="S38" s="16"/>
      <c r="T38" s="16"/>
      <c r="U38" s="83" t="str">
        <f>IF(U35=0,"-",IF(U36=0,"-",U37/U35))</f>
        <v>-</v>
      </c>
      <c r="V38" s="16" t="s">
        <v>89</v>
      </c>
      <c r="W38" s="12"/>
      <c r="X38" s="12"/>
      <c r="AA38" s="12"/>
      <c r="AB38" s="12"/>
      <c r="AC38" s="12"/>
      <c r="AD38" s="12"/>
      <c r="AE38" s="12"/>
      <c r="AF38" s="12"/>
      <c r="AH38" s="19"/>
      <c r="AI38" s="12"/>
      <c r="AJ38" s="12"/>
      <c r="AK38" s="12"/>
      <c r="AL38" s="12"/>
      <c r="AM38" s="12"/>
      <c r="AN38" s="12"/>
      <c r="AO38" s="13"/>
      <c r="AP38" s="13"/>
      <c r="AQ38" s="13"/>
      <c r="AR38" s="13"/>
      <c r="AW38" s="87"/>
      <c r="AX38" s="87"/>
    </row>
    <row r="39" spans="1:148">
      <c r="A39" s="19"/>
      <c r="B39" s="66" t="s">
        <v>136</v>
      </c>
      <c r="C39" s="61">
        <f>IF(B39="","-",VLOOKUP(B39,'Data Input'!$AA$90:$AE$171,5,FALSE))</f>
        <v>1</v>
      </c>
      <c r="D39" s="67"/>
      <c r="E39" s="67"/>
      <c r="F39" s="67"/>
      <c r="G39" s="67"/>
      <c r="H39" s="67"/>
      <c r="I39" s="67"/>
      <c r="J39" s="67"/>
      <c r="K39" s="67"/>
      <c r="L39" s="67"/>
      <c r="M39" s="67"/>
      <c r="N39" s="18"/>
      <c r="O39" s="16"/>
      <c r="P39" s="16"/>
      <c r="Q39" s="16"/>
      <c r="R39" s="16"/>
      <c r="S39" s="16"/>
      <c r="T39" s="16"/>
      <c r="U39" s="16"/>
      <c r="V39" s="16"/>
      <c r="W39" s="12"/>
      <c r="X39" s="12"/>
      <c r="AA39" s="12"/>
      <c r="AB39" s="12"/>
      <c r="AC39" s="12"/>
      <c r="AD39" s="12"/>
      <c r="AE39" s="12"/>
      <c r="AF39" s="12"/>
      <c r="AG39" s="89"/>
      <c r="AH39" s="19"/>
      <c r="AI39" s="12"/>
      <c r="AJ39" s="12"/>
      <c r="AK39" s="12"/>
      <c r="AL39" s="12"/>
      <c r="AM39" s="12"/>
      <c r="AN39" s="12"/>
      <c r="AO39" s="13"/>
      <c r="AP39" s="13"/>
      <c r="AQ39" s="13"/>
      <c r="AR39" s="13"/>
    </row>
    <row r="40" spans="1:148">
      <c r="A40" s="19"/>
      <c r="B40" s="66"/>
      <c r="C40" s="61" t="str">
        <f>IF(B40="","-",VLOOKUP(B40,'Data Input'!$AA$90:$AE$171,5,FALSE))</f>
        <v>-</v>
      </c>
      <c r="D40" s="67"/>
      <c r="E40" s="67"/>
      <c r="F40" s="67"/>
      <c r="G40" s="67"/>
      <c r="H40" s="67"/>
      <c r="I40" s="67"/>
      <c r="J40" s="67"/>
      <c r="K40" s="67"/>
      <c r="L40" s="67"/>
      <c r="M40" s="67"/>
      <c r="N40" s="18"/>
      <c r="O40" s="17" t="s">
        <v>137</v>
      </c>
      <c r="P40" s="16"/>
      <c r="Q40" s="82"/>
      <c r="R40" s="16"/>
      <c r="S40" s="221"/>
      <c r="T40" s="16"/>
      <c r="U40" s="16"/>
      <c r="V40" s="16"/>
      <c r="W40" s="12"/>
      <c r="X40" s="12"/>
      <c r="AA40" s="12"/>
      <c r="AB40" s="12"/>
      <c r="AC40" s="12"/>
      <c r="AD40" s="12"/>
      <c r="AE40" s="12"/>
      <c r="AF40" s="12"/>
      <c r="AG40" s="89"/>
      <c r="AH40" s="19"/>
      <c r="AI40" s="12"/>
      <c r="AJ40" s="12"/>
      <c r="AK40" s="12"/>
      <c r="AL40" s="12"/>
      <c r="AM40" s="12"/>
      <c r="AN40" s="12"/>
      <c r="AO40" s="13"/>
      <c r="AP40" s="13"/>
      <c r="AQ40" s="13"/>
      <c r="AR40" s="13"/>
      <c r="AW40" s="90"/>
      <c r="AX40" s="90"/>
      <c r="AY40" s="90"/>
      <c r="AZ40" s="90"/>
      <c r="BA40" s="90"/>
      <c r="BB40" s="90"/>
    </row>
    <row r="41" spans="1:148">
      <c r="A41" s="19"/>
      <c r="B41" s="91" t="s">
        <v>138</v>
      </c>
      <c r="C41" s="92"/>
      <c r="D41" s="93"/>
      <c r="E41" s="93"/>
      <c r="F41" s="93"/>
      <c r="G41" s="93"/>
      <c r="H41" s="93"/>
      <c r="I41" s="93"/>
      <c r="J41" s="93"/>
      <c r="K41" s="93"/>
      <c r="L41" s="93"/>
      <c r="M41" s="93"/>
      <c r="N41" s="18"/>
      <c r="W41" s="12"/>
      <c r="X41" s="12"/>
      <c r="AA41" s="12"/>
      <c r="AB41" s="12"/>
      <c r="AC41" s="12"/>
      <c r="AD41" s="12"/>
      <c r="AE41" s="12"/>
      <c r="AF41" s="12"/>
      <c r="AG41" s="89"/>
      <c r="AH41" s="19"/>
      <c r="AI41" s="12"/>
      <c r="AJ41" s="12"/>
      <c r="AK41" s="12"/>
      <c r="AL41" s="12"/>
      <c r="AM41" s="12"/>
      <c r="AN41" s="12"/>
      <c r="AO41" s="13"/>
      <c r="AP41" s="13"/>
      <c r="AQ41" s="13"/>
      <c r="AR41" s="13"/>
      <c r="BB41" s="90"/>
    </row>
    <row r="42" spans="1:148">
      <c r="A42" s="19"/>
      <c r="B42" s="94"/>
      <c r="C42" s="95"/>
      <c r="D42" s="67"/>
      <c r="E42" s="67"/>
      <c r="F42" s="67"/>
      <c r="G42" s="67"/>
      <c r="H42" s="67"/>
      <c r="I42" s="67"/>
      <c r="J42" s="67"/>
      <c r="K42" s="67"/>
      <c r="L42" s="67"/>
      <c r="M42" s="67"/>
      <c r="N42" s="18"/>
      <c r="O42" s="16" t="s">
        <v>139</v>
      </c>
      <c r="P42" s="16"/>
      <c r="Q42" s="82"/>
      <c r="R42" s="16"/>
      <c r="S42" s="16"/>
      <c r="T42" s="16"/>
      <c r="U42" s="222"/>
      <c r="V42" s="16" t="s">
        <v>53</v>
      </c>
      <c r="W42" s="12"/>
      <c r="X42" s="12"/>
      <c r="AA42" s="12"/>
      <c r="AB42" s="12"/>
      <c r="AC42" s="12"/>
      <c r="AD42" s="12"/>
      <c r="AE42" s="12"/>
      <c r="AF42" s="12"/>
      <c r="AG42" s="89"/>
      <c r="AH42" s="19"/>
      <c r="AI42" s="12"/>
      <c r="AJ42" s="12"/>
      <c r="AK42" s="12"/>
      <c r="AL42" s="12"/>
      <c r="AM42" s="12"/>
      <c r="AN42" s="12"/>
      <c r="AO42" s="13"/>
      <c r="AP42" s="13"/>
      <c r="AQ42" s="13"/>
      <c r="AR42" s="13"/>
      <c r="BB42" s="90"/>
    </row>
    <row r="43" spans="1:148">
      <c r="A43" s="19"/>
      <c r="B43" s="94"/>
      <c r="C43" s="95"/>
      <c r="D43" s="67"/>
      <c r="E43" s="67"/>
      <c r="F43" s="67"/>
      <c r="G43" s="67"/>
      <c r="H43" s="67"/>
      <c r="I43" s="67"/>
      <c r="J43" s="67"/>
      <c r="K43" s="67"/>
      <c r="L43" s="67"/>
      <c r="M43" s="67"/>
      <c r="N43" s="18"/>
      <c r="O43" s="16" t="s">
        <v>140</v>
      </c>
      <c r="P43" s="16"/>
      <c r="Q43" s="16"/>
      <c r="R43" s="16"/>
      <c r="S43" s="16"/>
      <c r="T43" s="16"/>
      <c r="U43" s="222"/>
      <c r="V43" s="16" t="s">
        <v>89</v>
      </c>
      <c r="W43" s="16"/>
      <c r="X43" s="16"/>
      <c r="Y43" s="16"/>
      <c r="Z43" s="16"/>
      <c r="AA43" s="18"/>
      <c r="AG43" s="89"/>
      <c r="AH43" s="19"/>
      <c r="AI43" s="12"/>
      <c r="AJ43" s="12"/>
      <c r="AK43" s="12"/>
      <c r="AL43" s="12"/>
      <c r="AM43" s="12"/>
      <c r="AN43" s="12"/>
      <c r="AO43" s="13"/>
      <c r="AP43" s="13"/>
      <c r="AQ43" s="13"/>
      <c r="AR43" s="13"/>
      <c r="BB43" s="90"/>
    </row>
    <row r="44" spans="1:148">
      <c r="A44" s="19"/>
      <c r="B44" s="16" t="s">
        <v>141</v>
      </c>
      <c r="C44" s="221"/>
      <c r="D44" s="83">
        <f t="shared" ref="D44:M44" si="16">SUMPRODUCT($C$25:$C$43,D25:D43)</f>
        <v>0</v>
      </c>
      <c r="E44" s="83">
        <f t="shared" si="16"/>
        <v>0</v>
      </c>
      <c r="F44" s="83">
        <f t="shared" si="16"/>
        <v>0</v>
      </c>
      <c r="G44" s="83">
        <f t="shared" si="16"/>
        <v>0</v>
      </c>
      <c r="H44" s="83">
        <f t="shared" si="16"/>
        <v>0</v>
      </c>
      <c r="I44" s="83">
        <f t="shared" si="16"/>
        <v>0</v>
      </c>
      <c r="J44" s="83">
        <f t="shared" si="16"/>
        <v>0</v>
      </c>
      <c r="K44" s="83">
        <f t="shared" si="16"/>
        <v>0</v>
      </c>
      <c r="L44" s="83">
        <f t="shared" si="16"/>
        <v>0</v>
      </c>
      <c r="M44" s="83">
        <f t="shared" si="16"/>
        <v>0</v>
      </c>
      <c r="N44" s="18"/>
      <c r="O44" s="16" t="s">
        <v>142</v>
      </c>
      <c r="P44" s="16"/>
      <c r="Q44" s="82"/>
      <c r="R44" s="16"/>
      <c r="S44" s="16"/>
      <c r="T44" s="16"/>
      <c r="U44" s="96" t="str">
        <f>IF(U42=0,"-",IF(U35=0,"-",(U37+(U35*U43)+SUMPRODUCT(((D18:N18)/1000/2)^2*3.14,D19:N19))/(U42*3600/1000)))</f>
        <v>-</v>
      </c>
      <c r="V44" s="16" t="s">
        <v>143</v>
      </c>
      <c r="W44" s="221"/>
      <c r="X44" s="221"/>
      <c r="Y44" s="16"/>
      <c r="Z44" s="16"/>
      <c r="AA44" s="18"/>
      <c r="AH44" s="19"/>
      <c r="AI44" s="12"/>
      <c r="AJ44" s="12"/>
      <c r="AK44" s="12"/>
      <c r="AL44" s="12"/>
      <c r="AM44" s="12"/>
      <c r="AN44" s="12"/>
      <c r="AO44" s="13"/>
      <c r="AP44" s="13"/>
      <c r="AQ44" s="13"/>
      <c r="AR44" s="13"/>
      <c r="BB44" s="90"/>
      <c r="BC44" s="97"/>
      <c r="BD44" s="87"/>
    </row>
    <row r="45" spans="1:148">
      <c r="A45" s="19"/>
      <c r="C45" s="12"/>
      <c r="D45" s="12"/>
      <c r="E45" s="12"/>
      <c r="F45" s="12"/>
      <c r="G45" s="12"/>
      <c r="H45" s="12"/>
      <c r="I45" s="12"/>
      <c r="J45" s="12"/>
      <c r="K45" s="12"/>
      <c r="L45" s="12"/>
      <c r="M45" s="12"/>
      <c r="N45" s="18"/>
      <c r="W45" s="221"/>
      <c r="X45" s="221"/>
      <c r="Y45" s="16"/>
      <c r="Z45" s="16"/>
      <c r="AA45" s="18"/>
      <c r="AH45" s="19"/>
      <c r="AI45" s="12"/>
      <c r="AJ45" s="12"/>
      <c r="AK45" s="12"/>
      <c r="AL45" s="12"/>
      <c r="AM45" s="12"/>
      <c r="AN45" s="12"/>
      <c r="AO45" s="13"/>
      <c r="AP45" s="13"/>
      <c r="AQ45" s="13"/>
      <c r="AR45" s="13"/>
      <c r="BB45" s="90"/>
      <c r="BC45" s="97"/>
      <c r="BD45" s="87"/>
    </row>
    <row r="46" spans="1:148">
      <c r="C46" s="17" t="s">
        <v>144</v>
      </c>
      <c r="D46" s="18"/>
      <c r="E46" s="18"/>
      <c r="F46" s="18"/>
      <c r="G46" s="18"/>
      <c r="H46" s="18"/>
      <c r="I46" s="18"/>
      <c r="J46" s="18"/>
      <c r="K46" s="18"/>
      <c r="L46" s="18"/>
      <c r="M46" s="18"/>
      <c r="O46" s="16"/>
      <c r="P46" s="16"/>
      <c r="Q46" s="16"/>
      <c r="R46" s="16"/>
      <c r="S46" s="16"/>
      <c r="T46" s="16"/>
      <c r="U46" s="16"/>
      <c r="V46" s="16"/>
      <c r="W46" s="16"/>
      <c r="X46" s="16"/>
      <c r="Y46" s="16"/>
      <c r="Z46" s="16"/>
      <c r="AH46" s="98"/>
      <c r="BB46" s="90"/>
      <c r="BC46" s="97"/>
      <c r="BD46" s="87"/>
    </row>
    <row r="47" spans="1:148">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8"/>
      <c r="AD47" s="14"/>
      <c r="AE47" s="14"/>
      <c r="AF47" s="14"/>
      <c r="AG47" s="14"/>
      <c r="AH47" s="14"/>
      <c r="AI47" s="14"/>
      <c r="AJ47" s="14"/>
      <c r="AK47" s="14"/>
      <c r="AL47" s="14"/>
      <c r="AM47" s="14"/>
      <c r="AN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row>
    <row r="48" spans="1:148">
      <c r="A48" s="19"/>
      <c r="C48" s="99" t="s">
        <v>145</v>
      </c>
      <c r="D48" s="100"/>
      <c r="E48" s="92"/>
      <c r="F48" s="92"/>
      <c r="G48" s="92"/>
      <c r="H48" s="92"/>
      <c r="I48" s="101"/>
      <c r="J48" s="101"/>
      <c r="K48" s="101"/>
      <c r="L48" s="101"/>
      <c r="M48" s="101"/>
      <c r="N48" s="18"/>
      <c r="O48" s="102" t="s">
        <v>146</v>
      </c>
      <c r="P48" s="102" t="s">
        <v>147</v>
      </c>
      <c r="Q48" s="102" t="s">
        <v>148</v>
      </c>
      <c r="R48" s="102" t="s">
        <v>47</v>
      </c>
      <c r="W48" s="12"/>
      <c r="X48" s="12"/>
      <c r="AA48" s="18"/>
      <c r="AD48" s="14"/>
      <c r="AE48" s="14"/>
      <c r="AF48" s="14"/>
      <c r="AG48" s="14"/>
      <c r="AH48" s="14"/>
      <c r="AI48" s="14"/>
      <c r="AJ48" s="14"/>
      <c r="AK48" s="14"/>
      <c r="AL48" s="14"/>
      <c r="AM48" s="14"/>
      <c r="AN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row>
    <row r="49" spans="1:148">
      <c r="A49" s="19"/>
      <c r="C49" s="103" t="s">
        <v>81</v>
      </c>
      <c r="D49" s="102">
        <f t="shared" ref="D49:M49" si="17">D12</f>
        <v>1</v>
      </c>
      <c r="E49" s="102">
        <f t="shared" ca="1" si="17"/>
        <v>2</v>
      </c>
      <c r="F49" s="102">
        <f t="shared" ca="1" si="17"/>
        <v>3</v>
      </c>
      <c r="G49" s="102">
        <f t="shared" ca="1" si="17"/>
        <v>4</v>
      </c>
      <c r="H49" s="102">
        <f t="shared" ca="1" si="17"/>
        <v>5</v>
      </c>
      <c r="I49" s="102">
        <f t="shared" ca="1" si="17"/>
        <v>6</v>
      </c>
      <c r="J49" s="102">
        <f t="shared" ca="1" si="17"/>
        <v>7</v>
      </c>
      <c r="K49" s="102">
        <f t="shared" ca="1" si="17"/>
        <v>8</v>
      </c>
      <c r="L49" s="102">
        <f t="shared" ca="1" si="17"/>
        <v>9</v>
      </c>
      <c r="M49" s="102">
        <f t="shared" ca="1" si="17"/>
        <v>10</v>
      </c>
      <c r="N49" s="18"/>
      <c r="O49" s="103" t="s">
        <v>149</v>
      </c>
      <c r="P49" s="103" t="s">
        <v>79</v>
      </c>
      <c r="Q49" s="103" t="s">
        <v>79</v>
      </c>
      <c r="R49" s="103" t="s">
        <v>79</v>
      </c>
      <c r="AA49" s="18"/>
      <c r="AD49" s="14"/>
      <c r="AE49" s="14"/>
      <c r="AF49" s="14"/>
      <c r="AG49" s="14"/>
      <c r="AH49" s="14"/>
      <c r="AI49" s="14"/>
      <c r="AJ49" s="14"/>
      <c r="AK49" s="14"/>
      <c r="AL49" s="14"/>
      <c r="AM49" s="14"/>
      <c r="AN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row>
    <row r="50" spans="1:148">
      <c r="A50" s="19"/>
      <c r="C50" s="104" t="s">
        <v>88</v>
      </c>
      <c r="D50" s="104" t="str">
        <f t="shared" ref="D50:M50" si="18">IF($J$4="Clean Water / Sewage","(m)","(bar)")</f>
        <v>(m)</v>
      </c>
      <c r="E50" s="104" t="str">
        <f t="shared" si="18"/>
        <v>(m)</v>
      </c>
      <c r="F50" s="104" t="str">
        <f t="shared" si="18"/>
        <v>(m)</v>
      </c>
      <c r="G50" s="104" t="str">
        <f t="shared" si="18"/>
        <v>(m)</v>
      </c>
      <c r="H50" s="104" t="str">
        <f t="shared" si="18"/>
        <v>(m)</v>
      </c>
      <c r="I50" s="104" t="str">
        <f t="shared" si="18"/>
        <v>(m)</v>
      </c>
      <c r="J50" s="104" t="str">
        <f t="shared" si="18"/>
        <v>(m)</v>
      </c>
      <c r="K50" s="104" t="str">
        <f t="shared" si="18"/>
        <v>(m)</v>
      </c>
      <c r="L50" s="104" t="str">
        <f t="shared" si="18"/>
        <v>(m)</v>
      </c>
      <c r="M50" s="104" t="str">
        <f t="shared" si="18"/>
        <v>(m)</v>
      </c>
      <c r="N50" s="18"/>
      <c r="O50" s="104" t="str">
        <f>IF($J$4="Clean Water / Sewage","(m)","(bar)")</f>
        <v>(m)</v>
      </c>
      <c r="P50" s="104" t="str">
        <f>IF($J$4="Clean Water / Sewage","(m)","(bar)")</f>
        <v>(m)</v>
      </c>
      <c r="Q50" s="104" t="str">
        <f>IF($J$4="Clean Water / Sewage","(m)","(bar)")</f>
        <v>(m)</v>
      </c>
      <c r="R50" s="104" t="str">
        <f>IF($J$4="Clean Water / Sewage","(m)","(bar)")</f>
        <v>(m)</v>
      </c>
      <c r="AA50" s="18"/>
      <c r="AD50" s="14"/>
      <c r="AE50" s="14"/>
      <c r="AF50" s="14"/>
      <c r="AG50" s="14"/>
      <c r="AH50" s="14"/>
      <c r="AI50" s="14"/>
      <c r="AJ50" s="14"/>
      <c r="AK50" s="14"/>
      <c r="AL50" s="14"/>
      <c r="AM50" s="14"/>
      <c r="AN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row>
    <row r="51" spans="1:148" ht="12" customHeight="1">
      <c r="A51" s="16"/>
      <c r="C51" s="105">
        <v>0</v>
      </c>
      <c r="D51" s="105"/>
      <c r="E51" s="105"/>
      <c r="F51" s="105"/>
      <c r="G51" s="105"/>
      <c r="H51" s="105"/>
      <c r="I51" s="105"/>
      <c r="J51" s="105"/>
      <c r="K51" s="105"/>
      <c r="L51" s="105"/>
      <c r="M51" s="105"/>
      <c r="N51" s="18"/>
      <c r="O51" s="105">
        <v>0</v>
      </c>
      <c r="P51" s="105">
        <f t="shared" ref="P51:R58" si="19">$O51+C$6</f>
        <v>0</v>
      </c>
      <c r="Q51" s="105">
        <f t="shared" si="19"/>
        <v>0</v>
      </c>
      <c r="R51" s="105">
        <f t="shared" si="19"/>
        <v>0</v>
      </c>
      <c r="AA51" s="18"/>
      <c r="AD51" s="14"/>
      <c r="AE51" s="14"/>
      <c r="AF51" s="14"/>
      <c r="AG51" s="14"/>
      <c r="AH51" s="14"/>
      <c r="AI51" s="14"/>
      <c r="AJ51" s="14"/>
      <c r="AK51" s="14"/>
      <c r="AL51" s="14"/>
      <c r="AM51" s="14"/>
      <c r="AN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row>
    <row r="52" spans="1:148">
      <c r="A52" s="16"/>
      <c r="C52" s="105">
        <f>$Q$4*1/4</f>
        <v>0</v>
      </c>
      <c r="D52" s="105">
        <f t="shared" ref="D52:M52" si="20">IF(D$17="Pump Suction","-",IF(D$17="Pump Disch'ge","-",IF($J$4="Clean Water / Sewage",D122,D123)))</f>
        <v>0</v>
      </c>
      <c r="E52" s="105">
        <f t="shared" si="20"/>
        <v>0</v>
      </c>
      <c r="F52" s="105">
        <f t="shared" si="20"/>
        <v>0</v>
      </c>
      <c r="G52" s="105">
        <f t="shared" si="20"/>
        <v>0</v>
      </c>
      <c r="H52" s="105">
        <f t="shared" si="20"/>
        <v>0</v>
      </c>
      <c r="I52" s="105">
        <f t="shared" si="20"/>
        <v>0</v>
      </c>
      <c r="J52" s="105">
        <f t="shared" si="20"/>
        <v>0</v>
      </c>
      <c r="K52" s="105">
        <f t="shared" si="20"/>
        <v>0</v>
      </c>
      <c r="L52" s="105">
        <f t="shared" si="20"/>
        <v>0</v>
      </c>
      <c r="M52" s="105">
        <f t="shared" si="20"/>
        <v>0</v>
      </c>
      <c r="N52" s="18"/>
      <c r="O52" s="105">
        <f t="shared" ref="O52:O58" si="21">SUM(D52:N52)</f>
        <v>0</v>
      </c>
      <c r="P52" s="105">
        <f t="shared" si="19"/>
        <v>0</v>
      </c>
      <c r="Q52" s="105">
        <f t="shared" si="19"/>
        <v>0</v>
      </c>
      <c r="R52" s="105">
        <f t="shared" si="19"/>
        <v>0</v>
      </c>
      <c r="AA52" s="18"/>
      <c r="AD52" s="14"/>
      <c r="AE52" s="14"/>
      <c r="AF52" s="14"/>
      <c r="AG52" s="14"/>
      <c r="AH52" s="14"/>
      <c r="AI52" s="14"/>
      <c r="AJ52" s="14"/>
      <c r="AK52" s="14"/>
      <c r="AL52" s="14"/>
      <c r="AM52" s="14"/>
      <c r="AN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row>
    <row r="53" spans="1:148" ht="12" customHeight="1">
      <c r="A53" s="16"/>
      <c r="C53" s="105">
        <f>$Q$4*2/4</f>
        <v>0</v>
      </c>
      <c r="D53" s="105">
        <f t="shared" ref="D53:M53" si="22">IF(D$17="Pump Suction","-",IF(D$17="Pump Disch'ge","-",IF($J$4="Clean Water / Sewage",D142,D143)))</f>
        <v>0</v>
      </c>
      <c r="E53" s="105">
        <f t="shared" si="22"/>
        <v>0</v>
      </c>
      <c r="F53" s="105">
        <f t="shared" si="22"/>
        <v>0</v>
      </c>
      <c r="G53" s="105">
        <f t="shared" si="22"/>
        <v>0</v>
      </c>
      <c r="H53" s="105">
        <f t="shared" si="22"/>
        <v>0</v>
      </c>
      <c r="I53" s="105">
        <f t="shared" si="22"/>
        <v>0</v>
      </c>
      <c r="J53" s="105">
        <f t="shared" si="22"/>
        <v>0</v>
      </c>
      <c r="K53" s="105">
        <f t="shared" si="22"/>
        <v>0</v>
      </c>
      <c r="L53" s="105">
        <f t="shared" si="22"/>
        <v>0</v>
      </c>
      <c r="M53" s="105">
        <f t="shared" si="22"/>
        <v>0</v>
      </c>
      <c r="N53" s="18"/>
      <c r="O53" s="105">
        <f t="shared" si="21"/>
        <v>0</v>
      </c>
      <c r="P53" s="105">
        <f t="shared" si="19"/>
        <v>0</v>
      </c>
      <c r="Q53" s="105">
        <f t="shared" si="19"/>
        <v>0</v>
      </c>
      <c r="R53" s="105">
        <f t="shared" si="19"/>
        <v>0</v>
      </c>
      <c r="AA53" s="18"/>
      <c r="AD53" s="14"/>
      <c r="AE53" s="14"/>
      <c r="AF53" s="14"/>
      <c r="AG53" s="14"/>
      <c r="AH53" s="14"/>
      <c r="AI53" s="14"/>
      <c r="AJ53" s="14"/>
      <c r="AK53" s="14"/>
      <c r="AL53" s="14"/>
      <c r="AM53" s="14"/>
      <c r="AN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row>
    <row r="54" spans="1:148">
      <c r="A54" s="16"/>
      <c r="C54" s="105">
        <f>$Q$4*3/4</f>
        <v>0</v>
      </c>
      <c r="D54" s="105">
        <f t="shared" ref="D54:M54" si="23">IF(D$17="Pump Suction","-",IF(D$17="Pump Disch'ge","-",IF($J$4="Clean Water / Sewage",D162,D163)))</f>
        <v>0</v>
      </c>
      <c r="E54" s="105">
        <f t="shared" si="23"/>
        <v>0</v>
      </c>
      <c r="F54" s="105">
        <f t="shared" si="23"/>
        <v>0</v>
      </c>
      <c r="G54" s="105">
        <f t="shared" si="23"/>
        <v>0</v>
      </c>
      <c r="H54" s="105">
        <f t="shared" si="23"/>
        <v>0</v>
      </c>
      <c r="I54" s="105">
        <f t="shared" si="23"/>
        <v>0</v>
      </c>
      <c r="J54" s="105">
        <f t="shared" si="23"/>
        <v>0</v>
      </c>
      <c r="K54" s="105">
        <f t="shared" si="23"/>
        <v>0</v>
      </c>
      <c r="L54" s="105">
        <f t="shared" si="23"/>
        <v>0</v>
      </c>
      <c r="M54" s="105">
        <f t="shared" si="23"/>
        <v>0</v>
      </c>
      <c r="N54" s="18"/>
      <c r="O54" s="105">
        <f t="shared" si="21"/>
        <v>0</v>
      </c>
      <c r="P54" s="105">
        <f t="shared" si="19"/>
        <v>0</v>
      </c>
      <c r="Q54" s="105">
        <f t="shared" si="19"/>
        <v>0</v>
      </c>
      <c r="R54" s="105">
        <f t="shared" si="19"/>
        <v>0</v>
      </c>
      <c r="Y54" s="16"/>
      <c r="Z54" s="16"/>
      <c r="AA54" s="18"/>
      <c r="AD54" s="14"/>
      <c r="AE54" s="14"/>
      <c r="AF54" s="14"/>
      <c r="AG54" s="14"/>
      <c r="AH54" s="14"/>
      <c r="AI54" s="14"/>
      <c r="AJ54" s="14"/>
      <c r="AK54" s="14"/>
      <c r="AL54" s="14"/>
      <c r="AM54" s="14"/>
      <c r="AN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row>
    <row r="55" spans="1:148">
      <c r="A55" s="19"/>
      <c r="C55" s="105">
        <f>$Q$4*4/4</f>
        <v>0</v>
      </c>
      <c r="D55" s="105">
        <f t="shared" ref="D55:M55" si="24">IF(D$17="Pump Suction","-",IF(D$17="Pump Disch'ge","-",IF($J$4="Clean Water / Sewage",D182,D183)))</f>
        <v>0</v>
      </c>
      <c r="E55" s="105">
        <f t="shared" si="24"/>
        <v>0</v>
      </c>
      <c r="F55" s="105">
        <f t="shared" si="24"/>
        <v>0</v>
      </c>
      <c r="G55" s="105">
        <f t="shared" si="24"/>
        <v>0</v>
      </c>
      <c r="H55" s="105">
        <f t="shared" si="24"/>
        <v>0</v>
      </c>
      <c r="I55" s="105">
        <f t="shared" si="24"/>
        <v>0</v>
      </c>
      <c r="J55" s="105">
        <f t="shared" si="24"/>
        <v>0</v>
      </c>
      <c r="K55" s="105">
        <f t="shared" si="24"/>
        <v>0</v>
      </c>
      <c r="L55" s="105">
        <f t="shared" si="24"/>
        <v>0</v>
      </c>
      <c r="M55" s="105">
        <f t="shared" si="24"/>
        <v>0</v>
      </c>
      <c r="N55" s="18"/>
      <c r="O55" s="105">
        <f t="shared" si="21"/>
        <v>0</v>
      </c>
      <c r="P55" s="105">
        <f t="shared" si="19"/>
        <v>0</v>
      </c>
      <c r="Q55" s="105">
        <f t="shared" si="19"/>
        <v>0</v>
      </c>
      <c r="R55" s="105">
        <f t="shared" si="19"/>
        <v>0</v>
      </c>
      <c r="Y55" s="16"/>
      <c r="Z55" s="16"/>
      <c r="AA55" s="18"/>
      <c r="AD55" s="14"/>
      <c r="AE55" s="14"/>
      <c r="AF55" s="14"/>
      <c r="AG55" s="14"/>
      <c r="AH55" s="14"/>
      <c r="AI55" s="14"/>
      <c r="AJ55" s="14"/>
      <c r="AK55" s="14"/>
      <c r="AL55" s="14"/>
      <c r="AM55" s="14"/>
      <c r="AN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row>
    <row r="56" spans="1:148">
      <c r="A56" s="19"/>
      <c r="C56" s="105">
        <f>$Q$4*5/4</f>
        <v>0</v>
      </c>
      <c r="D56" s="105">
        <f t="shared" ref="D56:M56" si="25">IF(D$17="Pump Suction","-",IF(D$17="Pump Disch'ge","-",IF($J$4="Clean Water / Sewage",D202,D203)))</f>
        <v>0</v>
      </c>
      <c r="E56" s="105">
        <f t="shared" si="25"/>
        <v>0</v>
      </c>
      <c r="F56" s="105">
        <f t="shared" si="25"/>
        <v>0</v>
      </c>
      <c r="G56" s="105">
        <f t="shared" si="25"/>
        <v>0</v>
      </c>
      <c r="H56" s="105">
        <f t="shared" si="25"/>
        <v>0</v>
      </c>
      <c r="I56" s="105">
        <f t="shared" si="25"/>
        <v>0</v>
      </c>
      <c r="J56" s="105">
        <f t="shared" si="25"/>
        <v>0</v>
      </c>
      <c r="K56" s="105">
        <f t="shared" si="25"/>
        <v>0</v>
      </c>
      <c r="L56" s="105">
        <f t="shared" si="25"/>
        <v>0</v>
      </c>
      <c r="M56" s="105">
        <f t="shared" si="25"/>
        <v>0</v>
      </c>
      <c r="N56" s="18"/>
      <c r="O56" s="105">
        <f t="shared" si="21"/>
        <v>0</v>
      </c>
      <c r="P56" s="105">
        <f t="shared" si="19"/>
        <v>0</v>
      </c>
      <c r="Q56" s="105">
        <f t="shared" si="19"/>
        <v>0</v>
      </c>
      <c r="R56" s="105">
        <f t="shared" si="19"/>
        <v>0</v>
      </c>
      <c r="Z56" s="19"/>
      <c r="AA56" s="18"/>
      <c r="AD56" s="14"/>
      <c r="AE56" s="14"/>
      <c r="AF56" s="14"/>
      <c r="AG56" s="14"/>
      <c r="AH56" s="14"/>
      <c r="AI56" s="14"/>
      <c r="AJ56" s="14"/>
      <c r="AK56" s="14"/>
      <c r="AL56" s="14"/>
      <c r="AM56" s="14"/>
      <c r="AN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row>
    <row r="57" spans="1:148">
      <c r="A57" s="19"/>
      <c r="C57" s="105">
        <f>$Q$4*6/4</f>
        <v>0</v>
      </c>
      <c r="D57" s="105">
        <f t="shared" ref="D57:M57" si="26">IF(D$17="Pump Suction","-",IF(D$17="Pump Disch'ge","-",IF($J$4="Clean Water / Sewage",D222,D223)))</f>
        <v>0</v>
      </c>
      <c r="E57" s="105">
        <f t="shared" si="26"/>
        <v>0</v>
      </c>
      <c r="F57" s="105">
        <f t="shared" si="26"/>
        <v>0</v>
      </c>
      <c r="G57" s="105">
        <f t="shared" si="26"/>
        <v>0</v>
      </c>
      <c r="H57" s="105">
        <f t="shared" si="26"/>
        <v>0</v>
      </c>
      <c r="I57" s="105">
        <f t="shared" si="26"/>
        <v>0</v>
      </c>
      <c r="J57" s="105">
        <f t="shared" si="26"/>
        <v>0</v>
      </c>
      <c r="K57" s="105">
        <f t="shared" si="26"/>
        <v>0</v>
      </c>
      <c r="L57" s="105">
        <f t="shared" si="26"/>
        <v>0</v>
      </c>
      <c r="M57" s="105">
        <f t="shared" si="26"/>
        <v>0</v>
      </c>
      <c r="N57" s="18"/>
      <c r="O57" s="105">
        <f t="shared" si="21"/>
        <v>0</v>
      </c>
      <c r="P57" s="105">
        <f t="shared" si="19"/>
        <v>0</v>
      </c>
      <c r="Q57" s="105">
        <f t="shared" si="19"/>
        <v>0</v>
      </c>
      <c r="R57" s="105">
        <f t="shared" si="19"/>
        <v>0</v>
      </c>
      <c r="Z57" s="19"/>
      <c r="AA57" s="18"/>
      <c r="AD57" s="14"/>
      <c r="AE57" s="14"/>
      <c r="AF57" s="14"/>
      <c r="AG57" s="14"/>
      <c r="AH57" s="14"/>
      <c r="AI57" s="14"/>
      <c r="AJ57" s="14"/>
      <c r="AK57" s="14"/>
      <c r="AL57" s="14"/>
      <c r="AM57" s="14"/>
      <c r="AN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row>
    <row r="58" spans="1:148">
      <c r="A58" s="19"/>
      <c r="C58" s="105">
        <f>$Q$4*7/4</f>
        <v>0</v>
      </c>
      <c r="D58" s="105">
        <f t="shared" ref="D58:M58" si="27">IF(D$17="Pump Suction","-",IF(D$17="Pump Disch'ge","-",IF($J$4="Clean Water / Sewage",D242,D243)))</f>
        <v>0</v>
      </c>
      <c r="E58" s="105">
        <f t="shared" si="27"/>
        <v>0</v>
      </c>
      <c r="F58" s="105">
        <f t="shared" si="27"/>
        <v>0</v>
      </c>
      <c r="G58" s="105">
        <f t="shared" si="27"/>
        <v>0</v>
      </c>
      <c r="H58" s="105">
        <f t="shared" si="27"/>
        <v>0</v>
      </c>
      <c r="I58" s="105">
        <f t="shared" si="27"/>
        <v>0</v>
      </c>
      <c r="J58" s="105">
        <f t="shared" si="27"/>
        <v>0</v>
      </c>
      <c r="K58" s="105">
        <f t="shared" si="27"/>
        <v>0</v>
      </c>
      <c r="L58" s="105">
        <f t="shared" si="27"/>
        <v>0</v>
      </c>
      <c r="M58" s="105">
        <f t="shared" si="27"/>
        <v>0</v>
      </c>
      <c r="N58" s="18"/>
      <c r="O58" s="105">
        <f t="shared" si="21"/>
        <v>0</v>
      </c>
      <c r="P58" s="105">
        <f t="shared" si="19"/>
        <v>0</v>
      </c>
      <c r="Q58" s="105">
        <f t="shared" si="19"/>
        <v>0</v>
      </c>
      <c r="R58" s="105">
        <f t="shared" si="19"/>
        <v>0</v>
      </c>
      <c r="Z58" s="19"/>
      <c r="AA58" s="18"/>
      <c r="AD58" s="14"/>
      <c r="AE58" s="14"/>
      <c r="AF58" s="14"/>
      <c r="AG58" s="14"/>
      <c r="AH58" s="14"/>
      <c r="AI58" s="14"/>
      <c r="AJ58" s="14"/>
      <c r="AK58" s="14"/>
      <c r="AL58" s="14"/>
      <c r="AM58" s="14"/>
      <c r="AN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row>
    <row r="59" spans="1:148">
      <c r="A59" s="19"/>
      <c r="C59" s="46" t="s">
        <v>150</v>
      </c>
      <c r="D59" s="12"/>
      <c r="E59" s="12"/>
      <c r="F59" s="12"/>
      <c r="G59" s="12"/>
      <c r="H59" s="12"/>
      <c r="I59" s="12"/>
      <c r="J59" s="12"/>
      <c r="K59" s="12"/>
      <c r="L59" s="12"/>
      <c r="M59" s="12"/>
      <c r="N59" s="12"/>
      <c r="Z59" s="19"/>
      <c r="AA59" s="18"/>
      <c r="AD59" s="14"/>
      <c r="AE59" s="14"/>
      <c r="AF59" s="14"/>
      <c r="AG59" s="14"/>
      <c r="AH59" s="14"/>
      <c r="AI59" s="14"/>
      <c r="AJ59" s="14"/>
      <c r="AK59" s="14"/>
      <c r="AL59" s="14"/>
      <c r="AM59" s="14"/>
      <c r="AN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row>
    <row r="60" spans="1:148">
      <c r="A60" s="19"/>
      <c r="C60" s="46" t="s">
        <v>151</v>
      </c>
      <c r="D60" s="12"/>
      <c r="E60" s="12"/>
      <c r="F60" s="12"/>
      <c r="G60" s="12"/>
      <c r="H60" s="12"/>
      <c r="I60" s="12"/>
      <c r="J60" s="12"/>
      <c r="K60" s="12"/>
      <c r="L60" s="12"/>
      <c r="M60" s="12"/>
      <c r="N60" s="12"/>
      <c r="W60" s="12"/>
      <c r="X60" s="12"/>
      <c r="AA60" s="18"/>
      <c r="AD60" s="14"/>
      <c r="AE60" s="14"/>
      <c r="AF60" s="14"/>
      <c r="AG60" s="14"/>
      <c r="AH60" s="14"/>
      <c r="AI60" s="14"/>
      <c r="AJ60" s="14"/>
      <c r="AK60" s="14"/>
      <c r="AL60" s="14"/>
      <c r="AM60" s="14"/>
      <c r="AN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row>
    <row r="61" spans="1:148" ht="12.75" thickBot="1">
      <c r="A61" s="19"/>
      <c r="C61" s="12"/>
      <c r="D61" s="12"/>
      <c r="E61" s="12"/>
      <c r="F61" s="12"/>
      <c r="G61" s="12"/>
      <c r="H61" s="12"/>
      <c r="I61" s="12"/>
      <c r="J61" s="12"/>
      <c r="K61" s="12"/>
      <c r="L61" s="12"/>
      <c r="M61" s="12"/>
      <c r="N61" s="12"/>
      <c r="W61" s="12"/>
      <c r="X61" s="12"/>
      <c r="Z61" s="19"/>
      <c r="AA61" s="18"/>
      <c r="AC61" s="12"/>
      <c r="AD61" s="13"/>
      <c r="AE61" s="13"/>
      <c r="AF61" s="13"/>
      <c r="AG61" s="13"/>
      <c r="AH61" s="12"/>
      <c r="AI61" s="12"/>
      <c r="AJ61" s="12"/>
      <c r="AK61" s="12"/>
      <c r="AL61" s="12"/>
      <c r="AM61" s="12"/>
      <c r="AN61" s="12"/>
      <c r="AO61" s="13"/>
      <c r="AP61" s="13"/>
      <c r="AQ61" s="13"/>
      <c r="AR61" s="13"/>
      <c r="EM61" s="19"/>
      <c r="EN61" s="19"/>
      <c r="EO61" s="19"/>
      <c r="EP61" s="19"/>
      <c r="EQ61" s="19"/>
      <c r="ER61" s="19"/>
    </row>
    <row r="62" spans="1:148">
      <c r="A62" s="68"/>
      <c r="B62" s="69"/>
      <c r="C62" s="106"/>
      <c r="D62" s="106"/>
      <c r="E62" s="106"/>
      <c r="F62" s="106"/>
      <c r="G62" s="106"/>
      <c r="H62" s="106"/>
      <c r="I62" s="106"/>
      <c r="J62" s="106"/>
      <c r="K62" s="106"/>
      <c r="L62" s="106"/>
      <c r="M62" s="106"/>
      <c r="N62" s="106"/>
      <c r="O62" s="69"/>
      <c r="P62" s="72"/>
      <c r="AA62" s="12"/>
      <c r="AH62" s="98"/>
      <c r="BB62" s="90"/>
      <c r="BC62" s="97"/>
      <c r="BD62" s="87"/>
    </row>
    <row r="63" spans="1:148">
      <c r="A63" s="25"/>
      <c r="B63" s="17" t="s">
        <v>152</v>
      </c>
      <c r="C63" s="221"/>
      <c r="D63" s="16"/>
      <c r="E63" s="16"/>
      <c r="F63" s="16"/>
      <c r="G63" s="16"/>
      <c r="H63" s="16"/>
      <c r="I63" s="16"/>
      <c r="J63" s="16"/>
      <c r="K63" s="16"/>
      <c r="L63" s="16"/>
      <c r="M63" s="16"/>
      <c r="N63" s="16"/>
      <c r="O63" s="16"/>
      <c r="P63" s="74"/>
      <c r="AA63" s="12"/>
      <c r="AB63" s="12"/>
      <c r="AC63" s="12"/>
      <c r="AD63" s="12"/>
      <c r="AE63" s="12"/>
      <c r="AH63" s="12"/>
      <c r="BB63" s="90"/>
      <c r="BC63" s="97"/>
      <c r="BD63" s="87"/>
    </row>
    <row r="64" spans="1:148">
      <c r="A64" s="25"/>
      <c r="B64" s="107" t="s">
        <v>153</v>
      </c>
      <c r="C64" s="16"/>
      <c r="D64" s="16"/>
      <c r="E64" s="16"/>
      <c r="F64" s="16"/>
      <c r="G64" s="16"/>
      <c r="H64" s="16"/>
      <c r="I64" s="16"/>
      <c r="J64" s="16"/>
      <c r="K64" s="16"/>
      <c r="L64" s="16"/>
      <c r="M64" s="16"/>
      <c r="N64" s="16"/>
      <c r="O64" s="16"/>
      <c r="P64" s="74"/>
      <c r="AA64" s="12"/>
      <c r="AB64" s="12"/>
      <c r="AC64" s="12"/>
      <c r="AD64" s="12"/>
      <c r="AE64" s="12"/>
      <c r="AH64" s="108"/>
      <c r="BB64" s="90"/>
      <c r="BC64" s="97"/>
      <c r="BD64" s="87"/>
    </row>
    <row r="65" spans="1:56">
      <c r="A65" s="25"/>
      <c r="B65" s="16"/>
      <c r="C65" s="221"/>
      <c r="D65" s="221">
        <f>D$12</f>
        <v>1</v>
      </c>
      <c r="E65" s="221">
        <f t="shared" ref="E65:M65" ca="1" si="28">E$12</f>
        <v>2</v>
      </c>
      <c r="F65" s="221">
        <f t="shared" ca="1" si="28"/>
        <v>3</v>
      </c>
      <c r="G65" s="221">
        <f t="shared" ca="1" si="28"/>
        <v>4</v>
      </c>
      <c r="H65" s="221">
        <f t="shared" ca="1" si="28"/>
        <v>5</v>
      </c>
      <c r="I65" s="221">
        <f t="shared" ca="1" si="28"/>
        <v>6</v>
      </c>
      <c r="J65" s="221">
        <f t="shared" ca="1" si="28"/>
        <v>7</v>
      </c>
      <c r="K65" s="221">
        <f t="shared" ca="1" si="28"/>
        <v>8</v>
      </c>
      <c r="L65" s="221">
        <f t="shared" ca="1" si="28"/>
        <v>9</v>
      </c>
      <c r="M65" s="221">
        <f t="shared" ca="1" si="28"/>
        <v>10</v>
      </c>
      <c r="N65" s="221"/>
      <c r="O65" s="221" t="s">
        <v>154</v>
      </c>
      <c r="P65" s="26"/>
      <c r="Q65" s="16"/>
      <c r="R65" s="16"/>
      <c r="S65" s="16"/>
      <c r="T65" s="16"/>
      <c r="U65" s="16"/>
      <c r="V65" s="16"/>
      <c r="W65" s="16"/>
      <c r="X65" s="16"/>
      <c r="Y65" s="16"/>
      <c r="Z65" s="16"/>
      <c r="AA65" s="12"/>
      <c r="AB65" s="12"/>
      <c r="AC65" s="12"/>
      <c r="AD65" s="12"/>
      <c r="AE65" s="12"/>
      <c r="BB65" s="90"/>
      <c r="BC65" s="97"/>
      <c r="BD65" s="87"/>
    </row>
    <row r="66" spans="1:56">
      <c r="A66" s="25"/>
      <c r="B66" s="16"/>
      <c r="C66" s="221"/>
      <c r="D66" s="221" t="str">
        <f>D$50</f>
        <v>(m)</v>
      </c>
      <c r="E66" s="221" t="str">
        <f t="shared" ref="E66:M66" si="29">E$50</f>
        <v>(m)</v>
      </c>
      <c r="F66" s="221" t="str">
        <f t="shared" si="29"/>
        <v>(m)</v>
      </c>
      <c r="G66" s="221" t="str">
        <f t="shared" si="29"/>
        <v>(m)</v>
      </c>
      <c r="H66" s="221" t="str">
        <f t="shared" si="29"/>
        <v>(m)</v>
      </c>
      <c r="I66" s="221" t="str">
        <f t="shared" si="29"/>
        <v>(m)</v>
      </c>
      <c r="J66" s="221" t="str">
        <f t="shared" si="29"/>
        <v>(m)</v>
      </c>
      <c r="K66" s="221" t="str">
        <f t="shared" si="29"/>
        <v>(m)</v>
      </c>
      <c r="L66" s="221" t="str">
        <f t="shared" si="29"/>
        <v>(m)</v>
      </c>
      <c r="M66" s="221" t="str">
        <f t="shared" si="29"/>
        <v>(m)</v>
      </c>
      <c r="N66" s="221"/>
      <c r="O66" s="221" t="s">
        <v>155</v>
      </c>
      <c r="P66" s="26"/>
      <c r="Q66" s="16"/>
      <c r="R66" s="16"/>
      <c r="S66" s="16"/>
      <c r="T66" s="16"/>
      <c r="U66" s="16"/>
      <c r="V66" s="16"/>
      <c r="W66" s="16"/>
      <c r="X66" s="16"/>
      <c r="Y66" s="16"/>
      <c r="Z66" s="16"/>
      <c r="AA66" s="12"/>
      <c r="AB66" s="12"/>
      <c r="AC66" s="12"/>
      <c r="AD66" s="12"/>
      <c r="AE66" s="12"/>
      <c r="BB66" s="90"/>
      <c r="BC66" s="97"/>
      <c r="BD66" s="87"/>
    </row>
    <row r="67" spans="1:56">
      <c r="A67" s="25"/>
      <c r="B67" s="16"/>
      <c r="C67" s="109">
        <f>$D$248</f>
        <v>0</v>
      </c>
      <c r="D67" s="110">
        <f t="shared" ref="D67:M67" si="30">IF(D$17="Rising Main","-",IF(D$17="Common Suction","-",IF($AK$89="Clean Water / Sewage",D265,D266)))</f>
        <v>0</v>
      </c>
      <c r="E67" s="110">
        <f t="shared" si="30"/>
        <v>0</v>
      </c>
      <c r="F67" s="110">
        <f t="shared" si="30"/>
        <v>0</v>
      </c>
      <c r="G67" s="110">
        <f t="shared" si="30"/>
        <v>0</v>
      </c>
      <c r="H67" s="110">
        <f t="shared" si="30"/>
        <v>0</v>
      </c>
      <c r="I67" s="110">
        <f t="shared" si="30"/>
        <v>0</v>
      </c>
      <c r="J67" s="110">
        <f t="shared" si="30"/>
        <v>0</v>
      </c>
      <c r="K67" s="110">
        <f t="shared" si="30"/>
        <v>0</v>
      </c>
      <c r="L67" s="110">
        <f t="shared" si="30"/>
        <v>0</v>
      </c>
      <c r="M67" s="110">
        <f t="shared" si="30"/>
        <v>0</v>
      </c>
      <c r="N67" s="221"/>
      <c r="O67" s="40">
        <f t="shared" ref="O67:O72" si="31">SUM(D67:N67)</f>
        <v>0</v>
      </c>
      <c r="P67" s="26"/>
      <c r="Q67" s="16"/>
      <c r="R67" s="16"/>
      <c r="S67" s="16"/>
      <c r="T67" s="16"/>
      <c r="U67" s="16"/>
      <c r="V67" s="16"/>
      <c r="W67" s="16"/>
      <c r="X67" s="16"/>
      <c r="Y67" s="16"/>
      <c r="Z67" s="16"/>
      <c r="AA67" s="12"/>
      <c r="AB67" s="12"/>
      <c r="AC67" s="12"/>
      <c r="AD67" s="12"/>
      <c r="AE67" s="12"/>
      <c r="BB67" s="90"/>
      <c r="BC67" s="97"/>
      <c r="BD67" s="87"/>
    </row>
    <row r="68" spans="1:56">
      <c r="A68" s="25"/>
      <c r="B68" s="16"/>
      <c r="C68" s="109">
        <f>$D$268</f>
        <v>0</v>
      </c>
      <c r="D68" s="110">
        <f t="shared" ref="D68:M68" si="32">IF(D$17="Rising Main","-",IF(D$17="Common Suction","-",IF($AK$89="Clean Water / Sewage",D285,D286)))</f>
        <v>0</v>
      </c>
      <c r="E68" s="110">
        <f t="shared" si="32"/>
        <v>0</v>
      </c>
      <c r="F68" s="110">
        <f t="shared" si="32"/>
        <v>0</v>
      </c>
      <c r="G68" s="110">
        <f t="shared" si="32"/>
        <v>0</v>
      </c>
      <c r="H68" s="110">
        <f t="shared" si="32"/>
        <v>0</v>
      </c>
      <c r="I68" s="110">
        <f t="shared" si="32"/>
        <v>0</v>
      </c>
      <c r="J68" s="110">
        <f t="shared" si="32"/>
        <v>0</v>
      </c>
      <c r="K68" s="110">
        <f t="shared" si="32"/>
        <v>0</v>
      </c>
      <c r="L68" s="110">
        <f t="shared" si="32"/>
        <v>0</v>
      </c>
      <c r="M68" s="110">
        <f t="shared" si="32"/>
        <v>0</v>
      </c>
      <c r="N68" s="221"/>
      <c r="O68" s="40">
        <f t="shared" si="31"/>
        <v>0</v>
      </c>
      <c r="P68" s="26"/>
      <c r="Q68" s="16"/>
      <c r="R68" s="16"/>
      <c r="S68" s="16"/>
      <c r="T68" s="16"/>
      <c r="U68" s="16"/>
      <c r="V68" s="16"/>
      <c r="W68" s="16"/>
      <c r="X68" s="16"/>
      <c r="Y68" s="16"/>
      <c r="Z68" s="16"/>
      <c r="AA68" s="12"/>
      <c r="AB68" s="12"/>
      <c r="AC68" s="12"/>
      <c r="AD68" s="12"/>
      <c r="AE68" s="12"/>
      <c r="BB68" s="90"/>
      <c r="BC68" s="97"/>
      <c r="BD68" s="87"/>
    </row>
    <row r="69" spans="1:56">
      <c r="A69" s="25"/>
      <c r="B69" s="16"/>
      <c r="C69" s="109">
        <f>$D$288</f>
        <v>0</v>
      </c>
      <c r="D69" s="110">
        <f t="shared" ref="D69:M69" si="33">IF(D$17="Rising Main","-",IF(D$17="Common Suction","-",IF($AK$89="Clean Water / Sewage",D305,D306)))</f>
        <v>0</v>
      </c>
      <c r="E69" s="110">
        <f t="shared" si="33"/>
        <v>0</v>
      </c>
      <c r="F69" s="110">
        <f t="shared" si="33"/>
        <v>0</v>
      </c>
      <c r="G69" s="110">
        <f t="shared" si="33"/>
        <v>0</v>
      </c>
      <c r="H69" s="110">
        <f t="shared" si="33"/>
        <v>0</v>
      </c>
      <c r="I69" s="110">
        <f t="shared" si="33"/>
        <v>0</v>
      </c>
      <c r="J69" s="110">
        <f t="shared" si="33"/>
        <v>0</v>
      </c>
      <c r="K69" s="110">
        <f t="shared" si="33"/>
        <v>0</v>
      </c>
      <c r="L69" s="110">
        <f t="shared" si="33"/>
        <v>0</v>
      </c>
      <c r="M69" s="110">
        <f t="shared" si="33"/>
        <v>0</v>
      </c>
      <c r="N69" s="221"/>
      <c r="O69" s="40">
        <f t="shared" si="31"/>
        <v>0</v>
      </c>
      <c r="P69" s="26"/>
      <c r="Q69" s="16"/>
      <c r="R69" s="16"/>
      <c r="S69" s="16"/>
      <c r="T69" s="16"/>
      <c r="U69" s="16"/>
      <c r="V69" s="16"/>
      <c r="W69" s="16"/>
      <c r="X69" s="16"/>
      <c r="Y69" s="16"/>
      <c r="Z69" s="16"/>
      <c r="AA69" s="12"/>
      <c r="AB69" s="12"/>
      <c r="AC69" s="12"/>
      <c r="AD69" s="12"/>
      <c r="AE69" s="12"/>
      <c r="BB69" s="90"/>
      <c r="BC69" s="97"/>
      <c r="BD69" s="87"/>
    </row>
    <row r="70" spans="1:56">
      <c r="A70" s="25"/>
      <c r="B70" s="16"/>
      <c r="C70" s="109">
        <f>$D$308</f>
        <v>0</v>
      </c>
      <c r="D70" s="110">
        <f t="shared" ref="D70:M70" si="34">IF(D$17="Rising Main","-",IF(D$17="Common Suction","-",IF($AK$89="Clean Water / Sewage",D325,D326)))</f>
        <v>0</v>
      </c>
      <c r="E70" s="110">
        <f t="shared" si="34"/>
        <v>0</v>
      </c>
      <c r="F70" s="110">
        <f t="shared" si="34"/>
        <v>0</v>
      </c>
      <c r="G70" s="110">
        <f t="shared" si="34"/>
        <v>0</v>
      </c>
      <c r="H70" s="110">
        <f t="shared" si="34"/>
        <v>0</v>
      </c>
      <c r="I70" s="110">
        <f t="shared" si="34"/>
        <v>0</v>
      </c>
      <c r="J70" s="110">
        <f t="shared" si="34"/>
        <v>0</v>
      </c>
      <c r="K70" s="110">
        <f t="shared" si="34"/>
        <v>0</v>
      </c>
      <c r="L70" s="110">
        <f t="shared" si="34"/>
        <v>0</v>
      </c>
      <c r="M70" s="110">
        <f t="shared" si="34"/>
        <v>0</v>
      </c>
      <c r="N70" s="221"/>
      <c r="O70" s="40">
        <f t="shared" si="31"/>
        <v>0</v>
      </c>
      <c r="P70" s="26"/>
      <c r="Q70" s="16"/>
      <c r="R70" s="16"/>
      <c r="S70" s="16"/>
      <c r="T70" s="16"/>
      <c r="U70" s="16"/>
      <c r="V70" s="16"/>
      <c r="W70" s="16"/>
      <c r="X70" s="16"/>
      <c r="Y70" s="16"/>
      <c r="Z70" s="16"/>
      <c r="AA70" s="12"/>
      <c r="AB70" s="12"/>
      <c r="AC70" s="12"/>
      <c r="AD70" s="12"/>
      <c r="AE70" s="12"/>
      <c r="BB70" s="90"/>
      <c r="BC70" s="97"/>
      <c r="BD70" s="87"/>
    </row>
    <row r="71" spans="1:56">
      <c r="A71" s="25"/>
      <c r="B71" s="16"/>
      <c r="C71" s="109">
        <f>$D$328</f>
        <v>0</v>
      </c>
      <c r="D71" s="110">
        <f t="shared" ref="D71:M71" si="35">IF(D$17="Rising Main","-",IF(D$17="Common Suction","-",IF($AK$89="Clean Water / Sewage",D345,D346)))</f>
        <v>0</v>
      </c>
      <c r="E71" s="110">
        <f t="shared" si="35"/>
        <v>0</v>
      </c>
      <c r="F71" s="110">
        <f t="shared" si="35"/>
        <v>0</v>
      </c>
      <c r="G71" s="110">
        <f t="shared" si="35"/>
        <v>0</v>
      </c>
      <c r="H71" s="110">
        <f t="shared" si="35"/>
        <v>0</v>
      </c>
      <c r="I71" s="110">
        <f t="shared" si="35"/>
        <v>0</v>
      </c>
      <c r="J71" s="110">
        <f t="shared" si="35"/>
        <v>0</v>
      </c>
      <c r="K71" s="110">
        <f t="shared" si="35"/>
        <v>0</v>
      </c>
      <c r="L71" s="110">
        <f t="shared" si="35"/>
        <v>0</v>
      </c>
      <c r="M71" s="110">
        <f t="shared" si="35"/>
        <v>0</v>
      </c>
      <c r="N71" s="221"/>
      <c r="O71" s="40">
        <f t="shared" si="31"/>
        <v>0</v>
      </c>
      <c r="P71" s="26"/>
      <c r="Q71" s="16"/>
      <c r="R71" s="16"/>
      <c r="S71" s="16"/>
      <c r="T71" s="16"/>
      <c r="U71" s="16"/>
      <c r="V71" s="16"/>
      <c r="W71" s="16"/>
      <c r="X71" s="16"/>
      <c r="Y71" s="16"/>
      <c r="Z71" s="16"/>
      <c r="AA71" s="12"/>
      <c r="AB71" s="12"/>
      <c r="AC71" s="12"/>
      <c r="AD71" s="12"/>
      <c r="AE71" s="12"/>
      <c r="BB71" s="90"/>
      <c r="BC71" s="97"/>
      <c r="BD71" s="87"/>
    </row>
    <row r="72" spans="1:56">
      <c r="A72" s="25"/>
      <c r="B72" s="16"/>
      <c r="C72" s="109">
        <f>$D$348</f>
        <v>0</v>
      </c>
      <c r="D72" s="110">
        <f t="shared" ref="D72:M72" si="36">IF(D$17="Rising Main","-",IF(D$17="Common Suction","-",IF($AK$89="Clean Water / Sewage",D365,D366)))</f>
        <v>0</v>
      </c>
      <c r="E72" s="110">
        <f t="shared" si="36"/>
        <v>0</v>
      </c>
      <c r="F72" s="110">
        <f t="shared" si="36"/>
        <v>0</v>
      </c>
      <c r="G72" s="110">
        <f t="shared" si="36"/>
        <v>0</v>
      </c>
      <c r="H72" s="110">
        <f t="shared" si="36"/>
        <v>0</v>
      </c>
      <c r="I72" s="110">
        <f t="shared" si="36"/>
        <v>0</v>
      </c>
      <c r="J72" s="110">
        <f t="shared" si="36"/>
        <v>0</v>
      </c>
      <c r="K72" s="110">
        <f t="shared" si="36"/>
        <v>0</v>
      </c>
      <c r="L72" s="110">
        <f t="shared" si="36"/>
        <v>0</v>
      </c>
      <c r="M72" s="110">
        <f t="shared" si="36"/>
        <v>0</v>
      </c>
      <c r="N72" s="221"/>
      <c r="O72" s="40">
        <f t="shared" si="31"/>
        <v>0</v>
      </c>
      <c r="P72" s="26"/>
      <c r="Q72" s="16"/>
      <c r="R72" s="16"/>
      <c r="S72" s="16"/>
      <c r="T72" s="16"/>
      <c r="U72" s="16"/>
      <c r="V72" s="16"/>
      <c r="W72" s="16"/>
      <c r="X72" s="16"/>
      <c r="Y72" s="16"/>
      <c r="AB72" s="12"/>
      <c r="AC72" s="12"/>
      <c r="AD72" s="12"/>
      <c r="AE72" s="12"/>
      <c r="BB72" s="90"/>
      <c r="BC72" s="97"/>
      <c r="BD72" s="87"/>
    </row>
    <row r="73" spans="1:56" ht="12.75" thickBot="1">
      <c r="A73" s="84"/>
      <c r="B73" s="85"/>
      <c r="C73" s="111"/>
      <c r="D73" s="111"/>
      <c r="E73" s="111"/>
      <c r="F73" s="111"/>
      <c r="G73" s="111"/>
      <c r="H73" s="111"/>
      <c r="I73" s="111"/>
      <c r="J73" s="111"/>
      <c r="K73" s="111"/>
      <c r="L73" s="111"/>
      <c r="M73" s="111"/>
      <c r="N73" s="111"/>
      <c r="O73" s="85"/>
      <c r="P73" s="86"/>
      <c r="AA73" s="12"/>
      <c r="AH73" s="98"/>
      <c r="BB73" s="90"/>
      <c r="BC73" s="97"/>
      <c r="BD73" s="87"/>
    </row>
    <row r="74" spans="1:56">
      <c r="A74" s="68"/>
      <c r="B74" s="69"/>
      <c r="C74" s="106"/>
      <c r="D74" s="106"/>
      <c r="E74" s="106"/>
      <c r="F74" s="106"/>
      <c r="G74" s="106"/>
      <c r="H74" s="106"/>
      <c r="I74" s="106"/>
      <c r="J74" s="106"/>
      <c r="K74" s="106"/>
      <c r="L74" s="106"/>
      <c r="M74" s="106"/>
      <c r="N74" s="106"/>
      <c r="O74" s="69"/>
      <c r="P74" s="72"/>
      <c r="AA74" s="12"/>
      <c r="AB74" s="12"/>
      <c r="AC74" s="12"/>
      <c r="AD74" s="12"/>
      <c r="AE74" s="12"/>
      <c r="AH74" s="12"/>
      <c r="BB74" s="90"/>
      <c r="BC74" s="97"/>
      <c r="BD74" s="87"/>
    </row>
    <row r="75" spans="1:56">
      <c r="A75" s="25"/>
      <c r="B75" s="17" t="s">
        <v>156</v>
      </c>
      <c r="C75" s="221"/>
      <c r="D75" s="16"/>
      <c r="E75" s="16"/>
      <c r="F75" s="16"/>
      <c r="G75" s="16"/>
      <c r="H75" s="16"/>
      <c r="I75" s="16"/>
      <c r="J75" s="16"/>
      <c r="K75" s="16"/>
      <c r="L75" s="16"/>
      <c r="M75" s="16"/>
      <c r="N75" s="16"/>
      <c r="O75" s="16"/>
      <c r="P75" s="74"/>
      <c r="AA75" s="12"/>
      <c r="AB75" s="12"/>
      <c r="AC75" s="12"/>
      <c r="AD75" s="12"/>
      <c r="AE75" s="12"/>
      <c r="AH75" s="108"/>
      <c r="BB75" s="90"/>
      <c r="BC75" s="97"/>
      <c r="BD75" s="87"/>
    </row>
    <row r="76" spans="1:56">
      <c r="A76" s="25"/>
      <c r="B76" s="107" t="s">
        <v>157</v>
      </c>
      <c r="C76" s="16"/>
      <c r="D76" s="16"/>
      <c r="E76" s="16"/>
      <c r="F76" s="16"/>
      <c r="G76" s="16"/>
      <c r="H76" s="16"/>
      <c r="I76" s="16"/>
      <c r="J76" s="16"/>
      <c r="K76" s="16"/>
      <c r="L76" s="16"/>
      <c r="M76" s="16"/>
      <c r="N76" s="16"/>
      <c r="O76" s="16"/>
      <c r="P76" s="26"/>
      <c r="Q76" s="16"/>
      <c r="R76" s="16"/>
      <c r="S76" s="16"/>
      <c r="T76" s="16"/>
      <c r="U76" s="16"/>
      <c r="V76" s="16"/>
      <c r="W76" s="16"/>
      <c r="X76" s="16"/>
      <c r="Y76" s="16"/>
      <c r="Z76" s="16"/>
      <c r="AA76" s="12"/>
      <c r="AB76" s="12"/>
      <c r="AC76" s="12"/>
      <c r="AD76" s="12"/>
      <c r="AE76" s="12"/>
      <c r="BB76" s="90"/>
      <c r="BC76" s="97"/>
      <c r="BD76" s="87"/>
    </row>
    <row r="77" spans="1:56">
      <c r="A77" s="25"/>
      <c r="B77" s="16"/>
      <c r="C77" s="221"/>
      <c r="D77" s="221">
        <f>D$12</f>
        <v>1</v>
      </c>
      <c r="E77" s="221">
        <f t="shared" ref="E77:M77" ca="1" si="37">E$12</f>
        <v>2</v>
      </c>
      <c r="F77" s="221">
        <f t="shared" ca="1" si="37"/>
        <v>3</v>
      </c>
      <c r="G77" s="221">
        <f t="shared" ca="1" si="37"/>
        <v>4</v>
      </c>
      <c r="H77" s="221">
        <f t="shared" ca="1" si="37"/>
        <v>5</v>
      </c>
      <c r="I77" s="221">
        <f t="shared" ca="1" si="37"/>
        <v>6</v>
      </c>
      <c r="J77" s="221">
        <f t="shared" ca="1" si="37"/>
        <v>7</v>
      </c>
      <c r="K77" s="221">
        <f t="shared" ca="1" si="37"/>
        <v>8</v>
      </c>
      <c r="L77" s="221">
        <f t="shared" ca="1" si="37"/>
        <v>9</v>
      </c>
      <c r="M77" s="221">
        <f t="shared" ca="1" si="37"/>
        <v>10</v>
      </c>
      <c r="N77" s="221"/>
      <c r="O77" s="221" t="s">
        <v>158</v>
      </c>
      <c r="P77" s="26"/>
      <c r="Q77" s="16"/>
      <c r="R77" s="16"/>
      <c r="S77" s="16"/>
      <c r="T77" s="16"/>
      <c r="U77" s="16"/>
      <c r="V77" s="16"/>
      <c r="W77" s="16"/>
      <c r="X77" s="16"/>
      <c r="Y77" s="16"/>
      <c r="Z77" s="16"/>
      <c r="AA77" s="12"/>
      <c r="AB77" s="12"/>
      <c r="AC77" s="12"/>
      <c r="AD77" s="12"/>
      <c r="AE77" s="12"/>
      <c r="BB77" s="90"/>
      <c r="BC77" s="97"/>
      <c r="BD77" s="87"/>
    </row>
    <row r="78" spans="1:56">
      <c r="A78" s="25"/>
      <c r="B78" s="16"/>
      <c r="C78" s="221"/>
      <c r="D78" s="221" t="str">
        <f>D$50</f>
        <v>(m)</v>
      </c>
      <c r="E78" s="221" t="str">
        <f t="shared" ref="E78:M78" si="38">E$50</f>
        <v>(m)</v>
      </c>
      <c r="F78" s="221" t="str">
        <f t="shared" si="38"/>
        <v>(m)</v>
      </c>
      <c r="G78" s="221" t="str">
        <f t="shared" si="38"/>
        <v>(m)</v>
      </c>
      <c r="H78" s="221" t="str">
        <f t="shared" si="38"/>
        <v>(m)</v>
      </c>
      <c r="I78" s="221" t="str">
        <f t="shared" si="38"/>
        <v>(m)</v>
      </c>
      <c r="J78" s="221" t="str">
        <f t="shared" si="38"/>
        <v>(m)</v>
      </c>
      <c r="K78" s="221" t="str">
        <f t="shared" si="38"/>
        <v>(m)</v>
      </c>
      <c r="L78" s="221" t="str">
        <f t="shared" si="38"/>
        <v>(m)</v>
      </c>
      <c r="M78" s="221" t="str">
        <f t="shared" si="38"/>
        <v>(m)</v>
      </c>
      <c r="N78" s="221"/>
      <c r="O78" s="221" t="s">
        <v>155</v>
      </c>
      <c r="P78" s="26"/>
      <c r="Q78" s="16"/>
      <c r="R78" s="16"/>
      <c r="S78" s="16"/>
      <c r="T78" s="16"/>
      <c r="U78" s="16"/>
      <c r="V78" s="16"/>
      <c r="W78" s="16"/>
      <c r="X78" s="16"/>
      <c r="Y78" s="16"/>
      <c r="Z78" s="16"/>
      <c r="AA78" s="12"/>
      <c r="AB78" s="12"/>
      <c r="AC78" s="12"/>
      <c r="AD78" s="12"/>
      <c r="AE78" s="12"/>
      <c r="BB78" s="90"/>
      <c r="BC78" s="97"/>
      <c r="BD78" s="87"/>
    </row>
    <row r="79" spans="1:56">
      <c r="A79" s="25"/>
      <c r="B79" s="16"/>
      <c r="C79" s="109">
        <f>$D$248</f>
        <v>0</v>
      </c>
      <c r="D79" s="110" t="str">
        <f t="shared" ref="D79:M79" si="39">IF(D$17="Common Suction",IF($AK$89="Clean Water / Sewage",D265,D266),IF(D$17="Pump Suction",IF($AK$89="Clean Water / Sewage",D265,D266),"-"))</f>
        <v>-</v>
      </c>
      <c r="E79" s="110" t="str">
        <f t="shared" si="39"/>
        <v>-</v>
      </c>
      <c r="F79" s="110" t="str">
        <f t="shared" si="39"/>
        <v>-</v>
      </c>
      <c r="G79" s="110" t="str">
        <f t="shared" si="39"/>
        <v>-</v>
      </c>
      <c r="H79" s="110" t="str">
        <f t="shared" si="39"/>
        <v>-</v>
      </c>
      <c r="I79" s="110" t="str">
        <f t="shared" si="39"/>
        <v>-</v>
      </c>
      <c r="J79" s="110" t="str">
        <f t="shared" si="39"/>
        <v>-</v>
      </c>
      <c r="K79" s="110" t="str">
        <f t="shared" si="39"/>
        <v>-</v>
      </c>
      <c r="L79" s="110" t="str">
        <f t="shared" si="39"/>
        <v>-</v>
      </c>
      <c r="M79" s="110" t="str">
        <f t="shared" si="39"/>
        <v>-</v>
      </c>
      <c r="N79" s="221"/>
      <c r="O79" s="40">
        <f t="shared" ref="O79:O84" si="40">SUM(D79:N79)</f>
        <v>0</v>
      </c>
      <c r="P79" s="26"/>
      <c r="Q79" s="16"/>
      <c r="R79" s="16"/>
      <c r="S79" s="16"/>
      <c r="T79" s="16"/>
      <c r="U79" s="16"/>
      <c r="V79" s="16"/>
      <c r="W79" s="16"/>
      <c r="X79" s="16"/>
      <c r="Y79" s="16"/>
      <c r="Z79" s="16"/>
      <c r="AA79" s="12"/>
      <c r="AB79" s="12"/>
      <c r="AC79" s="12"/>
      <c r="AD79" s="12"/>
      <c r="AE79" s="12"/>
      <c r="BB79" s="90"/>
      <c r="BC79" s="97"/>
      <c r="BD79" s="87"/>
    </row>
    <row r="80" spans="1:56">
      <c r="A80" s="25"/>
      <c r="B80" s="16"/>
      <c r="C80" s="109">
        <f>$D$268</f>
        <v>0</v>
      </c>
      <c r="D80" s="110" t="str">
        <f t="shared" ref="D80:M80" si="41">IF(D$17="Common Suction",IF($AK$89="Clean Water / Sewage",D285,D286),IF(D$17="Pump Suction",IF($AK$89="Clean Water / Sewage",D285,D286),"-"))</f>
        <v>-</v>
      </c>
      <c r="E80" s="110" t="str">
        <f t="shared" si="41"/>
        <v>-</v>
      </c>
      <c r="F80" s="110" t="str">
        <f t="shared" si="41"/>
        <v>-</v>
      </c>
      <c r="G80" s="110" t="str">
        <f t="shared" si="41"/>
        <v>-</v>
      </c>
      <c r="H80" s="110" t="str">
        <f t="shared" si="41"/>
        <v>-</v>
      </c>
      <c r="I80" s="110" t="str">
        <f t="shared" si="41"/>
        <v>-</v>
      </c>
      <c r="J80" s="110" t="str">
        <f t="shared" si="41"/>
        <v>-</v>
      </c>
      <c r="K80" s="110" t="str">
        <f t="shared" si="41"/>
        <v>-</v>
      </c>
      <c r="L80" s="110" t="str">
        <f t="shared" si="41"/>
        <v>-</v>
      </c>
      <c r="M80" s="110" t="str">
        <f t="shared" si="41"/>
        <v>-</v>
      </c>
      <c r="N80" s="221"/>
      <c r="O80" s="40">
        <f t="shared" si="40"/>
        <v>0</v>
      </c>
      <c r="P80" s="26"/>
      <c r="Q80" s="16"/>
      <c r="R80" s="16"/>
      <c r="S80" s="16"/>
      <c r="T80" s="16"/>
      <c r="U80" s="16"/>
      <c r="V80" s="16"/>
      <c r="W80" s="16"/>
      <c r="X80" s="16"/>
      <c r="Y80" s="16"/>
      <c r="Z80" s="16"/>
      <c r="AA80" s="12"/>
      <c r="AB80" s="12"/>
      <c r="AC80" s="12"/>
      <c r="AD80" s="12"/>
      <c r="AE80" s="12"/>
      <c r="BB80" s="90"/>
      <c r="BC80" s="97"/>
      <c r="BD80" s="87"/>
    </row>
    <row r="81" spans="1:56">
      <c r="A81" s="25"/>
      <c r="B81" s="16"/>
      <c r="C81" s="109">
        <f>$D$288</f>
        <v>0</v>
      </c>
      <c r="D81" s="110" t="str">
        <f t="shared" ref="D81:M81" si="42">IF(D$17="Common Suction",IF($AK$89="Clean Water / Sewage",D305,D306),IF(D$17="Pump Suction",IF($AK$89="Clean Water / Sewage",D305,D306),"-"))</f>
        <v>-</v>
      </c>
      <c r="E81" s="110" t="str">
        <f t="shared" si="42"/>
        <v>-</v>
      </c>
      <c r="F81" s="110" t="str">
        <f t="shared" si="42"/>
        <v>-</v>
      </c>
      <c r="G81" s="110" t="str">
        <f t="shared" si="42"/>
        <v>-</v>
      </c>
      <c r="H81" s="110" t="str">
        <f t="shared" si="42"/>
        <v>-</v>
      </c>
      <c r="I81" s="110" t="str">
        <f t="shared" si="42"/>
        <v>-</v>
      </c>
      <c r="J81" s="110" t="str">
        <f t="shared" si="42"/>
        <v>-</v>
      </c>
      <c r="K81" s="110" t="str">
        <f t="shared" si="42"/>
        <v>-</v>
      </c>
      <c r="L81" s="110" t="str">
        <f t="shared" si="42"/>
        <v>-</v>
      </c>
      <c r="M81" s="110" t="str">
        <f t="shared" si="42"/>
        <v>-</v>
      </c>
      <c r="N81" s="221"/>
      <c r="O81" s="40">
        <f t="shared" si="40"/>
        <v>0</v>
      </c>
      <c r="P81" s="26"/>
      <c r="Q81" s="16"/>
      <c r="R81" s="16"/>
      <c r="S81" s="16"/>
      <c r="T81" s="16"/>
      <c r="U81" s="16"/>
      <c r="V81" s="16"/>
      <c r="W81" s="16"/>
      <c r="X81" s="16"/>
      <c r="Y81" s="16"/>
      <c r="Z81" s="16"/>
      <c r="AA81" s="12"/>
      <c r="AB81" s="12"/>
      <c r="AC81" s="12"/>
      <c r="AD81" s="12"/>
      <c r="AE81" s="12"/>
      <c r="BB81" s="90"/>
      <c r="BC81" s="97"/>
      <c r="BD81" s="87"/>
    </row>
    <row r="82" spans="1:56">
      <c r="A82" s="25"/>
      <c r="B82" s="16"/>
      <c r="C82" s="109">
        <f>$D$308</f>
        <v>0</v>
      </c>
      <c r="D82" s="110" t="str">
        <f t="shared" ref="D82:M82" si="43">IF(D$17="Common Suction",IF($AK$89="Clean Water / Sewage",D325,D326),IF(D$17="Pump Suction",IF($AK$89="Clean Water / Sewage",D325,D326),"-"))</f>
        <v>-</v>
      </c>
      <c r="E82" s="110" t="str">
        <f t="shared" si="43"/>
        <v>-</v>
      </c>
      <c r="F82" s="110" t="str">
        <f t="shared" si="43"/>
        <v>-</v>
      </c>
      <c r="G82" s="110" t="str">
        <f t="shared" si="43"/>
        <v>-</v>
      </c>
      <c r="H82" s="110" t="str">
        <f t="shared" si="43"/>
        <v>-</v>
      </c>
      <c r="I82" s="110" t="str">
        <f t="shared" si="43"/>
        <v>-</v>
      </c>
      <c r="J82" s="110" t="str">
        <f t="shared" si="43"/>
        <v>-</v>
      </c>
      <c r="K82" s="110" t="str">
        <f t="shared" si="43"/>
        <v>-</v>
      </c>
      <c r="L82" s="110" t="str">
        <f t="shared" si="43"/>
        <v>-</v>
      </c>
      <c r="M82" s="110" t="str">
        <f t="shared" si="43"/>
        <v>-</v>
      </c>
      <c r="N82" s="221"/>
      <c r="O82" s="40">
        <f t="shared" si="40"/>
        <v>0</v>
      </c>
      <c r="P82" s="26"/>
      <c r="Q82" s="16"/>
      <c r="R82" s="16"/>
      <c r="S82" s="16"/>
      <c r="T82" s="16"/>
      <c r="U82" s="16"/>
      <c r="V82" s="16"/>
      <c r="W82" s="16"/>
      <c r="X82" s="16"/>
      <c r="Y82" s="16"/>
      <c r="Z82" s="16"/>
      <c r="AA82" s="12"/>
      <c r="AB82" s="12"/>
      <c r="AC82" s="12"/>
      <c r="AD82" s="12"/>
      <c r="AE82" s="12"/>
      <c r="BB82" s="90"/>
      <c r="BC82" s="97"/>
      <c r="BD82" s="87"/>
    </row>
    <row r="83" spans="1:56">
      <c r="A83" s="25"/>
      <c r="B83" s="16"/>
      <c r="C83" s="109">
        <f>$D$328</f>
        <v>0</v>
      </c>
      <c r="D83" s="110" t="str">
        <f t="shared" ref="D83:M83" si="44">IF(D$17="Common Suction",IF($AK$89="Clean Water / Sewage",D345,D346),IF(D$17="Pump Suction",IF($AK$89="Clean Water / Sewage",D345,D346),"-"))</f>
        <v>-</v>
      </c>
      <c r="E83" s="110" t="str">
        <f t="shared" si="44"/>
        <v>-</v>
      </c>
      <c r="F83" s="110" t="str">
        <f t="shared" si="44"/>
        <v>-</v>
      </c>
      <c r="G83" s="110" t="str">
        <f t="shared" si="44"/>
        <v>-</v>
      </c>
      <c r="H83" s="110" t="str">
        <f t="shared" si="44"/>
        <v>-</v>
      </c>
      <c r="I83" s="110" t="str">
        <f t="shared" si="44"/>
        <v>-</v>
      </c>
      <c r="J83" s="110" t="str">
        <f t="shared" si="44"/>
        <v>-</v>
      </c>
      <c r="K83" s="110" t="str">
        <f t="shared" si="44"/>
        <v>-</v>
      </c>
      <c r="L83" s="110" t="str">
        <f t="shared" si="44"/>
        <v>-</v>
      </c>
      <c r="M83" s="110" t="str">
        <f t="shared" si="44"/>
        <v>-</v>
      </c>
      <c r="N83" s="221"/>
      <c r="O83" s="40">
        <f t="shared" si="40"/>
        <v>0</v>
      </c>
      <c r="P83" s="26"/>
      <c r="Q83" s="16"/>
      <c r="R83" s="16"/>
      <c r="S83" s="16"/>
      <c r="T83" s="16"/>
      <c r="U83" s="16"/>
      <c r="V83" s="16"/>
      <c r="W83" s="16"/>
      <c r="X83" s="16"/>
      <c r="Y83" s="16"/>
      <c r="Z83" s="16"/>
      <c r="AA83" s="12"/>
      <c r="AB83" s="12"/>
      <c r="AC83" s="12"/>
      <c r="AD83" s="12"/>
      <c r="AE83" s="12"/>
      <c r="BB83" s="90"/>
      <c r="BC83" s="97"/>
      <c r="BD83" s="87"/>
    </row>
    <row r="84" spans="1:56">
      <c r="A84" s="25"/>
      <c r="B84" s="16"/>
      <c r="C84" s="109">
        <f>$D$348</f>
        <v>0</v>
      </c>
      <c r="D84" s="110" t="str">
        <f t="shared" ref="D84:M84" si="45">IF(D$17="Common Suction",IF($AK$89="Clean Water / Sewage",D365,D366),IF(D$17="Pump Suction",IF($AK$89="Clean Water / Sewage",D365,D366),"-"))</f>
        <v>-</v>
      </c>
      <c r="E84" s="110" t="str">
        <f t="shared" si="45"/>
        <v>-</v>
      </c>
      <c r="F84" s="110" t="str">
        <f t="shared" si="45"/>
        <v>-</v>
      </c>
      <c r="G84" s="110" t="str">
        <f t="shared" si="45"/>
        <v>-</v>
      </c>
      <c r="H84" s="110" t="str">
        <f t="shared" si="45"/>
        <v>-</v>
      </c>
      <c r="I84" s="110" t="str">
        <f t="shared" si="45"/>
        <v>-</v>
      </c>
      <c r="J84" s="110" t="str">
        <f t="shared" si="45"/>
        <v>-</v>
      </c>
      <c r="K84" s="110" t="str">
        <f t="shared" si="45"/>
        <v>-</v>
      </c>
      <c r="L84" s="110" t="str">
        <f t="shared" si="45"/>
        <v>-</v>
      </c>
      <c r="M84" s="110" t="str">
        <f t="shared" si="45"/>
        <v>-</v>
      </c>
      <c r="N84" s="221"/>
      <c r="O84" s="40">
        <f t="shared" si="40"/>
        <v>0</v>
      </c>
      <c r="P84" s="26"/>
      <c r="Q84" s="16"/>
      <c r="R84" s="16"/>
      <c r="S84" s="16"/>
      <c r="T84" s="16"/>
      <c r="U84" s="16"/>
      <c r="V84" s="16"/>
      <c r="W84" s="16"/>
      <c r="X84" s="16"/>
      <c r="Y84" s="16"/>
      <c r="Z84" s="16"/>
      <c r="AA84" s="12"/>
      <c r="AB84" s="12"/>
      <c r="AC84" s="12"/>
      <c r="AD84" s="12"/>
      <c r="AE84" s="12"/>
      <c r="BB84" s="90"/>
      <c r="BC84" s="97"/>
      <c r="BD84" s="87"/>
    </row>
    <row r="85" spans="1:56" ht="12.75" thickBot="1">
      <c r="A85" s="84"/>
      <c r="B85" s="85"/>
      <c r="C85" s="111"/>
      <c r="D85" s="111"/>
      <c r="E85" s="111"/>
      <c r="F85" s="111"/>
      <c r="G85" s="111"/>
      <c r="H85" s="111"/>
      <c r="I85" s="111"/>
      <c r="J85" s="111"/>
      <c r="K85" s="111"/>
      <c r="L85" s="111"/>
      <c r="M85" s="111"/>
      <c r="N85" s="111"/>
      <c r="O85" s="42"/>
      <c r="P85" s="43"/>
      <c r="Q85" s="16"/>
      <c r="R85" s="16"/>
      <c r="S85" s="16"/>
      <c r="T85" s="16"/>
      <c r="U85" s="16"/>
      <c r="V85" s="16"/>
      <c r="W85" s="16"/>
      <c r="X85" s="16"/>
      <c r="Y85" s="16"/>
      <c r="AH85" s="12"/>
      <c r="BB85" s="90"/>
      <c r="BC85" s="97"/>
      <c r="BD85" s="87"/>
    </row>
    <row r="86" spans="1:56">
      <c r="A86" s="25"/>
      <c r="O86" s="16"/>
      <c r="P86" s="26"/>
      <c r="Q86" s="16"/>
      <c r="R86" s="16"/>
      <c r="S86" s="16"/>
      <c r="T86" s="16"/>
      <c r="U86" s="16"/>
      <c r="V86" s="16"/>
      <c r="W86" s="16"/>
      <c r="X86" s="16"/>
      <c r="Y86" s="16"/>
      <c r="Z86" s="112"/>
      <c r="AA86" s="70"/>
      <c r="AB86" s="70"/>
      <c r="AC86" s="70"/>
      <c r="AD86" s="71"/>
      <c r="AE86" s="71"/>
      <c r="AF86" s="113"/>
      <c r="AH86" s="68"/>
      <c r="AI86" s="71"/>
      <c r="AJ86" s="71"/>
      <c r="AK86" s="71"/>
      <c r="AL86" s="71"/>
      <c r="AM86" s="71"/>
      <c r="AN86" s="113"/>
      <c r="AP86" s="114"/>
      <c r="AQ86" s="70"/>
      <c r="AR86" s="70"/>
      <c r="AS86" s="70"/>
      <c r="AT86" s="70"/>
      <c r="AU86" s="106"/>
      <c r="AV86" s="106"/>
      <c r="AW86" s="106"/>
      <c r="AX86" s="106"/>
      <c r="AY86" s="72"/>
      <c r="BB86" s="90"/>
      <c r="BC86" s="97"/>
      <c r="BD86" s="87"/>
    </row>
    <row r="87" spans="1:56" ht="12" customHeight="1">
      <c r="A87" s="25"/>
      <c r="B87" s="115" t="s">
        <v>159</v>
      </c>
      <c r="O87" s="16"/>
      <c r="P87" s="26"/>
      <c r="Q87" s="221"/>
      <c r="R87" s="16"/>
      <c r="S87" s="16"/>
      <c r="T87" s="16"/>
      <c r="U87" s="16"/>
      <c r="V87" s="16"/>
      <c r="Z87" s="116"/>
      <c r="AA87" s="73" t="s">
        <v>160</v>
      </c>
      <c r="AF87" s="117"/>
      <c r="AH87" s="25"/>
      <c r="AI87" s="73" t="s">
        <v>161</v>
      </c>
      <c r="AJ87" s="16"/>
      <c r="AK87" s="16"/>
      <c r="AL87" s="16"/>
      <c r="AM87" s="16"/>
      <c r="AN87" s="118"/>
      <c r="AP87" s="119"/>
      <c r="AQ87" s="73" t="s">
        <v>162</v>
      </c>
      <c r="AR87" s="13"/>
      <c r="AW87" s="13"/>
      <c r="AX87" s="13"/>
      <c r="AY87" s="74"/>
      <c r="BB87" s="90"/>
      <c r="BC87" s="97"/>
      <c r="BD87" s="87"/>
    </row>
    <row r="88" spans="1:56" ht="15" customHeight="1">
      <c r="A88" s="25"/>
      <c r="B88" s="107"/>
      <c r="O88" s="16"/>
      <c r="P88" s="26"/>
      <c r="R88" s="16"/>
      <c r="S88" s="16"/>
      <c r="T88" s="16"/>
      <c r="U88" s="16"/>
      <c r="V88" s="16"/>
      <c r="Z88" s="116"/>
      <c r="AA88" s="73" t="s">
        <v>163</v>
      </c>
      <c r="AB88" s="12"/>
      <c r="AC88" s="77"/>
      <c r="AD88" s="77"/>
      <c r="AE88" s="77"/>
      <c r="AF88" s="120"/>
      <c r="AH88" s="25"/>
      <c r="AI88" s="16"/>
      <c r="AJ88" s="16"/>
      <c r="AK88" s="16"/>
      <c r="AL88" s="16"/>
      <c r="AM88" s="16"/>
      <c r="AN88" s="121"/>
      <c r="AP88" s="119"/>
      <c r="AQ88" s="13"/>
      <c r="AR88" s="221"/>
      <c r="AS88" s="221"/>
      <c r="AT88" s="221"/>
      <c r="AU88" s="221"/>
      <c r="AV88" s="221"/>
      <c r="AW88" s="221"/>
      <c r="AX88" s="221"/>
      <c r="AY88" s="74"/>
      <c r="BB88" s="90"/>
      <c r="BC88" s="97"/>
      <c r="BD88" s="87"/>
    </row>
    <row r="89" spans="1:56">
      <c r="A89" s="25"/>
      <c r="B89" s="12" t="s">
        <v>164</v>
      </c>
      <c r="D89" s="83" t="str">
        <f t="shared" ref="D89:M89" si="46">$AK$89</f>
        <v>Clean Water / Sewage</v>
      </c>
      <c r="E89" s="83" t="str">
        <f t="shared" si="46"/>
        <v>Clean Water / Sewage</v>
      </c>
      <c r="F89" s="83" t="str">
        <f t="shared" si="46"/>
        <v>Clean Water / Sewage</v>
      </c>
      <c r="G89" s="83" t="str">
        <f t="shared" si="46"/>
        <v>Clean Water / Sewage</v>
      </c>
      <c r="H89" s="83" t="str">
        <f t="shared" si="46"/>
        <v>Clean Water / Sewage</v>
      </c>
      <c r="I89" s="83" t="str">
        <f t="shared" si="46"/>
        <v>Clean Water / Sewage</v>
      </c>
      <c r="J89" s="83" t="str">
        <f t="shared" si="46"/>
        <v>Clean Water / Sewage</v>
      </c>
      <c r="K89" s="83" t="str">
        <f t="shared" si="46"/>
        <v>Clean Water / Sewage</v>
      </c>
      <c r="L89" s="83" t="str">
        <f t="shared" si="46"/>
        <v>Clean Water / Sewage</v>
      </c>
      <c r="M89" s="83" t="str">
        <f t="shared" si="46"/>
        <v>Clean Water / Sewage</v>
      </c>
      <c r="O89" s="16"/>
      <c r="P89" s="26"/>
      <c r="W89" s="12"/>
      <c r="X89" s="12"/>
      <c r="Z89" s="116"/>
      <c r="AA89" s="122" t="s">
        <v>165</v>
      </c>
      <c r="AB89" s="123"/>
      <c r="AC89" s="124"/>
      <c r="AD89" s="122"/>
      <c r="AE89" s="125" t="s">
        <v>166</v>
      </c>
      <c r="AF89" s="74"/>
      <c r="AH89" s="25"/>
      <c r="AI89" s="126" t="s">
        <v>164</v>
      </c>
      <c r="AJ89" s="127"/>
      <c r="AK89" s="128" t="str">
        <f>J4</f>
        <v>Clean Water / Sewage</v>
      </c>
      <c r="AL89" s="16"/>
      <c r="AM89" s="16"/>
      <c r="AN89" s="121"/>
      <c r="AP89" s="119"/>
      <c r="AR89" s="15" t="s">
        <v>167</v>
      </c>
      <c r="AT89" s="129">
        <f t="array" ref="AT89">MAX(IF(D17:N17="Common Suction",D21:N21))</f>
        <v>0</v>
      </c>
      <c r="AU89" s="221" t="s">
        <v>168</v>
      </c>
      <c r="AV89" s="221"/>
      <c r="AW89" s="221"/>
      <c r="AX89" s="221"/>
      <c r="AY89" s="74"/>
      <c r="BB89" s="90"/>
      <c r="BC89" s="97"/>
      <c r="BD89" s="87"/>
    </row>
    <row r="90" spans="1:56" ht="14.25">
      <c r="A90" s="25"/>
      <c r="B90" s="36" t="s">
        <v>169</v>
      </c>
      <c r="C90" s="16" t="s">
        <v>170</v>
      </c>
      <c r="D90" s="83">
        <f t="shared" ref="D90:M90" si="47">IF(D21="",VLOOKUP(20,$AQ$98:$AX$198,5,FALSE),VLOOKUP(D21,$AQ$98:$AX$198,5,FALSE))</f>
        <v>998.2</v>
      </c>
      <c r="E90" s="83">
        <f t="shared" si="47"/>
        <v>998.2</v>
      </c>
      <c r="F90" s="83">
        <f t="shared" si="47"/>
        <v>998.2</v>
      </c>
      <c r="G90" s="83">
        <f t="shared" si="47"/>
        <v>998.2</v>
      </c>
      <c r="H90" s="83">
        <f t="shared" si="47"/>
        <v>998.2</v>
      </c>
      <c r="I90" s="83">
        <f t="shared" si="47"/>
        <v>998.2</v>
      </c>
      <c r="J90" s="83">
        <f t="shared" si="47"/>
        <v>998.2</v>
      </c>
      <c r="K90" s="83">
        <f t="shared" si="47"/>
        <v>998.2</v>
      </c>
      <c r="L90" s="83">
        <f t="shared" si="47"/>
        <v>998.2</v>
      </c>
      <c r="M90" s="83">
        <f t="shared" si="47"/>
        <v>998.2</v>
      </c>
      <c r="O90" s="16"/>
      <c r="P90" s="26"/>
      <c r="W90" s="12"/>
      <c r="X90" s="12"/>
      <c r="Z90" s="25"/>
      <c r="AA90" s="130"/>
      <c r="AB90" s="131"/>
      <c r="AC90" s="131"/>
      <c r="AD90" s="132"/>
      <c r="AE90" s="133"/>
      <c r="AF90" s="74"/>
      <c r="AH90" s="25"/>
      <c r="AI90" s="134" t="s">
        <v>169</v>
      </c>
      <c r="AJ90" s="127"/>
      <c r="AK90" s="128">
        <f>VLOOKUP(AT91,$AQ$98:$AX$198,5,FALSE)</f>
        <v>999</v>
      </c>
      <c r="AL90" s="16" t="s">
        <v>170</v>
      </c>
      <c r="AM90" s="16"/>
      <c r="AN90" s="121"/>
      <c r="AP90" s="119"/>
      <c r="AR90" s="15" t="s">
        <v>171</v>
      </c>
      <c r="AT90" s="129">
        <f t="array" ref="AT90">MAX(IF(D17:N17="Pump Suction",D21:N21))</f>
        <v>0</v>
      </c>
      <c r="AU90" s="221" t="s">
        <v>168</v>
      </c>
      <c r="AV90" s="221"/>
      <c r="AW90" s="221"/>
      <c r="AX90" s="221"/>
      <c r="AY90" s="74"/>
      <c r="BB90" s="90"/>
      <c r="BC90" s="97"/>
      <c r="BD90" s="87"/>
    </row>
    <row r="91" spans="1:56" ht="12.75" customHeight="1">
      <c r="A91" s="25"/>
      <c r="B91" s="16" t="s">
        <v>172</v>
      </c>
      <c r="C91" s="16" t="s">
        <v>170</v>
      </c>
      <c r="D91" s="83">
        <f t="shared" ref="D91:M91" si="48">$J$5/(100-$J$5)*D90/(1+$J$5/(100-$J$5)*D90/$AK$92)</f>
        <v>61.118776073344158</v>
      </c>
      <c r="E91" s="83">
        <f t="shared" si="48"/>
        <v>61.118776073344158</v>
      </c>
      <c r="F91" s="83">
        <f t="shared" si="48"/>
        <v>61.118776073344158</v>
      </c>
      <c r="G91" s="83">
        <f t="shared" si="48"/>
        <v>61.118776073344158</v>
      </c>
      <c r="H91" s="83">
        <f t="shared" si="48"/>
        <v>61.118776073344158</v>
      </c>
      <c r="I91" s="83">
        <f t="shared" si="48"/>
        <v>61.118776073344158</v>
      </c>
      <c r="J91" s="83">
        <f t="shared" si="48"/>
        <v>61.118776073344158</v>
      </c>
      <c r="K91" s="83">
        <f t="shared" si="48"/>
        <v>61.118776073344158</v>
      </c>
      <c r="L91" s="83">
        <f t="shared" si="48"/>
        <v>61.118776073344158</v>
      </c>
      <c r="M91" s="83">
        <f t="shared" si="48"/>
        <v>61.118776073344158</v>
      </c>
      <c r="O91" s="16"/>
      <c r="P91" s="26"/>
      <c r="W91" s="12"/>
      <c r="X91" s="12"/>
      <c r="Z91" s="25"/>
      <c r="AA91" s="130" t="s">
        <v>98</v>
      </c>
      <c r="AB91" s="131"/>
      <c r="AC91" s="131"/>
      <c r="AD91" s="132"/>
      <c r="AE91" s="133">
        <v>0.5</v>
      </c>
      <c r="AF91" s="74"/>
      <c r="AH91" s="25"/>
      <c r="AI91" s="135" t="s">
        <v>172</v>
      </c>
      <c r="AJ91" s="127"/>
      <c r="AK91" s="128">
        <f>$J$5/(100-$J$5)*D90/(1+$J$5/(100-$J$5)*D90/$AK$92)</f>
        <v>61.118776073344158</v>
      </c>
      <c r="AL91" s="16" t="s">
        <v>170</v>
      </c>
      <c r="AM91" s="16"/>
      <c r="AN91" s="121"/>
      <c r="AP91" s="119"/>
      <c r="AR91" s="32" t="s">
        <v>173</v>
      </c>
      <c r="AS91" s="221"/>
      <c r="AT91" s="129">
        <f>IF(MAX(AT89:AT90)=0,15,MAX(AT89:AT90))</f>
        <v>15</v>
      </c>
      <c r="AU91" s="221" t="s">
        <v>168</v>
      </c>
      <c r="AV91" s="221"/>
      <c r="AW91" s="221"/>
      <c r="AX91" s="221"/>
      <c r="AY91" s="74"/>
      <c r="BB91" s="90"/>
      <c r="BC91" s="97"/>
      <c r="BD91" s="87"/>
    </row>
    <row r="92" spans="1:56" ht="14.25">
      <c r="A92" s="25"/>
      <c r="B92" s="16" t="s">
        <v>174</v>
      </c>
      <c r="C92" s="16" t="s">
        <v>170</v>
      </c>
      <c r="D92" s="83">
        <f t="shared" ref="D92:M92" si="49">(D90+D91)/(1+D91/$AK$92)</f>
        <v>1017.8457837184859</v>
      </c>
      <c r="E92" s="83">
        <f t="shared" si="49"/>
        <v>1017.8457837184859</v>
      </c>
      <c r="F92" s="83">
        <f t="shared" si="49"/>
        <v>1017.8457837184859</v>
      </c>
      <c r="G92" s="83">
        <f t="shared" si="49"/>
        <v>1017.8457837184859</v>
      </c>
      <c r="H92" s="83">
        <f t="shared" si="49"/>
        <v>1017.8457837184859</v>
      </c>
      <c r="I92" s="83">
        <f t="shared" si="49"/>
        <v>1017.8457837184859</v>
      </c>
      <c r="J92" s="83">
        <f t="shared" si="49"/>
        <v>1017.8457837184859</v>
      </c>
      <c r="K92" s="83">
        <f t="shared" si="49"/>
        <v>1017.8457837184859</v>
      </c>
      <c r="L92" s="83">
        <f t="shared" si="49"/>
        <v>1017.8457837184859</v>
      </c>
      <c r="M92" s="83">
        <f t="shared" si="49"/>
        <v>1017.8457837184859</v>
      </c>
      <c r="O92" s="16"/>
      <c r="P92" s="26"/>
      <c r="W92" s="12"/>
      <c r="X92" s="12"/>
      <c r="Z92" s="25"/>
      <c r="AA92" s="130" t="s">
        <v>100</v>
      </c>
      <c r="AB92" s="131"/>
      <c r="AC92" s="131"/>
      <c r="AD92" s="132"/>
      <c r="AE92" s="133">
        <v>0.05</v>
      </c>
      <c r="AF92" s="74"/>
      <c r="AH92" s="25"/>
      <c r="AI92" s="136" t="s">
        <v>175</v>
      </c>
      <c r="AJ92" s="137"/>
      <c r="AK92" s="138">
        <v>1500</v>
      </c>
      <c r="AL92" s="16" t="s">
        <v>170</v>
      </c>
      <c r="AM92" s="16"/>
      <c r="AN92" s="121"/>
      <c r="AP92" s="119"/>
      <c r="AR92" s="32" t="s">
        <v>176</v>
      </c>
      <c r="AS92" s="221"/>
      <c r="AT92" s="139">
        <f>VLOOKUP(AT91,$AQ$98:$AX$198,2,FALSE)</f>
        <v>1.7</v>
      </c>
      <c r="AU92" s="221" t="s">
        <v>63</v>
      </c>
      <c r="AV92" s="221"/>
      <c r="AW92" s="221"/>
      <c r="AX92" s="221"/>
      <c r="AY92" s="74"/>
      <c r="BB92" s="90"/>
      <c r="BC92" s="97"/>
      <c r="BD92" s="87"/>
    </row>
    <row r="93" spans="1:56" ht="15" thickBot="1">
      <c r="A93" s="25"/>
      <c r="O93" s="16"/>
      <c r="P93" s="26"/>
      <c r="W93" s="12"/>
      <c r="X93" s="12"/>
      <c r="Z93" s="25"/>
      <c r="AA93" s="130" t="s">
        <v>102</v>
      </c>
      <c r="AB93" s="131"/>
      <c r="AC93" s="131"/>
      <c r="AD93" s="132"/>
      <c r="AE93" s="133">
        <v>0.75</v>
      </c>
      <c r="AF93" s="74"/>
      <c r="AH93" s="25"/>
      <c r="AI93" s="140" t="s">
        <v>174</v>
      </c>
      <c r="AJ93" s="137"/>
      <c r="AK93" s="141">
        <f>(AK90+AK91)/(1+AK91/$AK$92)</f>
        <v>1018.6144632183368</v>
      </c>
      <c r="AL93" s="16" t="s">
        <v>170</v>
      </c>
      <c r="AM93" s="16"/>
      <c r="AN93" s="121"/>
      <c r="AP93" s="119"/>
      <c r="AQ93" s="221"/>
      <c r="AR93" s="32" t="s">
        <v>177</v>
      </c>
      <c r="AS93" s="221"/>
      <c r="AT93" s="142">
        <f>VLOOKUP(AT91,$AQ$98:$AX$198,5,FALSE)*9.81/1000</f>
        <v>9.8001900000000006</v>
      </c>
      <c r="AU93" s="221" t="s">
        <v>178</v>
      </c>
      <c r="AV93" s="221"/>
      <c r="AW93" s="221"/>
      <c r="AX93" s="221"/>
      <c r="AY93" s="74"/>
      <c r="BB93" s="90"/>
      <c r="BC93" s="97"/>
      <c r="BD93" s="87"/>
    </row>
    <row r="94" spans="1:56">
      <c r="A94" s="68"/>
      <c r="B94" s="208"/>
      <c r="C94" s="209"/>
      <c r="D94" s="210"/>
      <c r="E94" s="210"/>
      <c r="F94" s="210"/>
      <c r="G94" s="210"/>
      <c r="H94" s="210"/>
      <c r="I94" s="210"/>
      <c r="J94" s="210"/>
      <c r="K94" s="210"/>
      <c r="L94" s="210"/>
      <c r="M94" s="210"/>
      <c r="N94" s="106"/>
      <c r="O94" s="69"/>
      <c r="P94" s="72"/>
      <c r="W94" s="12"/>
      <c r="X94" s="12"/>
      <c r="Z94" s="25"/>
      <c r="AA94" s="130" t="s">
        <v>103</v>
      </c>
      <c r="AB94" s="131"/>
      <c r="AC94" s="131"/>
      <c r="AD94" s="132"/>
      <c r="AE94" s="133">
        <v>0.3</v>
      </c>
      <c r="AF94" s="74"/>
      <c r="AH94" s="25"/>
      <c r="AI94" s="135" t="s">
        <v>179</v>
      </c>
      <c r="AJ94" s="143"/>
      <c r="AK94" s="144" t="str">
        <f>J6</f>
        <v>Median</v>
      </c>
      <c r="AL94" s="16"/>
      <c r="AM94" s="145">
        <f>IF(AK94="Upper bound",2,IF(AK94="Median",3,4))</f>
        <v>3</v>
      </c>
      <c r="AN94" s="121"/>
      <c r="AP94" s="119"/>
      <c r="AR94" s="146"/>
      <c r="AS94" s="146"/>
      <c r="AT94" s="146"/>
      <c r="AU94" s="146"/>
      <c r="AV94" s="146"/>
      <c r="AW94" s="146"/>
      <c r="AX94" s="146"/>
      <c r="AY94" s="74"/>
      <c r="BB94" s="90"/>
      <c r="BC94" s="97"/>
      <c r="BD94" s="87"/>
    </row>
    <row r="95" spans="1:56" ht="15">
      <c r="A95" s="25"/>
      <c r="B95" s="211" t="s">
        <v>180</v>
      </c>
      <c r="D95" s="212"/>
      <c r="E95" s="212"/>
      <c r="F95" s="212"/>
      <c r="G95" s="212"/>
      <c r="H95" s="212"/>
      <c r="I95" s="212"/>
      <c r="J95" s="212"/>
      <c r="K95" s="212"/>
      <c r="L95" s="212"/>
      <c r="M95" s="212"/>
      <c r="P95" s="74"/>
      <c r="S95" s="147"/>
      <c r="T95" s="221"/>
      <c r="U95" s="221"/>
      <c r="W95" s="12"/>
      <c r="X95" s="12"/>
      <c r="Z95" s="25"/>
      <c r="AA95" s="130" t="s">
        <v>181</v>
      </c>
      <c r="AB95" s="131"/>
      <c r="AC95" s="131"/>
      <c r="AD95" s="132"/>
      <c r="AE95" s="133">
        <v>0.15</v>
      </c>
      <c r="AF95" s="74"/>
      <c r="AH95" s="25"/>
      <c r="AI95" s="16"/>
      <c r="AJ95" s="16"/>
      <c r="AK95" s="221"/>
      <c r="AL95" s="16"/>
      <c r="AM95" s="16"/>
      <c r="AN95" s="121"/>
      <c r="AP95" s="119"/>
      <c r="AQ95" s="146" t="s">
        <v>182</v>
      </c>
      <c r="AR95" s="148"/>
      <c r="AS95" s="148"/>
      <c r="AT95" s="148"/>
      <c r="AU95" s="148"/>
      <c r="AV95" s="148"/>
      <c r="AW95" s="148"/>
      <c r="AX95" s="148"/>
      <c r="AY95" s="74"/>
      <c r="BB95" s="90"/>
      <c r="BC95" s="97"/>
      <c r="BD95" s="87"/>
    </row>
    <row r="96" spans="1:56">
      <c r="A96" s="25"/>
      <c r="B96" s="212"/>
      <c r="C96" s="212"/>
      <c r="D96" s="212"/>
      <c r="E96" s="212"/>
      <c r="F96" s="212"/>
      <c r="G96" s="212"/>
      <c r="H96" s="212"/>
      <c r="I96" s="212"/>
      <c r="J96" s="212"/>
      <c r="K96" s="212"/>
      <c r="L96" s="212"/>
      <c r="M96" s="212"/>
      <c r="P96" s="74"/>
      <c r="X96" s="221"/>
      <c r="Y96" s="16"/>
      <c r="Z96" s="25"/>
      <c r="AA96" s="130" t="s">
        <v>105</v>
      </c>
      <c r="AB96" s="131"/>
      <c r="AC96" s="131"/>
      <c r="AD96" s="132"/>
      <c r="AE96" s="133">
        <v>0.4</v>
      </c>
      <c r="AF96" s="74"/>
      <c r="AH96" s="25"/>
      <c r="AI96" s="16"/>
      <c r="AJ96" s="244" t="s">
        <v>183</v>
      </c>
      <c r="AK96" s="245"/>
      <c r="AL96" s="245"/>
      <c r="AM96" s="246"/>
      <c r="AN96" s="149"/>
      <c r="AP96" s="119"/>
      <c r="AQ96" s="150" t="s">
        <v>91</v>
      </c>
      <c r="AR96" s="150" t="s">
        <v>184</v>
      </c>
      <c r="AS96" s="150" t="s">
        <v>185</v>
      </c>
      <c r="AT96" s="150" t="s">
        <v>186</v>
      </c>
      <c r="AU96" s="150" t="s">
        <v>187</v>
      </c>
      <c r="AV96" s="150" t="s">
        <v>188</v>
      </c>
      <c r="AW96" s="150" t="s">
        <v>189</v>
      </c>
      <c r="AX96" s="151" t="s">
        <v>91</v>
      </c>
      <c r="AY96" s="74"/>
      <c r="BB96" s="90"/>
      <c r="BC96" s="97"/>
      <c r="BD96" s="87"/>
    </row>
    <row r="97" spans="1:56" ht="15">
      <c r="A97" s="25"/>
      <c r="B97" s="212" t="s">
        <v>190</v>
      </c>
      <c r="C97" s="213">
        <v>0</v>
      </c>
      <c r="D97" s="213" t="str">
        <f>IF('Data Input'!$R$7=D103,"Pump",IF('Data Input'!$R$7&lt;D103,D103-1,D103))</f>
        <v>Pump</v>
      </c>
      <c r="E97" s="213">
        <f ca="1">IF('Data Input'!$R$7=E103,"Pump",IF('Data Input'!$R$7&lt;E103,E103-1,E103))</f>
        <v>1</v>
      </c>
      <c r="F97" s="213">
        <f ca="1">IF('Data Input'!$R$7=F103,"Pump",IF('Data Input'!$R$7&lt;F103,F103-1,F103))</f>
        <v>2</v>
      </c>
      <c r="G97" s="213">
        <f ca="1">IF('Data Input'!$R$7=G103,"Pump",IF('Data Input'!$R$7&lt;G103,G103-1,G103))</f>
        <v>3</v>
      </c>
      <c r="H97" s="213">
        <f ca="1">IF('Data Input'!$R$7=H103,"Pump",IF('Data Input'!$R$7&lt;H103,H103-1,H103))</f>
        <v>4</v>
      </c>
      <c r="I97" s="213">
        <f ca="1">IF('Data Input'!$R$7=I103,"Pump",IF('Data Input'!$R$7&lt;I103,I103-1,I103))</f>
        <v>5</v>
      </c>
      <c r="J97" s="213">
        <f ca="1">IF('Data Input'!$R$7=J103,"Pump",IF('Data Input'!$R$7&lt;J103,J103-1,J103))</f>
        <v>6</v>
      </c>
      <c r="K97" s="213">
        <f ca="1">IF('Data Input'!$R$7=K103,"Pump",IF('Data Input'!$R$7&lt;K103,K103-1,K103))</f>
        <v>7</v>
      </c>
      <c r="L97" s="213">
        <f ca="1">IF('Data Input'!$R$7=L103,"Pump",IF('Data Input'!$R$7&lt;L103,L103-1,L103))</f>
        <v>8</v>
      </c>
      <c r="M97" s="213">
        <f ca="1">IF('Data Input'!$R$7=M103,"Pump",IF('Data Input'!$R$7&lt;M103,M103-1,M103))</f>
        <v>9</v>
      </c>
      <c r="N97" s="213">
        <f ca="1">IF('Data Input'!$R$7=N103,"Pump",IF('Data Input'!$R$7&lt;N103,N103-1,N103))</f>
        <v>10</v>
      </c>
      <c r="P97" s="74"/>
      <c r="S97" s="147"/>
      <c r="Z97" s="116"/>
      <c r="AA97" s="130" t="s">
        <v>107</v>
      </c>
      <c r="AB97" s="131"/>
      <c r="AC97" s="131"/>
      <c r="AD97" s="132"/>
      <c r="AE97" s="133">
        <v>0.2</v>
      </c>
      <c r="AF97" s="74"/>
      <c r="AH97" s="152"/>
      <c r="AI97" s="153" t="s">
        <v>191</v>
      </c>
      <c r="AJ97" s="154">
        <v>0.79</v>
      </c>
      <c r="AK97" s="154">
        <v>0.82</v>
      </c>
      <c r="AL97" s="154">
        <v>0.85</v>
      </c>
      <c r="AM97" s="155">
        <v>-0.17199999999999999</v>
      </c>
      <c r="AN97" s="156"/>
      <c r="AP97" s="119"/>
      <c r="AQ97" s="157" t="s">
        <v>192</v>
      </c>
      <c r="AR97" s="157" t="s">
        <v>193</v>
      </c>
      <c r="AS97" s="157" t="s">
        <v>194</v>
      </c>
      <c r="AT97" s="157" t="s">
        <v>195</v>
      </c>
      <c r="AU97" s="157" t="s">
        <v>196</v>
      </c>
      <c r="AV97" s="157" t="s">
        <v>197</v>
      </c>
      <c r="AW97" s="157" t="s">
        <v>198</v>
      </c>
      <c r="AX97" s="158" t="s">
        <v>192</v>
      </c>
      <c r="AY97" s="74"/>
      <c r="BB97" s="90"/>
      <c r="BC97" s="97"/>
      <c r="BD97" s="87"/>
    </row>
    <row r="98" spans="1:56">
      <c r="A98" s="25"/>
      <c r="B98" s="212" t="s">
        <v>199</v>
      </c>
      <c r="C98" s="214">
        <v>0</v>
      </c>
      <c r="D98" s="214">
        <f ca="1">IF(D97="Pump",OFFSET(D98,0,-1),OFFSET(D98,0,-1)+HLOOKUP(D97,$D$12:$N$22,8))</f>
        <v>0</v>
      </c>
      <c r="E98" s="214">
        <f t="shared" ref="E98:N98" ca="1" si="50">IF(E97="Pump",OFFSET(E98,0,-1),OFFSET(E98,0,-1)+HLOOKUP(E97,$D$12:$N$22,8))</f>
        <v>0</v>
      </c>
      <c r="F98" s="214">
        <f t="shared" ca="1" si="50"/>
        <v>0</v>
      </c>
      <c r="G98" s="214">
        <f t="shared" ca="1" si="50"/>
        <v>0</v>
      </c>
      <c r="H98" s="214">
        <f t="shared" ca="1" si="50"/>
        <v>0</v>
      </c>
      <c r="I98" s="214">
        <f t="shared" ca="1" si="50"/>
        <v>0</v>
      </c>
      <c r="J98" s="214">
        <f t="shared" ca="1" si="50"/>
        <v>0</v>
      </c>
      <c r="K98" s="214">
        <f t="shared" ca="1" si="50"/>
        <v>0</v>
      </c>
      <c r="L98" s="214">
        <f t="shared" ca="1" si="50"/>
        <v>0</v>
      </c>
      <c r="M98" s="214">
        <f t="shared" ca="1" si="50"/>
        <v>0</v>
      </c>
      <c r="N98" s="214">
        <f t="shared" ca="1" si="50"/>
        <v>0</v>
      </c>
      <c r="P98" s="74"/>
      <c r="Z98" s="25"/>
      <c r="AA98" s="130" t="s">
        <v>200</v>
      </c>
      <c r="AB98" s="131"/>
      <c r="AC98" s="131"/>
      <c r="AD98" s="132"/>
      <c r="AE98" s="133">
        <v>0.1</v>
      </c>
      <c r="AF98" s="74"/>
      <c r="AG98" s="12"/>
      <c r="AH98" s="25"/>
      <c r="AI98" s="153" t="s">
        <v>201</v>
      </c>
      <c r="AJ98" s="154">
        <v>0.79</v>
      </c>
      <c r="AK98" s="154">
        <v>0.82</v>
      </c>
      <c r="AL98" s="154">
        <v>0.85</v>
      </c>
      <c r="AM98" s="155">
        <v>-0.17199999999999999</v>
      </c>
      <c r="AN98" s="156"/>
      <c r="AP98" s="119"/>
      <c r="AQ98" s="159">
        <v>0.01</v>
      </c>
      <c r="AR98" s="159">
        <v>0.61</v>
      </c>
      <c r="AS98" s="159">
        <v>4.21</v>
      </c>
      <c r="AT98" s="159">
        <v>1782</v>
      </c>
      <c r="AU98" s="159">
        <v>999.8</v>
      </c>
      <c r="AV98" s="160">
        <v>0</v>
      </c>
      <c r="AW98" s="159">
        <v>13.61</v>
      </c>
      <c r="AX98" s="160">
        <v>0.01</v>
      </c>
      <c r="AY98" s="74"/>
      <c r="BB98" s="90"/>
      <c r="BC98" s="97"/>
      <c r="BD98" s="87"/>
    </row>
    <row r="99" spans="1:56" ht="15">
      <c r="A99" s="25"/>
      <c r="B99" s="212" t="s">
        <v>202</v>
      </c>
      <c r="C99" s="215">
        <f>$E$4</f>
        <v>0</v>
      </c>
      <c r="D99" s="215">
        <f ca="1">IF(D97="Pump",OFFSET(D99,0,-1)+$U$4/IF($J$4="Clean Water / Sewage",1,$AK$90*9.81/100000),OFFSET(D99,0,-1)-HLOOKUP(D97,$D$103:$N$183,IF($J$4="Clean Water / Sewage",80,81))/IF($J$4="Clean Water / Sewage",1,$AK$90*9.81/100000))</f>
        <v>0</v>
      </c>
      <c r="E99" s="215">
        <f t="shared" ref="E99:N99" ca="1" si="51">IF(E97="Pump",OFFSET(E99,0,-1)+$U$4/IF($J$4="Clean Water / Sewage",1,$AK$90*9.81/100000),OFFSET(E99,0,-1)-HLOOKUP(E97,$D$103:$N$183,IF($J$4="Clean Water / Sewage",80,81))/IF($J$4="Clean Water / Sewage",1,$AK$90*9.81/100000))</f>
        <v>0</v>
      </c>
      <c r="F99" s="215">
        <f t="shared" ca="1" si="51"/>
        <v>0</v>
      </c>
      <c r="G99" s="215">
        <f t="shared" ca="1" si="51"/>
        <v>0</v>
      </c>
      <c r="H99" s="215">
        <f t="shared" ca="1" si="51"/>
        <v>0</v>
      </c>
      <c r="I99" s="215">
        <f t="shared" ca="1" si="51"/>
        <v>0</v>
      </c>
      <c r="J99" s="215">
        <f t="shared" ca="1" si="51"/>
        <v>0</v>
      </c>
      <c r="K99" s="215">
        <f t="shared" ca="1" si="51"/>
        <v>0</v>
      </c>
      <c r="L99" s="215">
        <f t="shared" ca="1" si="51"/>
        <v>0</v>
      </c>
      <c r="M99" s="215">
        <f t="shared" ca="1" si="51"/>
        <v>0</v>
      </c>
      <c r="N99" s="215">
        <f t="shared" ca="1" si="51"/>
        <v>0</v>
      </c>
      <c r="P99" s="74"/>
      <c r="S99" s="147"/>
      <c r="Z99" s="25"/>
      <c r="AA99" s="130" t="s">
        <v>203</v>
      </c>
      <c r="AB99" s="131"/>
      <c r="AC99" s="131"/>
      <c r="AD99" s="132"/>
      <c r="AE99" s="133">
        <v>1.2</v>
      </c>
      <c r="AF99" s="74"/>
      <c r="AH99" s="152"/>
      <c r="AI99" s="153" t="s">
        <v>204</v>
      </c>
      <c r="AJ99" s="154">
        <v>0.78</v>
      </c>
      <c r="AK99" s="154">
        <v>0.81</v>
      </c>
      <c r="AL99" s="154">
        <v>0.84</v>
      </c>
      <c r="AM99" s="155">
        <v>-0.184</v>
      </c>
      <c r="AN99" s="156"/>
      <c r="AP99" s="119"/>
      <c r="AQ99" s="161">
        <v>1</v>
      </c>
      <c r="AR99" s="159">
        <v>0.66</v>
      </c>
      <c r="AS99" s="159">
        <v>4.2096</v>
      </c>
      <c r="AT99" s="159">
        <v>1724</v>
      </c>
      <c r="AU99" s="160">
        <v>999.8</v>
      </c>
      <c r="AV99" s="159">
        <v>4.17</v>
      </c>
      <c r="AW99" s="159">
        <v>13.11</v>
      </c>
      <c r="AX99" s="159">
        <v>1</v>
      </c>
      <c r="AY99" s="74"/>
      <c r="BB99" s="90"/>
      <c r="BC99" s="97"/>
      <c r="BD99" s="87"/>
    </row>
    <row r="100" spans="1:56" ht="12.75" thickBot="1">
      <c r="A100" s="84"/>
      <c r="B100" s="216"/>
      <c r="C100" s="217"/>
      <c r="D100" s="218"/>
      <c r="E100" s="218"/>
      <c r="F100" s="218"/>
      <c r="G100" s="218"/>
      <c r="H100" s="218"/>
      <c r="I100" s="218"/>
      <c r="J100" s="218"/>
      <c r="K100" s="218"/>
      <c r="L100" s="218"/>
      <c r="M100" s="218"/>
      <c r="N100" s="111"/>
      <c r="O100" s="85"/>
      <c r="P100" s="86"/>
      <c r="Z100" s="25"/>
      <c r="AA100" s="130" t="s">
        <v>205</v>
      </c>
      <c r="AB100" s="131"/>
      <c r="AC100" s="131"/>
      <c r="AD100" s="132"/>
      <c r="AE100" s="133">
        <v>0.3</v>
      </c>
      <c r="AF100" s="74"/>
      <c r="AH100" s="152"/>
      <c r="AI100" s="153" t="s">
        <v>206</v>
      </c>
      <c r="AJ100" s="154">
        <v>1.65</v>
      </c>
      <c r="AK100" s="154">
        <v>1.7</v>
      </c>
      <c r="AL100" s="154">
        <v>1.75</v>
      </c>
      <c r="AM100" s="155">
        <v>-0.45</v>
      </c>
      <c r="AN100" s="162"/>
      <c r="AP100" s="119"/>
      <c r="AQ100" s="161">
        <v>2</v>
      </c>
      <c r="AR100" s="159">
        <v>0.71</v>
      </c>
      <c r="AS100" s="159">
        <v>4.2088000000000001</v>
      </c>
      <c r="AT100" s="159">
        <v>1669</v>
      </c>
      <c r="AU100" s="160">
        <v>999.9</v>
      </c>
      <c r="AV100" s="159">
        <v>8.39</v>
      </c>
      <c r="AW100" s="159">
        <v>12.64</v>
      </c>
      <c r="AX100" s="159">
        <v>2</v>
      </c>
      <c r="AY100" s="74"/>
      <c r="BB100" s="90"/>
      <c r="BC100" s="97"/>
      <c r="BD100" s="87"/>
    </row>
    <row r="101" spans="1:56" ht="15">
      <c r="A101" s="68"/>
      <c r="B101" s="69"/>
      <c r="C101" s="106"/>
      <c r="D101" s="106"/>
      <c r="E101" s="106"/>
      <c r="F101" s="106"/>
      <c r="G101" s="106"/>
      <c r="H101" s="106"/>
      <c r="I101" s="106"/>
      <c r="J101" s="106"/>
      <c r="K101" s="106"/>
      <c r="L101" s="106"/>
      <c r="M101" s="106"/>
      <c r="N101" s="106"/>
      <c r="O101" s="69"/>
      <c r="P101" s="72"/>
      <c r="S101" s="147"/>
      <c r="Z101" s="25"/>
      <c r="AA101" s="130" t="s">
        <v>207</v>
      </c>
      <c r="AB101" s="131"/>
      <c r="AC101" s="131"/>
      <c r="AD101" s="132"/>
      <c r="AE101" s="133">
        <v>0.15</v>
      </c>
      <c r="AF101" s="74"/>
      <c r="AH101" s="152"/>
      <c r="AI101" s="153" t="s">
        <v>208</v>
      </c>
      <c r="AJ101" s="154">
        <v>0</v>
      </c>
      <c r="AK101" s="154">
        <v>1.9</v>
      </c>
      <c r="AL101" s="154">
        <v>0</v>
      </c>
      <c r="AM101" s="155">
        <v>-0.45</v>
      </c>
      <c r="AN101" s="162"/>
      <c r="AP101" s="119"/>
      <c r="AQ101" s="161">
        <v>3</v>
      </c>
      <c r="AR101" s="159">
        <v>0.76</v>
      </c>
      <c r="AS101" s="159">
        <v>4.2074999999999996</v>
      </c>
      <c r="AT101" s="159">
        <v>1616</v>
      </c>
      <c r="AU101" s="159">
        <v>999.9</v>
      </c>
      <c r="AV101" s="159">
        <v>12.6</v>
      </c>
      <c r="AW101" s="159">
        <v>12.18</v>
      </c>
      <c r="AX101" s="159">
        <v>3</v>
      </c>
      <c r="AY101" s="74"/>
      <c r="BB101" s="90"/>
      <c r="BC101" s="97"/>
      <c r="BD101" s="87"/>
    </row>
    <row r="102" spans="1:56">
      <c r="A102" s="25"/>
      <c r="B102" s="17" t="s">
        <v>209</v>
      </c>
      <c r="P102" s="74"/>
      <c r="Z102" s="25"/>
      <c r="AA102" s="130" t="s">
        <v>210</v>
      </c>
      <c r="AB102" s="131"/>
      <c r="AC102" s="131"/>
      <c r="AD102" s="132"/>
      <c r="AE102" s="133">
        <v>0.5</v>
      </c>
      <c r="AF102" s="74"/>
      <c r="AH102" s="25"/>
      <c r="AI102" s="153" t="s">
        <v>211</v>
      </c>
      <c r="AJ102" s="154">
        <v>0.9</v>
      </c>
      <c r="AK102" s="154">
        <v>0.93</v>
      </c>
      <c r="AL102" s="154">
        <v>0.97</v>
      </c>
      <c r="AM102" s="155">
        <v>-0.214</v>
      </c>
      <c r="AN102" s="162"/>
      <c r="AP102" s="119"/>
      <c r="AQ102" s="161">
        <v>4</v>
      </c>
      <c r="AR102" s="159">
        <v>0.81</v>
      </c>
      <c r="AS102" s="159">
        <v>4.2058999999999997</v>
      </c>
      <c r="AT102" s="159">
        <v>1565</v>
      </c>
      <c r="AU102" s="159">
        <v>999.9</v>
      </c>
      <c r="AV102" s="159">
        <v>16.8</v>
      </c>
      <c r="AW102" s="159">
        <v>11.75</v>
      </c>
      <c r="AX102" s="159">
        <v>4</v>
      </c>
      <c r="AY102" s="74"/>
      <c r="BB102" s="90"/>
      <c r="BC102" s="97"/>
      <c r="BD102" s="87"/>
    </row>
    <row r="103" spans="1:56" ht="15">
      <c r="A103" s="25"/>
      <c r="D103" s="221">
        <f>D$12</f>
        <v>1</v>
      </c>
      <c r="E103" s="221">
        <f t="shared" ref="E103:M103" ca="1" si="52">E$12</f>
        <v>2</v>
      </c>
      <c r="F103" s="221">
        <f t="shared" ca="1" si="52"/>
        <v>3</v>
      </c>
      <c r="G103" s="221">
        <f t="shared" ca="1" si="52"/>
        <v>4</v>
      </c>
      <c r="H103" s="221">
        <f t="shared" ca="1" si="52"/>
        <v>5</v>
      </c>
      <c r="I103" s="221">
        <f t="shared" ca="1" si="52"/>
        <v>6</v>
      </c>
      <c r="J103" s="221">
        <f t="shared" ca="1" si="52"/>
        <v>7</v>
      </c>
      <c r="K103" s="221">
        <f t="shared" ca="1" si="52"/>
        <v>8</v>
      </c>
      <c r="L103" s="221">
        <f t="shared" ca="1" si="52"/>
        <v>9</v>
      </c>
      <c r="M103" s="221">
        <f t="shared" ca="1" si="52"/>
        <v>10</v>
      </c>
      <c r="N103" s="13">
        <f ca="1">MAX(D12:N12)+1</f>
        <v>11</v>
      </c>
      <c r="P103" s="74"/>
      <c r="S103" s="147"/>
      <c r="Z103" s="25"/>
      <c r="AA103" s="130" t="s">
        <v>212</v>
      </c>
      <c r="AB103" s="131"/>
      <c r="AC103" s="131"/>
      <c r="AD103" s="132"/>
      <c r="AE103" s="133">
        <v>0.3</v>
      </c>
      <c r="AF103" s="74"/>
      <c r="AH103" s="25"/>
      <c r="AI103" s="32"/>
      <c r="AJ103" s="236" t="s">
        <v>213</v>
      </c>
      <c r="AK103" s="237"/>
      <c r="AL103" s="237"/>
      <c r="AM103" s="238"/>
      <c r="AN103" s="162"/>
      <c r="AP103" s="119"/>
      <c r="AQ103" s="161">
        <v>5</v>
      </c>
      <c r="AR103" s="159">
        <v>0.87</v>
      </c>
      <c r="AS103" s="159">
        <v>4.2039999999999997</v>
      </c>
      <c r="AT103" s="159">
        <v>1517</v>
      </c>
      <c r="AU103" s="159">
        <v>999.9</v>
      </c>
      <c r="AV103" s="159">
        <v>21.01</v>
      </c>
      <c r="AW103" s="159">
        <v>11.33</v>
      </c>
      <c r="AX103" s="159">
        <v>5</v>
      </c>
      <c r="AY103" s="74"/>
      <c r="BB103" s="90"/>
      <c r="BC103" s="97"/>
      <c r="BD103" s="87"/>
    </row>
    <row r="104" spans="1:56">
      <c r="A104" s="25"/>
      <c r="P104" s="74"/>
      <c r="Z104" s="25"/>
      <c r="AA104" s="130" t="s">
        <v>214</v>
      </c>
      <c r="AB104" s="131"/>
      <c r="AC104" s="131"/>
      <c r="AD104" s="132"/>
      <c r="AE104" s="133">
        <v>0.3</v>
      </c>
      <c r="AF104" s="74"/>
      <c r="AH104" s="25"/>
      <c r="AI104" s="153" t="s">
        <v>191</v>
      </c>
      <c r="AJ104" s="163">
        <v>5.8999999999999998E-5</v>
      </c>
      <c r="AK104" s="163">
        <v>1.7E-5</v>
      </c>
      <c r="AL104" s="163">
        <v>4.7999999999999998E-6</v>
      </c>
      <c r="AM104" s="155">
        <v>2.82</v>
      </c>
      <c r="AN104" s="164"/>
      <c r="AP104" s="119"/>
      <c r="AQ104" s="161">
        <v>6</v>
      </c>
      <c r="AR104" s="159">
        <v>0.93</v>
      </c>
      <c r="AS104" s="159">
        <v>4.2019000000000002</v>
      </c>
      <c r="AT104" s="159">
        <v>1471</v>
      </c>
      <c r="AU104" s="159">
        <v>999.9</v>
      </c>
      <c r="AV104" s="159">
        <v>25.21</v>
      </c>
      <c r="AW104" s="159">
        <v>10.93</v>
      </c>
      <c r="AX104" s="159">
        <v>6</v>
      </c>
      <c r="AY104" s="74"/>
      <c r="BB104" s="90"/>
      <c r="BC104" s="97"/>
      <c r="BD104" s="87"/>
    </row>
    <row r="105" spans="1:56" ht="15">
      <c r="A105" s="25"/>
      <c r="B105" s="16" t="s">
        <v>215</v>
      </c>
      <c r="C105" s="221" t="s">
        <v>53</v>
      </c>
      <c r="D105" s="165">
        <f>C52</f>
        <v>0</v>
      </c>
      <c r="P105" s="74"/>
      <c r="S105" s="147"/>
      <c r="Z105" s="25"/>
      <c r="AA105" s="130" t="s">
        <v>216</v>
      </c>
      <c r="AB105" s="131"/>
      <c r="AC105" s="131"/>
      <c r="AD105" s="132"/>
      <c r="AE105" s="133">
        <v>0.6</v>
      </c>
      <c r="AF105" s="74"/>
      <c r="AH105" s="25"/>
      <c r="AI105" s="153" t="s">
        <v>201</v>
      </c>
      <c r="AJ105" s="163">
        <v>5.8999999999999998E-5</v>
      </c>
      <c r="AK105" s="163">
        <v>1.7E-5</v>
      </c>
      <c r="AL105" s="163">
        <v>4.7999999999999998E-6</v>
      </c>
      <c r="AM105" s="155">
        <v>2.82</v>
      </c>
      <c r="AN105" s="164"/>
      <c r="AP105" s="119"/>
      <c r="AQ105" s="161">
        <v>7</v>
      </c>
      <c r="AR105" s="159">
        <v>1</v>
      </c>
      <c r="AS105" s="159">
        <v>4.1997</v>
      </c>
      <c r="AT105" s="159">
        <v>1427</v>
      </c>
      <c r="AU105" s="159">
        <v>999.9</v>
      </c>
      <c r="AV105" s="159">
        <v>29.41</v>
      </c>
      <c r="AW105" s="159">
        <v>10.55</v>
      </c>
      <c r="AX105" s="159">
        <v>7</v>
      </c>
      <c r="AY105" s="74"/>
      <c r="BB105" s="90"/>
      <c r="BC105" s="97"/>
      <c r="BD105" s="87"/>
    </row>
    <row r="106" spans="1:56">
      <c r="A106" s="25"/>
      <c r="B106" s="16" t="s">
        <v>217</v>
      </c>
      <c r="C106" s="221" t="s">
        <v>87</v>
      </c>
      <c r="D106" s="165">
        <f t="shared" ref="D106:M106" si="53">D$18</f>
        <v>0</v>
      </c>
      <c r="E106" s="165">
        <f t="shared" si="53"/>
        <v>0</v>
      </c>
      <c r="F106" s="166">
        <f t="shared" si="53"/>
        <v>0</v>
      </c>
      <c r="G106" s="166">
        <f t="shared" si="53"/>
        <v>0</v>
      </c>
      <c r="H106" s="166">
        <f t="shared" si="53"/>
        <v>0</v>
      </c>
      <c r="I106" s="166">
        <f t="shared" si="53"/>
        <v>0</v>
      </c>
      <c r="J106" s="166">
        <f t="shared" si="53"/>
        <v>0</v>
      </c>
      <c r="K106" s="166">
        <f t="shared" si="53"/>
        <v>0</v>
      </c>
      <c r="L106" s="166">
        <f t="shared" si="53"/>
        <v>0</v>
      </c>
      <c r="M106" s="166">
        <f t="shared" si="53"/>
        <v>0</v>
      </c>
      <c r="P106" s="74"/>
      <c r="Z106" s="25"/>
      <c r="AA106" s="130" t="s">
        <v>110</v>
      </c>
      <c r="AB106" s="131"/>
      <c r="AC106" s="131"/>
      <c r="AD106" s="132"/>
      <c r="AE106" s="133">
        <v>0.35</v>
      </c>
      <c r="AF106" s="74"/>
      <c r="AH106" s="25"/>
      <c r="AI106" s="153" t="s">
        <v>204</v>
      </c>
      <c r="AJ106" s="163">
        <v>6.3999999999999997E-5</v>
      </c>
      <c r="AK106" s="163">
        <v>1.9000000000000001E-5</v>
      </c>
      <c r="AL106" s="163">
        <v>5.5999999999999997E-6</v>
      </c>
      <c r="AM106" s="155">
        <v>3</v>
      </c>
      <c r="AN106" s="149"/>
      <c r="AP106" s="119"/>
      <c r="AQ106" s="161">
        <v>8</v>
      </c>
      <c r="AR106" s="159">
        <v>1.07</v>
      </c>
      <c r="AS106" s="159">
        <v>4.1974</v>
      </c>
      <c r="AT106" s="159">
        <v>1385</v>
      </c>
      <c r="AU106" s="159">
        <v>999.8</v>
      </c>
      <c r="AV106" s="159">
        <v>33.61</v>
      </c>
      <c r="AW106" s="159">
        <v>10.19</v>
      </c>
      <c r="AX106" s="159">
        <v>8</v>
      </c>
      <c r="AY106" s="74"/>
      <c r="BB106" s="90"/>
      <c r="BC106" s="97"/>
      <c r="BD106" s="87"/>
    </row>
    <row r="107" spans="1:56" ht="15">
      <c r="A107" s="25"/>
      <c r="B107" s="16" t="s">
        <v>218</v>
      </c>
      <c r="C107" s="221" t="s">
        <v>87</v>
      </c>
      <c r="D107" s="165">
        <f t="shared" ref="D107:M107" si="54">D$20</f>
        <v>0</v>
      </c>
      <c r="E107" s="165">
        <f t="shared" si="54"/>
        <v>0</v>
      </c>
      <c r="F107" s="166">
        <f t="shared" si="54"/>
        <v>0</v>
      </c>
      <c r="G107" s="166">
        <f t="shared" si="54"/>
        <v>0</v>
      </c>
      <c r="H107" s="166">
        <f t="shared" si="54"/>
        <v>0</v>
      </c>
      <c r="I107" s="166">
        <f t="shared" si="54"/>
        <v>0</v>
      </c>
      <c r="J107" s="166">
        <f t="shared" si="54"/>
        <v>0</v>
      </c>
      <c r="K107" s="166">
        <f t="shared" si="54"/>
        <v>0</v>
      </c>
      <c r="L107" s="166">
        <f t="shared" si="54"/>
        <v>0</v>
      </c>
      <c r="M107" s="166">
        <f t="shared" si="54"/>
        <v>0</v>
      </c>
      <c r="P107" s="74"/>
      <c r="S107" s="147"/>
      <c r="Z107" s="25"/>
      <c r="AA107" s="130" t="s">
        <v>219</v>
      </c>
      <c r="AB107" s="131"/>
      <c r="AC107" s="131"/>
      <c r="AD107" s="132"/>
      <c r="AE107" s="133">
        <v>1.8</v>
      </c>
      <c r="AF107" s="74"/>
      <c r="AH107" s="25"/>
      <c r="AI107" s="153" t="s">
        <v>206</v>
      </c>
      <c r="AJ107" s="163">
        <f>3/25^3</f>
        <v>1.92E-4</v>
      </c>
      <c r="AK107" s="163">
        <v>1.1E-4</v>
      </c>
      <c r="AL107" s="163">
        <f>0.6/25^3</f>
        <v>3.8399999999999998E-5</v>
      </c>
      <c r="AM107" s="155">
        <v>3</v>
      </c>
      <c r="AN107" s="156"/>
      <c r="AP107" s="119"/>
      <c r="AQ107" s="161">
        <v>9</v>
      </c>
      <c r="AR107" s="159">
        <v>1.1499999999999999</v>
      </c>
      <c r="AS107" s="159">
        <v>4.1951999999999998</v>
      </c>
      <c r="AT107" s="159">
        <v>1344</v>
      </c>
      <c r="AU107" s="159">
        <v>999.7</v>
      </c>
      <c r="AV107" s="159">
        <v>37.81</v>
      </c>
      <c r="AW107" s="159">
        <v>9.85</v>
      </c>
      <c r="AX107" s="159">
        <v>9</v>
      </c>
      <c r="AY107" s="74"/>
      <c r="BB107" s="90"/>
      <c r="BC107" s="97"/>
      <c r="BD107" s="87"/>
    </row>
    <row r="108" spans="1:56">
      <c r="A108" s="25"/>
      <c r="B108" s="16" t="s">
        <v>220</v>
      </c>
      <c r="C108" s="221" t="s">
        <v>87</v>
      </c>
      <c r="D108" s="165">
        <f t="shared" ref="D108:M108" si="55">D$19</f>
        <v>0</v>
      </c>
      <c r="E108" s="165">
        <f t="shared" si="55"/>
        <v>0</v>
      </c>
      <c r="F108" s="166">
        <f t="shared" si="55"/>
        <v>0</v>
      </c>
      <c r="G108" s="166">
        <f t="shared" si="55"/>
        <v>0</v>
      </c>
      <c r="H108" s="166">
        <f t="shared" si="55"/>
        <v>0</v>
      </c>
      <c r="I108" s="166">
        <f t="shared" si="55"/>
        <v>0</v>
      </c>
      <c r="J108" s="166">
        <f t="shared" si="55"/>
        <v>0</v>
      </c>
      <c r="K108" s="166">
        <f t="shared" si="55"/>
        <v>0</v>
      </c>
      <c r="L108" s="166">
        <f t="shared" si="55"/>
        <v>0</v>
      </c>
      <c r="M108" s="166">
        <f t="shared" si="55"/>
        <v>0</v>
      </c>
      <c r="P108" s="74"/>
      <c r="V108" s="19"/>
      <c r="Z108" s="25"/>
      <c r="AA108" s="130" t="s">
        <v>115</v>
      </c>
      <c r="AB108" s="131"/>
      <c r="AC108" s="131"/>
      <c r="AD108" s="132"/>
      <c r="AE108" s="133">
        <v>0.8</v>
      </c>
      <c r="AF108" s="74"/>
      <c r="AH108" s="25"/>
      <c r="AI108" s="153" t="s">
        <v>208</v>
      </c>
      <c r="AJ108" s="163">
        <v>0</v>
      </c>
      <c r="AK108" s="163">
        <v>1.9000000000000001E-5</v>
      </c>
      <c r="AL108" s="163">
        <v>0</v>
      </c>
      <c r="AM108" s="155">
        <v>3</v>
      </c>
      <c r="AN108" s="156"/>
      <c r="AP108" s="119"/>
      <c r="AQ108" s="161">
        <v>10</v>
      </c>
      <c r="AR108" s="159">
        <v>1.23</v>
      </c>
      <c r="AS108" s="159">
        <v>4.1929999999999996</v>
      </c>
      <c r="AT108" s="159">
        <v>1306</v>
      </c>
      <c r="AU108" s="159">
        <v>999.7</v>
      </c>
      <c r="AV108" s="159">
        <v>42</v>
      </c>
      <c r="AW108" s="159">
        <v>9.52</v>
      </c>
      <c r="AX108" s="159">
        <v>10</v>
      </c>
      <c r="AY108" s="74"/>
      <c r="BB108" s="90"/>
      <c r="BC108" s="97"/>
      <c r="BD108" s="87"/>
    </row>
    <row r="109" spans="1:56" ht="15">
      <c r="A109" s="25"/>
      <c r="B109" s="16" t="s">
        <v>221</v>
      </c>
      <c r="C109" s="221"/>
      <c r="D109" s="165">
        <f t="shared" ref="D109:M109" si="56">D$44</f>
        <v>0</v>
      </c>
      <c r="E109" s="165">
        <f t="shared" si="56"/>
        <v>0</v>
      </c>
      <c r="F109" s="166">
        <f t="shared" si="56"/>
        <v>0</v>
      </c>
      <c r="G109" s="166">
        <f t="shared" si="56"/>
        <v>0</v>
      </c>
      <c r="H109" s="166">
        <f t="shared" si="56"/>
        <v>0</v>
      </c>
      <c r="I109" s="166">
        <f t="shared" si="56"/>
        <v>0</v>
      </c>
      <c r="J109" s="166">
        <f t="shared" si="56"/>
        <v>0</v>
      </c>
      <c r="K109" s="166">
        <f t="shared" si="56"/>
        <v>0</v>
      </c>
      <c r="L109" s="166">
        <f t="shared" si="56"/>
        <v>0</v>
      </c>
      <c r="M109" s="166">
        <f t="shared" si="56"/>
        <v>0</v>
      </c>
      <c r="P109" s="74"/>
      <c r="S109" s="147"/>
      <c r="Z109" s="25"/>
      <c r="AA109" s="130" t="s">
        <v>222</v>
      </c>
      <c r="AB109" s="131"/>
      <c r="AC109" s="131"/>
      <c r="AD109" s="132"/>
      <c r="AE109" s="133">
        <v>1.2</v>
      </c>
      <c r="AF109" s="74"/>
      <c r="AH109" s="25"/>
      <c r="AI109" s="153" t="s">
        <v>211</v>
      </c>
      <c r="AJ109" s="163">
        <v>6.0000000000000002E-6</v>
      </c>
      <c r="AK109" s="163">
        <v>1.7E-6</v>
      </c>
      <c r="AL109" s="163">
        <v>5.4000000000000002E-7</v>
      </c>
      <c r="AM109" s="155">
        <v>3.5</v>
      </c>
      <c r="AN109" s="162"/>
      <c r="AP109" s="119"/>
      <c r="AQ109" s="161">
        <v>11</v>
      </c>
      <c r="AR109" s="159">
        <v>1.31</v>
      </c>
      <c r="AS109" s="159">
        <v>4.1913</v>
      </c>
      <c r="AT109" s="159">
        <v>1269</v>
      </c>
      <c r="AU109" s="159">
        <v>999.6</v>
      </c>
      <c r="AV109" s="159">
        <v>46.19</v>
      </c>
      <c r="AW109" s="159">
        <v>9.2100000000000009</v>
      </c>
      <c r="AX109" s="159">
        <v>11</v>
      </c>
      <c r="AY109" s="74"/>
      <c r="BB109" s="90"/>
      <c r="BC109" s="97"/>
      <c r="BD109" s="87"/>
    </row>
    <row r="110" spans="1:56">
      <c r="A110" s="25"/>
      <c r="B110" s="16" t="s">
        <v>91</v>
      </c>
      <c r="C110" s="221" t="s">
        <v>223</v>
      </c>
      <c r="D110" s="165">
        <f t="shared" ref="D110:M110" si="57">D$21</f>
        <v>0</v>
      </c>
      <c r="E110" s="165">
        <f t="shared" si="57"/>
        <v>0</v>
      </c>
      <c r="F110" s="166">
        <f t="shared" si="57"/>
        <v>0</v>
      </c>
      <c r="G110" s="166">
        <f t="shared" si="57"/>
        <v>0</v>
      </c>
      <c r="H110" s="166">
        <f t="shared" si="57"/>
        <v>0</v>
      </c>
      <c r="I110" s="166">
        <f t="shared" si="57"/>
        <v>0</v>
      </c>
      <c r="J110" s="166">
        <f t="shared" si="57"/>
        <v>0</v>
      </c>
      <c r="K110" s="166">
        <f t="shared" si="57"/>
        <v>0</v>
      </c>
      <c r="L110" s="166">
        <f t="shared" si="57"/>
        <v>0</v>
      </c>
      <c r="M110" s="166">
        <f t="shared" si="57"/>
        <v>0</v>
      </c>
      <c r="P110" s="74"/>
      <c r="Z110" s="25"/>
      <c r="AA110" s="130" t="s">
        <v>224</v>
      </c>
      <c r="AB110" s="131"/>
      <c r="AC110" s="131"/>
      <c r="AD110" s="132"/>
      <c r="AE110" s="133">
        <v>0.6</v>
      </c>
      <c r="AF110" s="74"/>
      <c r="AG110" s="14"/>
      <c r="AH110" s="25"/>
      <c r="AI110" s="32"/>
      <c r="AJ110" s="236" t="s">
        <v>225</v>
      </c>
      <c r="AK110" s="237"/>
      <c r="AL110" s="237"/>
      <c r="AM110" s="238"/>
      <c r="AN110" s="162"/>
      <c r="AP110" s="119"/>
      <c r="AQ110" s="161">
        <v>12</v>
      </c>
      <c r="AR110" s="159">
        <v>1.4</v>
      </c>
      <c r="AS110" s="159">
        <v>4.1897000000000002</v>
      </c>
      <c r="AT110" s="159">
        <v>1234</v>
      </c>
      <c r="AU110" s="159">
        <v>999.4</v>
      </c>
      <c r="AV110" s="159">
        <v>50.38</v>
      </c>
      <c r="AW110" s="159">
        <v>8.92</v>
      </c>
      <c r="AX110" s="159">
        <v>12</v>
      </c>
      <c r="AY110" s="74"/>
      <c r="BB110" s="90"/>
      <c r="BC110" s="97"/>
      <c r="BD110" s="87"/>
    </row>
    <row r="111" spans="1:56" ht="15">
      <c r="A111" s="25"/>
      <c r="B111" s="16" t="s">
        <v>226</v>
      </c>
      <c r="C111" s="221" t="s">
        <v>94</v>
      </c>
      <c r="D111" s="165" t="e">
        <f t="shared" ref="D111:M111" si="58">D$171*$D105/$D$165</f>
        <v>#VALUE!</v>
      </c>
      <c r="E111" s="165" t="e">
        <f t="shared" si="58"/>
        <v>#VALUE!</v>
      </c>
      <c r="F111" s="166" t="e">
        <f t="shared" si="58"/>
        <v>#VALUE!</v>
      </c>
      <c r="G111" s="166" t="e">
        <f t="shared" si="58"/>
        <v>#VALUE!</v>
      </c>
      <c r="H111" s="166" t="e">
        <f t="shared" si="58"/>
        <v>#VALUE!</v>
      </c>
      <c r="I111" s="166" t="e">
        <f t="shared" si="58"/>
        <v>#VALUE!</v>
      </c>
      <c r="J111" s="166" t="e">
        <f t="shared" si="58"/>
        <v>#VALUE!</v>
      </c>
      <c r="K111" s="166" t="e">
        <f t="shared" si="58"/>
        <v>#VALUE!</v>
      </c>
      <c r="L111" s="166" t="e">
        <f t="shared" si="58"/>
        <v>#VALUE!</v>
      </c>
      <c r="M111" s="166" t="e">
        <f t="shared" si="58"/>
        <v>#VALUE!</v>
      </c>
      <c r="P111" s="74"/>
      <c r="S111" s="147"/>
      <c r="Z111" s="25"/>
      <c r="AA111" s="130" t="s">
        <v>227</v>
      </c>
      <c r="AB111" s="131"/>
      <c r="AC111" s="131"/>
      <c r="AD111" s="132"/>
      <c r="AE111" s="133">
        <v>0.15</v>
      </c>
      <c r="AF111" s="74"/>
      <c r="AG111" s="14"/>
      <c r="AH111" s="25"/>
      <c r="AI111" s="153" t="s">
        <v>191</v>
      </c>
      <c r="AJ111" s="163">
        <v>2.0000000000000002E-5</v>
      </c>
      <c r="AK111" s="163">
        <v>1.5E-5</v>
      </c>
      <c r="AL111" s="163">
        <v>1.1E-5</v>
      </c>
      <c r="AM111" s="155">
        <v>1.58</v>
      </c>
      <c r="AN111" s="162"/>
      <c r="AP111" s="119"/>
      <c r="AQ111" s="161">
        <v>13</v>
      </c>
      <c r="AR111" s="159">
        <v>1.5</v>
      </c>
      <c r="AS111" s="159">
        <v>4.1882999999999999</v>
      </c>
      <c r="AT111" s="159">
        <v>1201</v>
      </c>
      <c r="AU111" s="159">
        <v>999.3</v>
      </c>
      <c r="AV111" s="159">
        <v>54.57</v>
      </c>
      <c r="AW111" s="159">
        <v>8.64</v>
      </c>
      <c r="AX111" s="159">
        <v>13</v>
      </c>
      <c r="AY111" s="74"/>
      <c r="BB111" s="90"/>
      <c r="BC111" s="97"/>
      <c r="BD111" s="87"/>
    </row>
    <row r="112" spans="1:56" ht="14.25">
      <c r="A112" s="25"/>
      <c r="B112" s="16" t="s">
        <v>228</v>
      </c>
      <c r="C112" s="221" t="s">
        <v>229</v>
      </c>
      <c r="D112" s="165">
        <f t="shared" ref="D112:M112" si="59">IF(D$21="",0.000001,VLOOKUP(D110,$AQ$98:$AX$198,4,FALSE)/VLOOKUP(D110,$AQ$98:$AX$198,5,FALSE)/1000000)</f>
        <v>9.9999999999999995E-7</v>
      </c>
      <c r="E112" s="165">
        <f t="shared" si="59"/>
        <v>9.9999999999999995E-7</v>
      </c>
      <c r="F112" s="165">
        <f t="shared" si="59"/>
        <v>9.9999999999999995E-7</v>
      </c>
      <c r="G112" s="165">
        <f t="shared" si="59"/>
        <v>9.9999999999999995E-7</v>
      </c>
      <c r="H112" s="165">
        <f t="shared" si="59"/>
        <v>9.9999999999999995E-7</v>
      </c>
      <c r="I112" s="165">
        <f t="shared" si="59"/>
        <v>9.9999999999999995E-7</v>
      </c>
      <c r="J112" s="165">
        <f t="shared" si="59"/>
        <v>9.9999999999999995E-7</v>
      </c>
      <c r="K112" s="165">
        <f t="shared" si="59"/>
        <v>9.9999999999999995E-7</v>
      </c>
      <c r="L112" s="165">
        <f t="shared" si="59"/>
        <v>9.9999999999999995E-7</v>
      </c>
      <c r="M112" s="165">
        <f t="shared" si="59"/>
        <v>9.9999999999999995E-7</v>
      </c>
      <c r="P112" s="74"/>
      <c r="Z112" s="25"/>
      <c r="AA112" s="130" t="s">
        <v>230</v>
      </c>
      <c r="AB112" s="131"/>
      <c r="AC112" s="131"/>
      <c r="AD112" s="132"/>
      <c r="AE112" s="133">
        <v>0.3</v>
      </c>
      <c r="AF112" s="74"/>
      <c r="AG112" s="14"/>
      <c r="AH112" s="25"/>
      <c r="AI112" s="153" t="s">
        <v>201</v>
      </c>
      <c r="AJ112" s="163">
        <v>2.0000000000000002E-5</v>
      </c>
      <c r="AK112" s="163">
        <v>1.5E-5</v>
      </c>
      <c r="AL112" s="163">
        <v>1.1E-5</v>
      </c>
      <c r="AM112" s="155">
        <v>1.58</v>
      </c>
      <c r="AN112" s="162"/>
      <c r="AP112" s="119"/>
      <c r="AQ112" s="161">
        <v>14</v>
      </c>
      <c r="AR112" s="159">
        <v>1.6</v>
      </c>
      <c r="AS112" s="159">
        <v>4.1871</v>
      </c>
      <c r="AT112" s="159">
        <v>1169</v>
      </c>
      <c r="AU112" s="159">
        <v>999.2</v>
      </c>
      <c r="AV112" s="159">
        <v>58.75</v>
      </c>
      <c r="AW112" s="159">
        <v>8.3699999999999992</v>
      </c>
      <c r="AX112" s="159">
        <v>14</v>
      </c>
      <c r="AY112" s="74"/>
      <c r="BB112" s="90"/>
      <c r="BC112" s="97"/>
      <c r="BD112" s="87"/>
    </row>
    <row r="113" spans="1:56" ht="15">
      <c r="A113" s="25"/>
      <c r="B113" s="16" t="s">
        <v>231</v>
      </c>
      <c r="C113" s="221" t="s">
        <v>232</v>
      </c>
      <c r="D113" s="165" t="str">
        <f t="shared" ref="D113:M113" si="60">IF($AK$89="Clean Water / Sewage","n/a",VLOOKUP($AK$89,$AI$104:$AM$109,$AM$94,FALSE)*(D$91^VLOOKUP($AK$89,$AI$104:$AM$109,5,FALSE))*EXP(1848/(273+D110)-1848/283))</f>
        <v>n/a</v>
      </c>
      <c r="E113" s="165" t="str">
        <f t="shared" si="60"/>
        <v>n/a</v>
      </c>
      <c r="F113" s="165" t="str">
        <f t="shared" si="60"/>
        <v>n/a</v>
      </c>
      <c r="G113" s="165" t="str">
        <f t="shared" si="60"/>
        <v>n/a</v>
      </c>
      <c r="H113" s="165" t="str">
        <f t="shared" si="60"/>
        <v>n/a</v>
      </c>
      <c r="I113" s="165" t="str">
        <f t="shared" si="60"/>
        <v>n/a</v>
      </c>
      <c r="J113" s="165" t="str">
        <f t="shared" si="60"/>
        <v>n/a</v>
      </c>
      <c r="K113" s="165" t="str">
        <f t="shared" si="60"/>
        <v>n/a</v>
      </c>
      <c r="L113" s="165" t="str">
        <f t="shared" si="60"/>
        <v>n/a</v>
      </c>
      <c r="M113" s="165" t="str">
        <f t="shared" si="60"/>
        <v>n/a</v>
      </c>
      <c r="P113" s="74"/>
      <c r="S113" s="147"/>
      <c r="W113" s="12"/>
      <c r="Z113" s="25"/>
      <c r="AA113" s="130" t="s">
        <v>233</v>
      </c>
      <c r="AB113" s="131"/>
      <c r="AC113" s="131"/>
      <c r="AD113" s="132"/>
      <c r="AE113" s="133">
        <v>0.35</v>
      </c>
      <c r="AF113" s="74"/>
      <c r="AG113" s="14"/>
      <c r="AH113" s="25"/>
      <c r="AI113" s="153" t="s">
        <v>204</v>
      </c>
      <c r="AJ113" s="163">
        <v>2.0999999999999999E-5</v>
      </c>
      <c r="AK113" s="163">
        <v>1.5999999999999999E-5</v>
      </c>
      <c r="AL113" s="163">
        <v>1.2E-5</v>
      </c>
      <c r="AM113" s="155">
        <v>1.68</v>
      </c>
      <c r="AN113" s="162"/>
      <c r="AP113" s="119"/>
      <c r="AQ113" s="161">
        <v>15</v>
      </c>
      <c r="AR113" s="159">
        <v>1.7</v>
      </c>
      <c r="AS113" s="159">
        <v>4.1859999999999999</v>
      </c>
      <c r="AT113" s="159">
        <v>1138</v>
      </c>
      <c r="AU113" s="159">
        <v>999</v>
      </c>
      <c r="AV113" s="159">
        <v>62.94</v>
      </c>
      <c r="AW113" s="159">
        <v>8.1199999999999992</v>
      </c>
      <c r="AX113" s="159">
        <v>15</v>
      </c>
      <c r="AY113" s="74"/>
      <c r="BB113" s="90"/>
      <c r="BC113" s="97"/>
      <c r="BD113" s="87"/>
    </row>
    <row r="114" spans="1:56">
      <c r="A114" s="25"/>
      <c r="B114" s="16" t="s">
        <v>234</v>
      </c>
      <c r="C114" s="221"/>
      <c r="D114" s="165" t="str">
        <f t="shared" ref="D114:M114" si="61">IF($AK$89="Clean Water / Sewage","n/a",VLOOKUP($AK$89,$AI$97:$AM$102,$AM$94,FALSE)*(D$91^VLOOKUP($AK$89,$AI$97:$AM$102,5,FALSE)))</f>
        <v>n/a</v>
      </c>
      <c r="E114" s="165" t="str">
        <f t="shared" si="61"/>
        <v>n/a</v>
      </c>
      <c r="F114" s="165" t="str">
        <f t="shared" si="61"/>
        <v>n/a</v>
      </c>
      <c r="G114" s="165" t="str">
        <f t="shared" si="61"/>
        <v>n/a</v>
      </c>
      <c r="H114" s="165" t="str">
        <f t="shared" si="61"/>
        <v>n/a</v>
      </c>
      <c r="I114" s="165" t="str">
        <f t="shared" si="61"/>
        <v>n/a</v>
      </c>
      <c r="J114" s="165" t="str">
        <f t="shared" si="61"/>
        <v>n/a</v>
      </c>
      <c r="K114" s="165" t="str">
        <f t="shared" si="61"/>
        <v>n/a</v>
      </c>
      <c r="L114" s="165" t="str">
        <f t="shared" si="61"/>
        <v>n/a</v>
      </c>
      <c r="M114" s="165" t="str">
        <f t="shared" si="61"/>
        <v>n/a</v>
      </c>
      <c r="P114" s="74"/>
      <c r="Z114" s="25"/>
      <c r="AA114" s="130" t="s">
        <v>122</v>
      </c>
      <c r="AB114" s="131"/>
      <c r="AC114" s="131"/>
      <c r="AD114" s="132"/>
      <c r="AE114" s="133">
        <v>0</v>
      </c>
      <c r="AF114" s="74"/>
      <c r="AG114" s="14"/>
      <c r="AH114" s="25"/>
      <c r="AI114" s="153" t="s">
        <v>206</v>
      </c>
      <c r="AJ114" s="163">
        <f>0.019/25^1.9</f>
        <v>4.1943781708420936E-5</v>
      </c>
      <c r="AK114" s="163">
        <v>1.9000000000000001E-5</v>
      </c>
      <c r="AL114" s="163">
        <f>0.005/25^1.9</f>
        <v>1.1037837291689721E-5</v>
      </c>
      <c r="AM114" s="155">
        <v>1.9</v>
      </c>
      <c r="AN114" s="164"/>
      <c r="AP114" s="119"/>
      <c r="AQ114" s="161">
        <v>16</v>
      </c>
      <c r="AR114" s="159">
        <v>1.82</v>
      </c>
      <c r="AS114" s="159">
        <v>4.1852</v>
      </c>
      <c r="AT114" s="159">
        <v>1108</v>
      </c>
      <c r="AU114" s="159">
        <v>998.9</v>
      </c>
      <c r="AV114" s="159">
        <v>67.13</v>
      </c>
      <c r="AW114" s="159">
        <v>7.88</v>
      </c>
      <c r="AX114" s="159">
        <v>16</v>
      </c>
      <c r="AY114" s="74"/>
      <c r="BB114" s="90"/>
      <c r="BC114" s="97"/>
      <c r="BD114" s="87"/>
    </row>
    <row r="115" spans="1:56" ht="15">
      <c r="A115" s="25"/>
      <c r="B115" s="16" t="s">
        <v>225</v>
      </c>
      <c r="C115" s="221" t="s">
        <v>232</v>
      </c>
      <c r="D115" s="165" t="str">
        <f t="shared" ref="D115:M115" si="62">IF($AK$89="Clean Water / Sewage","n/a",VLOOKUP($AK$89,$AI$111:$AM$116,$AM$94,FALSE)*(D$91^VLOOKUP($AK$89,$AI$111:$AM$116,5,FALSE))*EXP(1848/(273+D110)-1848/283))</f>
        <v>n/a</v>
      </c>
      <c r="E115" s="165" t="str">
        <f t="shared" si="62"/>
        <v>n/a</v>
      </c>
      <c r="F115" s="165" t="str">
        <f t="shared" si="62"/>
        <v>n/a</v>
      </c>
      <c r="G115" s="165" t="str">
        <f t="shared" si="62"/>
        <v>n/a</v>
      </c>
      <c r="H115" s="165" t="str">
        <f t="shared" si="62"/>
        <v>n/a</v>
      </c>
      <c r="I115" s="165" t="str">
        <f t="shared" si="62"/>
        <v>n/a</v>
      </c>
      <c r="J115" s="165" t="str">
        <f t="shared" si="62"/>
        <v>n/a</v>
      </c>
      <c r="K115" s="165" t="str">
        <f t="shared" si="62"/>
        <v>n/a</v>
      </c>
      <c r="L115" s="165" t="str">
        <f t="shared" si="62"/>
        <v>n/a</v>
      </c>
      <c r="M115" s="165" t="str">
        <f t="shared" si="62"/>
        <v>n/a</v>
      </c>
      <c r="P115" s="74"/>
      <c r="S115" s="167"/>
      <c r="Z115" s="25"/>
      <c r="AA115" s="130" t="s">
        <v>235</v>
      </c>
      <c r="AB115" s="131"/>
      <c r="AC115" s="131"/>
      <c r="AD115" s="132"/>
      <c r="AE115" s="133">
        <v>0</v>
      </c>
      <c r="AF115" s="74"/>
      <c r="AG115" s="14"/>
      <c r="AH115" s="25"/>
      <c r="AI115" s="153" t="s">
        <v>208</v>
      </c>
      <c r="AJ115" s="163">
        <v>0</v>
      </c>
      <c r="AK115" s="163">
        <v>6.2999999999999998E-6</v>
      </c>
      <c r="AL115" s="163">
        <v>0</v>
      </c>
      <c r="AM115" s="155">
        <v>1.9</v>
      </c>
      <c r="AN115" s="149"/>
      <c r="AP115" s="119"/>
      <c r="AQ115" s="161">
        <v>17</v>
      </c>
      <c r="AR115" s="159">
        <v>1.94</v>
      </c>
      <c r="AS115" s="159">
        <v>4.1844999999999999</v>
      </c>
      <c r="AT115" s="159">
        <v>1080</v>
      </c>
      <c r="AU115" s="159">
        <v>998.7</v>
      </c>
      <c r="AV115" s="159">
        <v>71.31</v>
      </c>
      <c r="AW115" s="159">
        <v>7.64</v>
      </c>
      <c r="AX115" s="159">
        <v>17</v>
      </c>
      <c r="AY115" s="74"/>
      <c r="BB115" s="90"/>
      <c r="BC115" s="97"/>
      <c r="BD115" s="87"/>
    </row>
    <row r="116" spans="1:56">
      <c r="A116" s="25"/>
      <c r="B116" s="16" t="s">
        <v>236</v>
      </c>
      <c r="C116" s="221"/>
      <c r="D116" s="165" t="e">
        <f t="shared" ref="D116:M116" si="63">IF($AK89="Clean Water / Sewage",D111*D106/1000/D112,D$92*D111*D106/1000/D115)</f>
        <v>#VALUE!</v>
      </c>
      <c r="E116" s="165" t="e">
        <f t="shared" si="63"/>
        <v>#VALUE!</v>
      </c>
      <c r="F116" s="165" t="e">
        <f t="shared" si="63"/>
        <v>#VALUE!</v>
      </c>
      <c r="G116" s="165" t="e">
        <f t="shared" si="63"/>
        <v>#VALUE!</v>
      </c>
      <c r="H116" s="165" t="e">
        <f t="shared" si="63"/>
        <v>#VALUE!</v>
      </c>
      <c r="I116" s="165" t="e">
        <f t="shared" si="63"/>
        <v>#VALUE!</v>
      </c>
      <c r="J116" s="165" t="e">
        <f t="shared" si="63"/>
        <v>#VALUE!</v>
      </c>
      <c r="K116" s="165" t="e">
        <f t="shared" si="63"/>
        <v>#VALUE!</v>
      </c>
      <c r="L116" s="165" t="e">
        <f t="shared" si="63"/>
        <v>#VALUE!</v>
      </c>
      <c r="M116" s="165" t="e">
        <f t="shared" si="63"/>
        <v>#VALUE!</v>
      </c>
      <c r="P116" s="74"/>
      <c r="Z116" s="25"/>
      <c r="AA116" s="130" t="s">
        <v>237</v>
      </c>
      <c r="AB116" s="131"/>
      <c r="AC116" s="131"/>
      <c r="AD116" s="132"/>
      <c r="AE116" s="133">
        <v>0</v>
      </c>
      <c r="AF116" s="74"/>
      <c r="AG116" s="14"/>
      <c r="AH116" s="25"/>
      <c r="AI116" s="153" t="s">
        <v>211</v>
      </c>
      <c r="AJ116" s="163">
        <v>7.9000000000000006E-6</v>
      </c>
      <c r="AK116" s="163">
        <v>5.9000000000000003E-6</v>
      </c>
      <c r="AL116" s="163">
        <v>4.3000000000000003E-6</v>
      </c>
      <c r="AM116" s="155">
        <v>1.81</v>
      </c>
      <c r="AN116" s="156"/>
      <c r="AP116" s="119"/>
      <c r="AQ116" s="161">
        <v>18</v>
      </c>
      <c r="AR116" s="159">
        <v>2.06</v>
      </c>
      <c r="AS116" s="159">
        <v>4.1839000000000004</v>
      </c>
      <c r="AT116" s="159">
        <v>1053</v>
      </c>
      <c r="AU116" s="159">
        <v>998.6</v>
      </c>
      <c r="AV116" s="159">
        <v>75.489999999999995</v>
      </c>
      <c r="AW116" s="159">
        <v>7.42</v>
      </c>
      <c r="AX116" s="159">
        <v>18</v>
      </c>
      <c r="AY116" s="74"/>
      <c r="BB116" s="90"/>
      <c r="BC116" s="97"/>
      <c r="BD116" s="87"/>
    </row>
    <row r="117" spans="1:56" ht="14.25">
      <c r="A117" s="25"/>
      <c r="B117" s="16" t="s">
        <v>238</v>
      </c>
      <c r="C117" s="221"/>
      <c r="D117" s="165" t="str">
        <f>IF(D113="n/a",D113,D$92*D111*D106/1000/D113*(8*D111/(D106/1000))^(1-D114))</f>
        <v>n/a</v>
      </c>
      <c r="E117" s="165" t="str">
        <f t="shared" ref="E117:M117" si="64">IF(E113="n/a",E113,E$92*E111*E106/1000/E113*(8*E111/(E106/1000))^(1-E114))</f>
        <v>n/a</v>
      </c>
      <c r="F117" s="165" t="str">
        <f t="shared" si="64"/>
        <v>n/a</v>
      </c>
      <c r="G117" s="165" t="str">
        <f t="shared" si="64"/>
        <v>n/a</v>
      </c>
      <c r="H117" s="165" t="str">
        <f t="shared" si="64"/>
        <v>n/a</v>
      </c>
      <c r="I117" s="165" t="str">
        <f t="shared" si="64"/>
        <v>n/a</v>
      </c>
      <c r="J117" s="165" t="str">
        <f t="shared" si="64"/>
        <v>n/a</v>
      </c>
      <c r="K117" s="165" t="str">
        <f t="shared" si="64"/>
        <v>n/a</v>
      </c>
      <c r="L117" s="165" t="str">
        <f t="shared" si="64"/>
        <v>n/a</v>
      </c>
      <c r="M117" s="165" t="str">
        <f t="shared" si="64"/>
        <v>n/a</v>
      </c>
      <c r="P117" s="74"/>
      <c r="Z117" s="25"/>
      <c r="AA117" s="130" t="s">
        <v>239</v>
      </c>
      <c r="AB117" s="131"/>
      <c r="AC117" s="131"/>
      <c r="AD117" s="132"/>
      <c r="AE117" s="133">
        <v>0.15</v>
      </c>
      <c r="AF117" s="74"/>
      <c r="AH117" s="25"/>
      <c r="AI117" s="32"/>
      <c r="AJ117" s="239" t="s">
        <v>240</v>
      </c>
      <c r="AK117" s="240"/>
      <c r="AL117" s="240"/>
      <c r="AM117" s="241"/>
      <c r="AN117" s="156"/>
      <c r="AP117" s="119"/>
      <c r="AQ117" s="161">
        <v>19</v>
      </c>
      <c r="AR117" s="159">
        <v>2.2000000000000002</v>
      </c>
      <c r="AS117" s="159">
        <v>4.1833999999999998</v>
      </c>
      <c r="AT117" s="159">
        <v>1027</v>
      </c>
      <c r="AU117" s="159">
        <v>998.4</v>
      </c>
      <c r="AV117" s="159">
        <v>79.680000000000007</v>
      </c>
      <c r="AW117" s="159">
        <v>7.2</v>
      </c>
      <c r="AX117" s="159">
        <v>19</v>
      </c>
      <c r="AY117" s="74"/>
      <c r="BB117" s="90"/>
      <c r="BC117" s="97"/>
      <c r="BD117" s="87"/>
    </row>
    <row r="118" spans="1:56">
      <c r="A118" s="25"/>
      <c r="B118" s="16" t="s">
        <v>241</v>
      </c>
      <c r="C118" s="221"/>
      <c r="D118" s="165" t="e">
        <f t="shared" ref="D118:M118" si="65">0.25/(LOG(D107/1000/3.71/(D106/1000)+5.74/D116^0.9))^2/4</f>
        <v>#DIV/0!</v>
      </c>
      <c r="E118" s="165" t="e">
        <f t="shared" si="65"/>
        <v>#DIV/0!</v>
      </c>
      <c r="F118" s="166" t="e">
        <f t="shared" si="65"/>
        <v>#DIV/0!</v>
      </c>
      <c r="G118" s="166" t="e">
        <f t="shared" si="65"/>
        <v>#DIV/0!</v>
      </c>
      <c r="H118" s="166" t="e">
        <f t="shared" si="65"/>
        <v>#DIV/0!</v>
      </c>
      <c r="I118" s="166" t="e">
        <f t="shared" si="65"/>
        <v>#DIV/0!</v>
      </c>
      <c r="J118" s="166" t="e">
        <f t="shared" si="65"/>
        <v>#DIV/0!</v>
      </c>
      <c r="K118" s="166" t="e">
        <f t="shared" si="65"/>
        <v>#DIV/0!</v>
      </c>
      <c r="L118" s="166" t="e">
        <f t="shared" si="65"/>
        <v>#DIV/0!</v>
      </c>
      <c r="M118" s="166" t="e">
        <f t="shared" si="65"/>
        <v>#DIV/0!</v>
      </c>
      <c r="P118" s="74"/>
      <c r="Z118" s="25"/>
      <c r="AA118" s="130" t="s">
        <v>242</v>
      </c>
      <c r="AB118" s="131"/>
      <c r="AC118" s="131"/>
      <c r="AD118" s="132"/>
      <c r="AE118" s="133">
        <v>0.35</v>
      </c>
      <c r="AF118" s="74"/>
      <c r="AH118" s="25"/>
      <c r="AI118" s="153" t="s">
        <v>191</v>
      </c>
      <c r="AJ118" s="168">
        <v>1.2999999999999999E-4</v>
      </c>
      <c r="AK118" s="169">
        <v>7.3999999999999996E-5</v>
      </c>
      <c r="AL118" s="169">
        <v>4.3999999999999999E-5</v>
      </c>
      <c r="AM118" s="170">
        <v>2.72</v>
      </c>
      <c r="AN118" s="162"/>
      <c r="AP118" s="119"/>
      <c r="AQ118" s="161">
        <v>20</v>
      </c>
      <c r="AR118" s="159">
        <v>2.34</v>
      </c>
      <c r="AS118" s="159">
        <v>4.1829999999999998</v>
      </c>
      <c r="AT118" s="159">
        <v>1002</v>
      </c>
      <c r="AU118" s="159">
        <v>998.2</v>
      </c>
      <c r="AV118" s="159">
        <v>83.86</v>
      </c>
      <c r="AW118" s="159">
        <v>7</v>
      </c>
      <c r="AX118" s="159">
        <v>20</v>
      </c>
      <c r="AY118" s="74"/>
      <c r="BB118" s="90"/>
      <c r="BC118" s="97"/>
      <c r="BD118" s="87"/>
    </row>
    <row r="119" spans="1:56">
      <c r="A119" s="25"/>
      <c r="B119" s="16" t="s">
        <v>243</v>
      </c>
      <c r="C119" s="221"/>
      <c r="D119" s="165" t="str">
        <f t="shared" ref="D119:M119" si="66">IF($AK$89="Clean Water / Sewage","n/a",16/D117)</f>
        <v>n/a</v>
      </c>
      <c r="E119" s="165" t="str">
        <f t="shared" si="66"/>
        <v>n/a</v>
      </c>
      <c r="F119" s="166" t="str">
        <f t="shared" si="66"/>
        <v>n/a</v>
      </c>
      <c r="G119" s="166" t="str">
        <f t="shared" si="66"/>
        <v>n/a</v>
      </c>
      <c r="H119" s="166" t="str">
        <f t="shared" si="66"/>
        <v>n/a</v>
      </c>
      <c r="I119" s="166" t="str">
        <f t="shared" si="66"/>
        <v>n/a</v>
      </c>
      <c r="J119" s="166" t="str">
        <f t="shared" si="66"/>
        <v>n/a</v>
      </c>
      <c r="K119" s="166" t="str">
        <f t="shared" si="66"/>
        <v>n/a</v>
      </c>
      <c r="L119" s="166" t="str">
        <f t="shared" si="66"/>
        <v>n/a</v>
      </c>
      <c r="M119" s="166" t="str">
        <f t="shared" si="66"/>
        <v>n/a</v>
      </c>
      <c r="P119" s="74"/>
      <c r="Z119" s="25"/>
      <c r="AA119" s="130" t="s">
        <v>244</v>
      </c>
      <c r="AB119" s="131"/>
      <c r="AC119" s="131"/>
      <c r="AD119" s="132"/>
      <c r="AE119" s="133">
        <v>0.6</v>
      </c>
      <c r="AF119" s="74"/>
      <c r="AH119" s="25"/>
      <c r="AI119" s="153" t="s">
        <v>201</v>
      </c>
      <c r="AJ119" s="171">
        <v>1.2999999999999999E-4</v>
      </c>
      <c r="AK119" s="172">
        <v>7.3999999999999996E-5</v>
      </c>
      <c r="AL119" s="172">
        <v>4.3999999999999999E-5</v>
      </c>
      <c r="AM119" s="173">
        <v>2.72</v>
      </c>
      <c r="AN119" s="162"/>
      <c r="AP119" s="119"/>
      <c r="AQ119" s="161">
        <v>21</v>
      </c>
      <c r="AR119" s="159">
        <v>2.4900000000000002</v>
      </c>
      <c r="AS119" s="159">
        <v>4.1825999999999999</v>
      </c>
      <c r="AT119" s="159">
        <v>978</v>
      </c>
      <c r="AU119" s="159">
        <v>997.9</v>
      </c>
      <c r="AV119" s="159">
        <v>88.04</v>
      </c>
      <c r="AW119" s="159">
        <v>6.81</v>
      </c>
      <c r="AX119" s="159">
        <v>21</v>
      </c>
      <c r="AY119" s="74"/>
      <c r="BB119" s="90"/>
      <c r="BC119" s="97"/>
      <c r="BD119" s="87"/>
    </row>
    <row r="120" spans="1:56">
      <c r="A120" s="25"/>
      <c r="B120" s="16" t="s">
        <v>245</v>
      </c>
      <c r="C120" s="221"/>
      <c r="D120" s="165">
        <f t="shared" ref="D120:M120" si="67">IF(D106=0,0,IF($AK$89="Clean Water / Sewage",D118,IF(D117&lt;2300,D119,IF(D117&gt;4000,D118,IF(D119&gt;D118,D119,D118)))))</f>
        <v>0</v>
      </c>
      <c r="E120" s="165">
        <f t="shared" si="67"/>
        <v>0</v>
      </c>
      <c r="F120" s="166">
        <f t="shared" si="67"/>
        <v>0</v>
      </c>
      <c r="G120" s="166">
        <f t="shared" si="67"/>
        <v>0</v>
      </c>
      <c r="H120" s="166">
        <f t="shared" si="67"/>
        <v>0</v>
      </c>
      <c r="I120" s="166">
        <f t="shared" si="67"/>
        <v>0</v>
      </c>
      <c r="J120" s="166">
        <f t="shared" si="67"/>
        <v>0</v>
      </c>
      <c r="K120" s="166">
        <f t="shared" si="67"/>
        <v>0</v>
      </c>
      <c r="L120" s="166">
        <f t="shared" si="67"/>
        <v>0</v>
      </c>
      <c r="M120" s="166">
        <f t="shared" si="67"/>
        <v>0</v>
      </c>
      <c r="P120" s="74"/>
      <c r="Z120" s="25"/>
      <c r="AA120" s="130" t="s">
        <v>124</v>
      </c>
      <c r="AB120" s="131"/>
      <c r="AC120" s="131"/>
      <c r="AD120" s="132"/>
      <c r="AE120" s="133">
        <v>0.03</v>
      </c>
      <c r="AF120" s="74"/>
      <c r="AH120" s="25"/>
      <c r="AI120" s="153" t="s">
        <v>204</v>
      </c>
      <c r="AJ120" s="171">
        <v>1.3999999999999999E-4</v>
      </c>
      <c r="AK120" s="172">
        <v>8.2999999999999998E-5</v>
      </c>
      <c r="AL120" s="172">
        <v>4.8999999999999998E-5</v>
      </c>
      <c r="AM120" s="173">
        <v>2.9</v>
      </c>
      <c r="AN120" s="162"/>
      <c r="AP120" s="119"/>
      <c r="AQ120" s="161">
        <v>22</v>
      </c>
      <c r="AR120" s="159">
        <v>2.64</v>
      </c>
      <c r="AS120" s="159">
        <v>4.1821000000000002</v>
      </c>
      <c r="AT120" s="159">
        <v>955</v>
      </c>
      <c r="AU120" s="159">
        <v>997.7</v>
      </c>
      <c r="AV120" s="159">
        <v>92.23</v>
      </c>
      <c r="AW120" s="159">
        <v>6.62</v>
      </c>
      <c r="AX120" s="159">
        <v>22</v>
      </c>
      <c r="AY120" s="74"/>
      <c r="BB120" s="90"/>
      <c r="BC120" s="97"/>
      <c r="BD120" s="87"/>
    </row>
    <row r="121" spans="1:56">
      <c r="A121" s="25"/>
      <c r="B121" s="16" t="s">
        <v>246</v>
      </c>
      <c r="C121" s="221"/>
      <c r="D121" s="165" t="str">
        <f t="shared" ref="D121:M121" si="68">IF($AK$89="Clean Water / Sewage","n/a",1+2000/D117)</f>
        <v>n/a</v>
      </c>
      <c r="E121" s="165" t="str">
        <f t="shared" si="68"/>
        <v>n/a</v>
      </c>
      <c r="F121" s="166" t="str">
        <f t="shared" si="68"/>
        <v>n/a</v>
      </c>
      <c r="G121" s="166" t="str">
        <f t="shared" si="68"/>
        <v>n/a</v>
      </c>
      <c r="H121" s="166" t="str">
        <f t="shared" si="68"/>
        <v>n/a</v>
      </c>
      <c r="I121" s="166" t="str">
        <f t="shared" si="68"/>
        <v>n/a</v>
      </c>
      <c r="J121" s="166" t="str">
        <f t="shared" si="68"/>
        <v>n/a</v>
      </c>
      <c r="K121" s="166" t="str">
        <f t="shared" si="68"/>
        <v>n/a</v>
      </c>
      <c r="L121" s="166" t="str">
        <f t="shared" si="68"/>
        <v>n/a</v>
      </c>
      <c r="M121" s="166" t="str">
        <f t="shared" si="68"/>
        <v>n/a</v>
      </c>
      <c r="P121" s="74"/>
      <c r="Z121" s="25"/>
      <c r="AA121" s="130" t="s">
        <v>247</v>
      </c>
      <c r="AB121" s="131"/>
      <c r="AC121" s="131"/>
      <c r="AD121" s="132"/>
      <c r="AE121" s="133">
        <v>0.08</v>
      </c>
      <c r="AF121" s="74"/>
      <c r="AH121" s="25"/>
      <c r="AI121" s="153" t="s">
        <v>206</v>
      </c>
      <c r="AJ121" s="171">
        <f>3.5/25^3</f>
        <v>2.24E-4</v>
      </c>
      <c r="AK121" s="172">
        <v>1.2999999999999999E-4</v>
      </c>
      <c r="AL121" s="172">
        <f>1/25^3</f>
        <v>6.3999999999999997E-5</v>
      </c>
      <c r="AM121" s="173">
        <v>3</v>
      </c>
      <c r="AN121" s="162"/>
      <c r="AP121" s="119"/>
      <c r="AQ121" s="161">
        <v>23</v>
      </c>
      <c r="AR121" s="159">
        <v>2.81</v>
      </c>
      <c r="AS121" s="159">
        <v>4.1817000000000002</v>
      </c>
      <c r="AT121" s="159">
        <v>932</v>
      </c>
      <c r="AU121" s="159">
        <v>997.5</v>
      </c>
      <c r="AV121" s="159">
        <v>96.41</v>
      </c>
      <c r="AW121" s="159">
        <v>6.44</v>
      </c>
      <c r="AX121" s="159">
        <v>23</v>
      </c>
      <c r="AY121" s="74"/>
      <c r="BB121" s="90"/>
      <c r="BC121" s="97"/>
      <c r="BD121" s="87"/>
    </row>
    <row r="122" spans="1:56">
      <c r="A122" s="25"/>
      <c r="B122" s="16" t="s">
        <v>248</v>
      </c>
      <c r="C122" s="221" t="s">
        <v>89</v>
      </c>
      <c r="D122" s="165">
        <f t="shared" ref="D122:M122" si="69">IF(D106=0,0,2*D120*D108/(D106/1000)*D111^2/9.81+IF($AK$89="Clean Water / Sewage",D109*D111^2/2/9.81,D121*D109*D111^2/2/9.81))</f>
        <v>0</v>
      </c>
      <c r="E122" s="165">
        <f t="shared" si="69"/>
        <v>0</v>
      </c>
      <c r="F122" s="166">
        <f t="shared" si="69"/>
        <v>0</v>
      </c>
      <c r="G122" s="166">
        <f t="shared" si="69"/>
        <v>0</v>
      </c>
      <c r="H122" s="166">
        <f t="shared" si="69"/>
        <v>0</v>
      </c>
      <c r="I122" s="166">
        <f t="shared" si="69"/>
        <v>0</v>
      </c>
      <c r="J122" s="166">
        <f t="shared" si="69"/>
        <v>0</v>
      </c>
      <c r="K122" s="166">
        <f t="shared" si="69"/>
        <v>0</v>
      </c>
      <c r="L122" s="166">
        <f t="shared" si="69"/>
        <v>0</v>
      </c>
      <c r="M122" s="166">
        <f t="shared" si="69"/>
        <v>0</v>
      </c>
      <c r="O122" s="166">
        <f>SUM(D122:N122)</f>
        <v>0</v>
      </c>
      <c r="P122" s="74"/>
      <c r="Z122" s="25"/>
      <c r="AA122" s="130" t="s">
        <v>249</v>
      </c>
      <c r="AB122" s="131"/>
      <c r="AC122" s="131"/>
      <c r="AD122" s="132"/>
      <c r="AE122" s="133">
        <v>0.12</v>
      </c>
      <c r="AF122" s="74"/>
      <c r="AH122" s="25"/>
      <c r="AI122" s="153" t="s">
        <v>208</v>
      </c>
      <c r="AJ122" s="171">
        <v>0</v>
      </c>
      <c r="AK122" s="172">
        <v>1.5999999999999999E-5</v>
      </c>
      <c r="AL122" s="172">
        <v>0</v>
      </c>
      <c r="AM122" s="173">
        <v>3</v>
      </c>
      <c r="AN122" s="162"/>
      <c r="AP122" s="119"/>
      <c r="AQ122" s="161">
        <v>24</v>
      </c>
      <c r="AR122" s="159">
        <v>2.98</v>
      </c>
      <c r="AS122" s="159">
        <v>4.1814</v>
      </c>
      <c r="AT122" s="159">
        <v>911</v>
      </c>
      <c r="AU122" s="159">
        <v>997.2</v>
      </c>
      <c r="AV122" s="159">
        <v>100.59</v>
      </c>
      <c r="AW122" s="159">
        <v>6.27</v>
      </c>
      <c r="AX122" s="159">
        <v>24</v>
      </c>
      <c r="AY122" s="74"/>
      <c r="BB122" s="90"/>
      <c r="BC122" s="97"/>
      <c r="BD122" s="87"/>
    </row>
    <row r="123" spans="1:56">
      <c r="A123" s="25"/>
      <c r="B123" s="16" t="s">
        <v>248</v>
      </c>
      <c r="C123" s="221" t="s">
        <v>250</v>
      </c>
      <c r="D123" s="165">
        <f>D122*D$92*9.81/100000</f>
        <v>0</v>
      </c>
      <c r="E123" s="165">
        <f t="shared" ref="E123:M123" si="70">E122*E$92*9.81/100000</f>
        <v>0</v>
      </c>
      <c r="F123" s="165">
        <f t="shared" si="70"/>
        <v>0</v>
      </c>
      <c r="G123" s="165">
        <f t="shared" si="70"/>
        <v>0</v>
      </c>
      <c r="H123" s="165">
        <f t="shared" si="70"/>
        <v>0</v>
      </c>
      <c r="I123" s="165">
        <f t="shared" si="70"/>
        <v>0</v>
      </c>
      <c r="J123" s="165">
        <f t="shared" si="70"/>
        <v>0</v>
      </c>
      <c r="K123" s="165">
        <f t="shared" si="70"/>
        <v>0</v>
      </c>
      <c r="L123" s="165">
        <f t="shared" si="70"/>
        <v>0</v>
      </c>
      <c r="M123" s="165">
        <f t="shared" si="70"/>
        <v>0</v>
      </c>
      <c r="O123" s="166">
        <f>SUM(D123:N123)</f>
        <v>0</v>
      </c>
      <c r="P123" s="74"/>
      <c r="Z123" s="25"/>
      <c r="AA123" s="130" t="s">
        <v>134</v>
      </c>
      <c r="AB123" s="131"/>
      <c r="AC123" s="131"/>
      <c r="AD123" s="132"/>
      <c r="AE123" s="133">
        <v>1</v>
      </c>
      <c r="AF123" s="74"/>
      <c r="AH123" s="25"/>
      <c r="AI123" s="153" t="s">
        <v>211</v>
      </c>
      <c r="AJ123" s="171">
        <v>1.4E-5</v>
      </c>
      <c r="AK123" s="172">
        <v>8.4999999999999999E-6</v>
      </c>
      <c r="AL123" s="172">
        <v>5.1000000000000003E-6</v>
      </c>
      <c r="AM123" s="173">
        <v>3.37</v>
      </c>
      <c r="AN123" s="164"/>
      <c r="AP123" s="119"/>
      <c r="AQ123" s="161">
        <v>25</v>
      </c>
      <c r="AR123" s="159">
        <v>3.17</v>
      </c>
      <c r="AS123" s="159">
        <v>4.181</v>
      </c>
      <c r="AT123" s="159">
        <v>890</v>
      </c>
      <c r="AU123" s="159">
        <v>997</v>
      </c>
      <c r="AV123" s="159">
        <v>104.77</v>
      </c>
      <c r="AW123" s="159">
        <v>6.11</v>
      </c>
      <c r="AX123" s="159">
        <v>25</v>
      </c>
      <c r="AY123" s="74"/>
      <c r="BB123" s="90"/>
      <c r="BC123" s="97"/>
      <c r="BD123" s="87"/>
    </row>
    <row r="124" spans="1:56">
      <c r="A124" s="25"/>
      <c r="I124" s="12"/>
      <c r="J124" s="12"/>
      <c r="K124" s="12"/>
      <c r="L124" s="12"/>
      <c r="M124" s="12"/>
      <c r="P124" s="74"/>
      <c r="Z124" s="25"/>
      <c r="AA124" s="130" t="s">
        <v>136</v>
      </c>
      <c r="AB124" s="131"/>
      <c r="AC124" s="131"/>
      <c r="AD124" s="132"/>
      <c r="AE124" s="133">
        <v>1</v>
      </c>
      <c r="AF124" s="74"/>
      <c r="AH124" s="25"/>
      <c r="AI124" s="174"/>
      <c r="AJ124" s="174"/>
      <c r="AK124" s="175"/>
      <c r="AL124" s="174"/>
      <c r="AM124" s="174"/>
      <c r="AN124" s="149"/>
      <c r="AP124" s="119"/>
      <c r="AQ124" s="161">
        <v>26</v>
      </c>
      <c r="AR124" s="159">
        <v>3.36</v>
      </c>
      <c r="AS124" s="159">
        <v>4.1806000000000001</v>
      </c>
      <c r="AT124" s="159">
        <v>870</v>
      </c>
      <c r="AU124" s="159">
        <v>996.7</v>
      </c>
      <c r="AV124" s="159">
        <v>108.95</v>
      </c>
      <c r="AW124" s="159">
        <v>5.95</v>
      </c>
      <c r="AX124" s="159">
        <v>26</v>
      </c>
      <c r="AY124" s="74"/>
      <c r="BB124" s="90"/>
      <c r="BC124" s="97"/>
      <c r="BD124" s="87"/>
    </row>
    <row r="125" spans="1:56">
      <c r="A125" s="25"/>
      <c r="B125" s="16" t="s">
        <v>215</v>
      </c>
      <c r="C125" s="221" t="s">
        <v>53</v>
      </c>
      <c r="D125" s="165">
        <f>C53</f>
        <v>0</v>
      </c>
      <c r="P125" s="74"/>
      <c r="W125" s="12"/>
      <c r="X125" s="12"/>
      <c r="Z125" s="25"/>
      <c r="AA125" s="130" t="s">
        <v>125</v>
      </c>
      <c r="AB125" s="131"/>
      <c r="AC125" s="131"/>
      <c r="AD125" s="132"/>
      <c r="AE125" s="133">
        <v>0.15</v>
      </c>
      <c r="AF125" s="74"/>
      <c r="AH125" s="25"/>
      <c r="AI125" s="12"/>
      <c r="AJ125" s="12"/>
      <c r="AK125" s="12"/>
      <c r="AL125" s="16"/>
      <c r="AM125" s="176"/>
      <c r="AN125" s="177"/>
      <c r="AP125" s="119"/>
      <c r="AQ125" s="161">
        <v>27</v>
      </c>
      <c r="AR125" s="159">
        <v>3.56</v>
      </c>
      <c r="AS125" s="159">
        <v>4.1801000000000004</v>
      </c>
      <c r="AT125" s="159">
        <v>851</v>
      </c>
      <c r="AU125" s="159">
        <v>996.5</v>
      </c>
      <c r="AV125" s="159">
        <v>113.13</v>
      </c>
      <c r="AW125" s="159">
        <v>5.8</v>
      </c>
      <c r="AX125" s="159">
        <v>27</v>
      </c>
      <c r="AY125" s="74"/>
      <c r="BB125" s="90"/>
      <c r="BC125" s="97"/>
      <c r="BD125" s="87"/>
    </row>
    <row r="126" spans="1:56">
      <c r="A126" s="25"/>
      <c r="B126" s="16" t="s">
        <v>217</v>
      </c>
      <c r="C126" s="221" t="s">
        <v>87</v>
      </c>
      <c r="D126" s="165">
        <f t="shared" ref="D126:M126" si="71">D$18</f>
        <v>0</v>
      </c>
      <c r="E126" s="165">
        <f t="shared" si="71"/>
        <v>0</v>
      </c>
      <c r="F126" s="166">
        <f t="shared" si="71"/>
        <v>0</v>
      </c>
      <c r="G126" s="166">
        <f t="shared" si="71"/>
        <v>0</v>
      </c>
      <c r="H126" s="166">
        <f t="shared" si="71"/>
        <v>0</v>
      </c>
      <c r="I126" s="166">
        <f t="shared" si="71"/>
        <v>0</v>
      </c>
      <c r="J126" s="166">
        <f t="shared" si="71"/>
        <v>0</v>
      </c>
      <c r="K126" s="166">
        <f t="shared" si="71"/>
        <v>0</v>
      </c>
      <c r="L126" s="166">
        <f t="shared" si="71"/>
        <v>0</v>
      </c>
      <c r="M126" s="166">
        <f t="shared" si="71"/>
        <v>0</v>
      </c>
      <c r="P126" s="74"/>
      <c r="W126" s="12"/>
      <c r="Z126" s="25"/>
      <c r="AA126" s="130" t="s">
        <v>251</v>
      </c>
      <c r="AB126" s="131"/>
      <c r="AC126" s="131"/>
      <c r="AD126" s="132"/>
      <c r="AE126" s="133">
        <v>2</v>
      </c>
      <c r="AF126" s="74"/>
      <c r="AH126" s="25"/>
      <c r="AI126" s="12"/>
      <c r="AJ126" s="12"/>
      <c r="AK126" s="12"/>
      <c r="AL126" s="16"/>
      <c r="AM126" s="176"/>
      <c r="AN126" s="177"/>
      <c r="AP126" s="119"/>
      <c r="AQ126" s="161">
        <v>28</v>
      </c>
      <c r="AR126" s="159">
        <v>3.78</v>
      </c>
      <c r="AS126" s="159">
        <v>4.1797000000000004</v>
      </c>
      <c r="AT126" s="159">
        <v>833</v>
      </c>
      <c r="AU126" s="159">
        <v>996.2</v>
      </c>
      <c r="AV126" s="159">
        <v>117.31</v>
      </c>
      <c r="AW126" s="159">
        <v>5.66</v>
      </c>
      <c r="AX126" s="159">
        <v>28</v>
      </c>
      <c r="AY126" s="74"/>
      <c r="BB126" s="90"/>
      <c r="BC126" s="97"/>
      <c r="BD126" s="87"/>
    </row>
    <row r="127" spans="1:56">
      <c r="A127" s="25"/>
      <c r="B127" s="16" t="s">
        <v>218</v>
      </c>
      <c r="C127" s="221" t="s">
        <v>87</v>
      </c>
      <c r="D127" s="165">
        <f t="shared" ref="D127:M127" si="72">D$20</f>
        <v>0</v>
      </c>
      <c r="E127" s="165">
        <f>E$20</f>
        <v>0</v>
      </c>
      <c r="F127" s="166">
        <f t="shared" si="72"/>
        <v>0</v>
      </c>
      <c r="G127" s="166">
        <f t="shared" si="72"/>
        <v>0</v>
      </c>
      <c r="H127" s="166">
        <f t="shared" si="72"/>
        <v>0</v>
      </c>
      <c r="I127" s="166">
        <f t="shared" si="72"/>
        <v>0</v>
      </c>
      <c r="J127" s="166">
        <f t="shared" si="72"/>
        <v>0</v>
      </c>
      <c r="K127" s="166">
        <f t="shared" si="72"/>
        <v>0</v>
      </c>
      <c r="L127" s="166">
        <f t="shared" si="72"/>
        <v>0</v>
      </c>
      <c r="M127" s="166">
        <f t="shared" si="72"/>
        <v>0</v>
      </c>
      <c r="P127" s="74"/>
      <c r="W127" s="12"/>
      <c r="Z127" s="25"/>
      <c r="AA127" s="130" t="s">
        <v>129</v>
      </c>
      <c r="AB127" s="131"/>
      <c r="AC127" s="131"/>
      <c r="AD127" s="132"/>
      <c r="AE127" s="133">
        <v>0.3</v>
      </c>
      <c r="AF127" s="74"/>
      <c r="AH127" s="25"/>
      <c r="AI127" s="126" t="s">
        <v>252</v>
      </c>
      <c r="AJ127" s="16"/>
      <c r="AK127" s="178" t="s">
        <v>51</v>
      </c>
      <c r="AL127" s="179"/>
      <c r="AM127" s="180"/>
      <c r="AN127" s="181"/>
      <c r="AP127" s="119"/>
      <c r="AQ127" s="161">
        <v>29</v>
      </c>
      <c r="AR127" s="159">
        <v>4</v>
      </c>
      <c r="AS127" s="159">
        <v>4.1794000000000002</v>
      </c>
      <c r="AT127" s="159">
        <v>815</v>
      </c>
      <c r="AU127" s="159">
        <v>995.9</v>
      </c>
      <c r="AV127" s="159">
        <v>121.49</v>
      </c>
      <c r="AW127" s="159">
        <v>5.52</v>
      </c>
      <c r="AX127" s="159">
        <v>29</v>
      </c>
      <c r="AY127" s="74"/>
      <c r="BB127" s="90"/>
      <c r="BC127" s="97"/>
      <c r="BD127" s="87"/>
    </row>
    <row r="128" spans="1:56">
      <c r="A128" s="25"/>
      <c r="B128" s="16" t="s">
        <v>220</v>
      </c>
      <c r="C128" s="221" t="s">
        <v>87</v>
      </c>
      <c r="D128" s="165">
        <f t="shared" ref="D128:M128" si="73">D$19</f>
        <v>0</v>
      </c>
      <c r="E128" s="165">
        <f t="shared" si="73"/>
        <v>0</v>
      </c>
      <c r="F128" s="166">
        <f t="shared" si="73"/>
        <v>0</v>
      </c>
      <c r="G128" s="166">
        <f t="shared" si="73"/>
        <v>0</v>
      </c>
      <c r="H128" s="166">
        <f t="shared" si="73"/>
        <v>0</v>
      </c>
      <c r="I128" s="166">
        <f t="shared" si="73"/>
        <v>0</v>
      </c>
      <c r="J128" s="166">
        <f t="shared" si="73"/>
        <v>0</v>
      </c>
      <c r="K128" s="166">
        <f t="shared" si="73"/>
        <v>0</v>
      </c>
      <c r="L128" s="166">
        <f t="shared" si="73"/>
        <v>0</v>
      </c>
      <c r="M128" s="166">
        <f t="shared" si="73"/>
        <v>0</v>
      </c>
      <c r="P128" s="74"/>
      <c r="W128" s="12"/>
      <c r="Z128" s="25"/>
      <c r="AA128" s="130" t="s">
        <v>253</v>
      </c>
      <c r="AB128" s="131"/>
      <c r="AC128" s="131"/>
      <c r="AD128" s="132"/>
      <c r="AE128" s="133">
        <v>10</v>
      </c>
      <c r="AF128" s="74"/>
      <c r="AH128" s="25"/>
      <c r="AI128" s="140" t="s">
        <v>59</v>
      </c>
      <c r="AJ128" s="16"/>
      <c r="AK128" s="182" t="s">
        <v>191</v>
      </c>
      <c r="AL128" s="183"/>
      <c r="AM128" s="184"/>
      <c r="AN128" s="181"/>
      <c r="AP128" s="119"/>
      <c r="AQ128" s="161">
        <v>30</v>
      </c>
      <c r="AR128" s="159">
        <v>4.24</v>
      </c>
      <c r="AS128" s="159">
        <v>4.1790000000000003</v>
      </c>
      <c r="AT128" s="159">
        <v>798</v>
      </c>
      <c r="AU128" s="159">
        <v>995.6</v>
      </c>
      <c r="AV128" s="159">
        <v>125.67</v>
      </c>
      <c r="AW128" s="159">
        <v>5.39</v>
      </c>
      <c r="AX128" s="159">
        <v>30</v>
      </c>
      <c r="AY128" s="74"/>
      <c r="BB128" s="90"/>
      <c r="BC128" s="97"/>
      <c r="BD128" s="87"/>
    </row>
    <row r="129" spans="1:56">
      <c r="A129" s="25"/>
      <c r="B129" s="16" t="s">
        <v>221</v>
      </c>
      <c r="C129" s="221"/>
      <c r="D129" s="165">
        <f t="shared" ref="D129:M129" si="74">D$44</f>
        <v>0</v>
      </c>
      <c r="E129" s="165">
        <f t="shared" si="74"/>
        <v>0</v>
      </c>
      <c r="F129" s="166">
        <f t="shared" si="74"/>
        <v>0</v>
      </c>
      <c r="G129" s="166">
        <f t="shared" si="74"/>
        <v>0</v>
      </c>
      <c r="H129" s="166">
        <f t="shared" si="74"/>
        <v>0</v>
      </c>
      <c r="I129" s="166">
        <f t="shared" si="74"/>
        <v>0</v>
      </c>
      <c r="J129" s="166">
        <f t="shared" si="74"/>
        <v>0</v>
      </c>
      <c r="K129" s="166">
        <f t="shared" si="74"/>
        <v>0</v>
      </c>
      <c r="L129" s="166">
        <f t="shared" si="74"/>
        <v>0</v>
      </c>
      <c r="M129" s="166">
        <f t="shared" si="74"/>
        <v>0</v>
      </c>
      <c r="P129" s="74"/>
      <c r="W129" s="12"/>
      <c r="Z129" s="25"/>
      <c r="AA129" s="130" t="s">
        <v>254</v>
      </c>
      <c r="AB129" s="131"/>
      <c r="AC129" s="131"/>
      <c r="AD129" s="132"/>
      <c r="AE129" s="133">
        <v>10</v>
      </c>
      <c r="AF129" s="74"/>
      <c r="AH129" s="25"/>
      <c r="AI129" s="136" t="s">
        <v>255</v>
      </c>
      <c r="AJ129" s="16"/>
      <c r="AK129" s="182" t="s">
        <v>201</v>
      </c>
      <c r="AL129" s="183"/>
      <c r="AM129" s="180"/>
      <c r="AN129" s="181"/>
      <c r="AP129" s="119"/>
      <c r="AQ129" s="161">
        <v>31</v>
      </c>
      <c r="AR129" s="159">
        <v>4.49</v>
      </c>
      <c r="AS129" s="159">
        <v>4.1787000000000001</v>
      </c>
      <c r="AT129" s="159">
        <v>781</v>
      </c>
      <c r="AU129" s="159">
        <v>995.3</v>
      </c>
      <c r="AV129" s="159">
        <v>129.85</v>
      </c>
      <c r="AW129" s="159">
        <v>5.26</v>
      </c>
      <c r="AX129" s="159">
        <v>31</v>
      </c>
      <c r="AY129" s="74"/>
      <c r="BB129" s="90"/>
      <c r="BC129" s="97"/>
      <c r="BD129" s="87"/>
    </row>
    <row r="130" spans="1:56">
      <c r="A130" s="25"/>
      <c r="B130" s="16" t="s">
        <v>91</v>
      </c>
      <c r="C130" s="221" t="s">
        <v>223</v>
      </c>
      <c r="D130" s="165">
        <f t="shared" ref="D130:M130" si="75">D$21</f>
        <v>0</v>
      </c>
      <c r="E130" s="165">
        <f t="shared" si="75"/>
        <v>0</v>
      </c>
      <c r="F130" s="166">
        <f t="shared" si="75"/>
        <v>0</v>
      </c>
      <c r="G130" s="166">
        <f t="shared" si="75"/>
        <v>0</v>
      </c>
      <c r="H130" s="166">
        <f t="shared" si="75"/>
        <v>0</v>
      </c>
      <c r="I130" s="166">
        <f t="shared" si="75"/>
        <v>0</v>
      </c>
      <c r="J130" s="166">
        <f t="shared" si="75"/>
        <v>0</v>
      </c>
      <c r="K130" s="166">
        <f t="shared" si="75"/>
        <v>0</v>
      </c>
      <c r="L130" s="166">
        <f t="shared" si="75"/>
        <v>0</v>
      </c>
      <c r="M130" s="166">
        <f t="shared" si="75"/>
        <v>0</v>
      </c>
      <c r="P130" s="74"/>
      <c r="W130" s="12"/>
      <c r="Z130" s="25"/>
      <c r="AA130" s="130" t="s">
        <v>256</v>
      </c>
      <c r="AB130" s="131"/>
      <c r="AC130" s="131"/>
      <c r="AD130" s="132"/>
      <c r="AE130" s="133">
        <v>60</v>
      </c>
      <c r="AF130" s="74"/>
      <c r="AH130" s="25"/>
      <c r="AI130" s="16"/>
      <c r="AJ130" s="16"/>
      <c r="AK130" s="182" t="s">
        <v>204</v>
      </c>
      <c r="AL130" s="183"/>
      <c r="AM130" s="184"/>
      <c r="AN130" s="181"/>
      <c r="AP130" s="119"/>
      <c r="AQ130" s="161">
        <v>32</v>
      </c>
      <c r="AR130" s="159">
        <v>4.75</v>
      </c>
      <c r="AS130" s="159">
        <v>4.1783999999999999</v>
      </c>
      <c r="AT130" s="159">
        <v>765</v>
      </c>
      <c r="AU130" s="159">
        <v>995</v>
      </c>
      <c r="AV130" s="159">
        <v>134.03</v>
      </c>
      <c r="AW130" s="159">
        <v>5.14</v>
      </c>
      <c r="AX130" s="159">
        <v>32</v>
      </c>
      <c r="AY130" s="74"/>
      <c r="BB130" s="90"/>
      <c r="BC130" s="97"/>
      <c r="BD130" s="87"/>
    </row>
    <row r="131" spans="1:56">
      <c r="A131" s="186"/>
      <c r="B131" s="16" t="s">
        <v>226</v>
      </c>
      <c r="C131" s="221" t="s">
        <v>94</v>
      </c>
      <c r="D131" s="165" t="e">
        <f t="shared" ref="D131:M131" si="76">D$171*$D125/$D$165</f>
        <v>#VALUE!</v>
      </c>
      <c r="E131" s="165" t="e">
        <f t="shared" si="76"/>
        <v>#VALUE!</v>
      </c>
      <c r="F131" s="166" t="e">
        <f t="shared" si="76"/>
        <v>#VALUE!</v>
      </c>
      <c r="G131" s="166" t="e">
        <f t="shared" si="76"/>
        <v>#VALUE!</v>
      </c>
      <c r="H131" s="166" t="e">
        <f t="shared" si="76"/>
        <v>#VALUE!</v>
      </c>
      <c r="I131" s="166" t="e">
        <f t="shared" si="76"/>
        <v>#VALUE!</v>
      </c>
      <c r="J131" s="166" t="e">
        <f t="shared" si="76"/>
        <v>#VALUE!</v>
      </c>
      <c r="K131" s="166" t="e">
        <f t="shared" si="76"/>
        <v>#VALUE!</v>
      </c>
      <c r="L131" s="166" t="e">
        <f t="shared" si="76"/>
        <v>#VALUE!</v>
      </c>
      <c r="M131" s="166" t="e">
        <f t="shared" si="76"/>
        <v>#VALUE!</v>
      </c>
      <c r="P131" s="74"/>
      <c r="W131" s="12"/>
      <c r="Z131" s="25"/>
      <c r="AA131" s="130" t="s">
        <v>257</v>
      </c>
      <c r="AB131" s="131"/>
      <c r="AC131" s="131"/>
      <c r="AD131" s="132"/>
      <c r="AE131" s="133">
        <v>7.5</v>
      </c>
      <c r="AF131" s="74"/>
      <c r="AH131" s="25"/>
      <c r="AI131" s="16"/>
      <c r="AJ131" s="16"/>
      <c r="AK131" s="182" t="s">
        <v>206</v>
      </c>
      <c r="AL131" s="183"/>
      <c r="AM131" s="12"/>
      <c r="AN131" s="74"/>
      <c r="AP131" s="119"/>
      <c r="AQ131" s="161">
        <v>33</v>
      </c>
      <c r="AR131" s="159">
        <v>5.01</v>
      </c>
      <c r="AS131" s="159">
        <v>4.1782000000000004</v>
      </c>
      <c r="AT131" s="159">
        <v>749</v>
      </c>
      <c r="AU131" s="159">
        <v>994.6</v>
      </c>
      <c r="AV131" s="159">
        <v>138.19999999999999</v>
      </c>
      <c r="AW131" s="159">
        <v>5.0199999999999996</v>
      </c>
      <c r="AX131" s="159">
        <v>33</v>
      </c>
      <c r="AY131" s="74"/>
      <c r="BB131" s="90"/>
      <c r="BC131" s="97"/>
      <c r="BD131" s="87"/>
    </row>
    <row r="132" spans="1:56" ht="14.25">
      <c r="A132" s="25"/>
      <c r="B132" s="16" t="s">
        <v>228</v>
      </c>
      <c r="C132" s="221" t="s">
        <v>229</v>
      </c>
      <c r="D132" s="165">
        <f t="shared" ref="D132:M132" si="77">IF(D$21="",0.000001,VLOOKUP(D130,$AQ$98:$AX$198,4,FALSE)/VLOOKUP(D130,$AQ$98:$AX$198,5,FALSE)/1000000)</f>
        <v>9.9999999999999995E-7</v>
      </c>
      <c r="E132" s="165">
        <f t="shared" si="77"/>
        <v>9.9999999999999995E-7</v>
      </c>
      <c r="F132" s="165">
        <f t="shared" si="77"/>
        <v>9.9999999999999995E-7</v>
      </c>
      <c r="G132" s="165">
        <f t="shared" si="77"/>
        <v>9.9999999999999995E-7</v>
      </c>
      <c r="H132" s="165">
        <f t="shared" si="77"/>
        <v>9.9999999999999995E-7</v>
      </c>
      <c r="I132" s="165">
        <f t="shared" si="77"/>
        <v>9.9999999999999995E-7</v>
      </c>
      <c r="J132" s="165">
        <f t="shared" si="77"/>
        <v>9.9999999999999995E-7</v>
      </c>
      <c r="K132" s="165">
        <f t="shared" si="77"/>
        <v>9.9999999999999995E-7</v>
      </c>
      <c r="L132" s="165">
        <f t="shared" si="77"/>
        <v>9.9999999999999995E-7</v>
      </c>
      <c r="M132" s="165">
        <f t="shared" si="77"/>
        <v>9.9999999999999995E-7</v>
      </c>
      <c r="P132" s="74"/>
      <c r="W132" s="12"/>
      <c r="Z132" s="25"/>
      <c r="AA132" s="130" t="s">
        <v>258</v>
      </c>
      <c r="AB132" s="131"/>
      <c r="AC132" s="131"/>
      <c r="AD132" s="132"/>
      <c r="AE132" s="133" t="s">
        <v>259</v>
      </c>
      <c r="AF132" s="74"/>
      <c r="AH132" s="25"/>
      <c r="AI132" s="16"/>
      <c r="AJ132" s="16"/>
      <c r="AK132" s="182" t="s">
        <v>260</v>
      </c>
      <c r="AL132" s="185"/>
      <c r="AM132" s="98"/>
      <c r="AN132" s="35"/>
      <c r="AP132" s="119"/>
      <c r="AQ132" s="161">
        <v>34</v>
      </c>
      <c r="AR132" s="159">
        <v>5.32</v>
      </c>
      <c r="AS132" s="159">
        <v>4.1780999999999997</v>
      </c>
      <c r="AT132" s="159">
        <v>734</v>
      </c>
      <c r="AU132" s="159">
        <v>994.3</v>
      </c>
      <c r="AV132" s="159">
        <v>142.38</v>
      </c>
      <c r="AW132" s="159">
        <v>4.91</v>
      </c>
      <c r="AX132" s="159">
        <v>34</v>
      </c>
      <c r="AY132" s="74"/>
      <c r="BB132" s="90"/>
      <c r="BC132" s="97"/>
      <c r="BD132" s="87"/>
    </row>
    <row r="133" spans="1:56" ht="14.25">
      <c r="A133" s="25"/>
      <c r="B133" s="16" t="s">
        <v>231</v>
      </c>
      <c r="C133" s="221" t="s">
        <v>232</v>
      </c>
      <c r="D133" s="165" t="str">
        <f t="shared" ref="D133:M133" si="78">IF($AK$89="Clean Water / Sewage","n/a",VLOOKUP($AK$89,$AI$104:$AM$109,$AM$94,FALSE)*(D$91^VLOOKUP($AK$89,$AI$104:$AM$109,5,FALSE))*EXP(1848/(273+D130)-1848/283))</f>
        <v>n/a</v>
      </c>
      <c r="E133" s="165" t="str">
        <f t="shared" si="78"/>
        <v>n/a</v>
      </c>
      <c r="F133" s="165" t="str">
        <f t="shared" si="78"/>
        <v>n/a</v>
      </c>
      <c r="G133" s="165" t="str">
        <f t="shared" si="78"/>
        <v>n/a</v>
      </c>
      <c r="H133" s="165" t="str">
        <f t="shared" si="78"/>
        <v>n/a</v>
      </c>
      <c r="I133" s="165" t="str">
        <f t="shared" si="78"/>
        <v>n/a</v>
      </c>
      <c r="J133" s="165" t="str">
        <f t="shared" si="78"/>
        <v>n/a</v>
      </c>
      <c r="K133" s="165" t="str">
        <f t="shared" si="78"/>
        <v>n/a</v>
      </c>
      <c r="L133" s="165" t="str">
        <f t="shared" si="78"/>
        <v>n/a</v>
      </c>
      <c r="M133" s="165" t="str">
        <f t="shared" si="78"/>
        <v>n/a</v>
      </c>
      <c r="P133" s="74"/>
      <c r="W133" s="12"/>
      <c r="Z133" s="25"/>
      <c r="AA133" s="130" t="s">
        <v>131</v>
      </c>
      <c r="AB133" s="131"/>
      <c r="AC133" s="131"/>
      <c r="AD133" s="132"/>
      <c r="AE133" s="133">
        <v>2</v>
      </c>
      <c r="AF133" s="74"/>
      <c r="AH133" s="25"/>
      <c r="AI133" s="16"/>
      <c r="AJ133" s="16"/>
      <c r="AK133" s="187" t="s">
        <v>208</v>
      </c>
      <c r="AL133" s="188"/>
      <c r="AM133" s="176"/>
      <c r="AN133" s="177"/>
      <c r="AP133" s="119"/>
      <c r="AQ133" s="161">
        <v>35</v>
      </c>
      <c r="AR133" s="159">
        <v>5.62</v>
      </c>
      <c r="AS133" s="159">
        <v>4.1779999999999999</v>
      </c>
      <c r="AT133" s="159">
        <v>719</v>
      </c>
      <c r="AU133" s="159">
        <v>994</v>
      </c>
      <c r="AV133" s="159">
        <v>146.56</v>
      </c>
      <c r="AW133" s="159">
        <v>4.8</v>
      </c>
      <c r="AX133" s="159">
        <v>35</v>
      </c>
      <c r="AY133" s="74"/>
      <c r="BB133" s="90"/>
      <c r="BC133" s="97"/>
      <c r="BD133" s="87"/>
    </row>
    <row r="134" spans="1:56" ht="12.75" thickBot="1">
      <c r="A134" s="25"/>
      <c r="B134" s="16" t="s">
        <v>234</v>
      </c>
      <c r="C134" s="221"/>
      <c r="D134" s="165" t="str">
        <f t="shared" ref="D134:M134" si="79">IF($AK$89="Clean Water / Sewage","n/a",VLOOKUP($AK$89,$AI$97:$AM$102,$AM$94,FALSE)*(D$91^VLOOKUP($AK$89,$AI$97:$AM$102,5,FALSE)))</f>
        <v>n/a</v>
      </c>
      <c r="E134" s="165" t="str">
        <f t="shared" si="79"/>
        <v>n/a</v>
      </c>
      <c r="F134" s="165" t="str">
        <f t="shared" si="79"/>
        <v>n/a</v>
      </c>
      <c r="G134" s="165" t="str">
        <f t="shared" si="79"/>
        <v>n/a</v>
      </c>
      <c r="H134" s="165" t="str">
        <f t="shared" si="79"/>
        <v>n/a</v>
      </c>
      <c r="I134" s="165" t="str">
        <f t="shared" si="79"/>
        <v>n/a</v>
      </c>
      <c r="J134" s="165" t="str">
        <f t="shared" si="79"/>
        <v>n/a</v>
      </c>
      <c r="K134" s="165" t="str">
        <f t="shared" si="79"/>
        <v>n/a</v>
      </c>
      <c r="L134" s="165" t="str">
        <f t="shared" si="79"/>
        <v>n/a</v>
      </c>
      <c r="M134" s="165" t="str">
        <f t="shared" si="79"/>
        <v>n/a</v>
      </c>
      <c r="P134" s="74"/>
      <c r="Z134" s="25"/>
      <c r="AA134" s="130"/>
      <c r="AB134" s="131"/>
      <c r="AC134" s="131"/>
      <c r="AD134" s="132"/>
      <c r="AE134" s="133"/>
      <c r="AF134" s="74"/>
      <c r="AH134" s="84"/>
      <c r="AI134" s="189"/>
      <c r="AJ134" s="190"/>
      <c r="AK134" s="191"/>
      <c r="AL134" s="192"/>
      <c r="AM134" s="192"/>
      <c r="AN134" s="193"/>
      <c r="AP134" s="119"/>
      <c r="AQ134" s="161">
        <v>36</v>
      </c>
      <c r="AR134" s="159">
        <v>5.94</v>
      </c>
      <c r="AS134" s="159">
        <v>4.1780999999999997</v>
      </c>
      <c r="AT134" s="159">
        <v>705</v>
      </c>
      <c r="AU134" s="159">
        <v>993.6</v>
      </c>
      <c r="AV134" s="159">
        <v>150.74</v>
      </c>
      <c r="AW134" s="159">
        <v>4.6900000000000004</v>
      </c>
      <c r="AX134" s="159">
        <v>36</v>
      </c>
      <c r="AY134" s="74"/>
      <c r="BB134" s="90"/>
      <c r="BC134" s="97"/>
      <c r="BD134" s="87"/>
    </row>
    <row r="135" spans="1:56" ht="14.25">
      <c r="A135" s="25"/>
      <c r="B135" s="16" t="s">
        <v>225</v>
      </c>
      <c r="C135" s="221" t="s">
        <v>232</v>
      </c>
      <c r="D135" s="165" t="str">
        <f t="shared" ref="D135:M135" si="80">IF($AK$89="Clean Water / Sewage","n/a",VLOOKUP($AK$89,$AI$111:$AM$116,$AM$94,FALSE)*(D$91^VLOOKUP($AK$89,$AI$111:$AM$116,5,FALSE))*EXP(1848/(273+D130)-1848/283))</f>
        <v>n/a</v>
      </c>
      <c r="E135" s="165" t="str">
        <f t="shared" si="80"/>
        <v>n/a</v>
      </c>
      <c r="F135" s="165" t="str">
        <f t="shared" si="80"/>
        <v>n/a</v>
      </c>
      <c r="G135" s="165" t="str">
        <f t="shared" si="80"/>
        <v>n/a</v>
      </c>
      <c r="H135" s="165" t="str">
        <f t="shared" si="80"/>
        <v>n/a</v>
      </c>
      <c r="I135" s="165" t="str">
        <f t="shared" si="80"/>
        <v>n/a</v>
      </c>
      <c r="J135" s="165" t="str">
        <f t="shared" si="80"/>
        <v>n/a</v>
      </c>
      <c r="K135" s="165" t="str">
        <f t="shared" si="80"/>
        <v>n/a</v>
      </c>
      <c r="L135" s="165" t="str">
        <f t="shared" si="80"/>
        <v>n/a</v>
      </c>
      <c r="M135" s="165" t="str">
        <f t="shared" si="80"/>
        <v>n/a</v>
      </c>
      <c r="P135" s="74"/>
      <c r="Z135" s="25"/>
      <c r="AA135" s="130"/>
      <c r="AB135" s="131"/>
      <c r="AC135" s="131"/>
      <c r="AD135" s="132"/>
      <c r="AE135" s="133"/>
      <c r="AF135" s="74"/>
      <c r="AH135" s="12"/>
      <c r="AJ135" s="194"/>
      <c r="AK135" s="195"/>
      <c r="AL135" s="180"/>
      <c r="AM135" s="195"/>
      <c r="AN135" s="196"/>
      <c r="AP135" s="119"/>
      <c r="AQ135" s="161">
        <v>37</v>
      </c>
      <c r="AR135" s="159">
        <v>6.27</v>
      </c>
      <c r="AS135" s="159">
        <v>4.1782000000000004</v>
      </c>
      <c r="AT135" s="159">
        <v>692</v>
      </c>
      <c r="AU135" s="159">
        <v>993.3</v>
      </c>
      <c r="AV135" s="159">
        <v>154.91999999999999</v>
      </c>
      <c r="AW135" s="159">
        <v>4.59</v>
      </c>
      <c r="AX135" s="159">
        <v>37</v>
      </c>
      <c r="AY135" s="74"/>
      <c r="BB135" s="90"/>
      <c r="BC135" s="97"/>
      <c r="BD135" s="87"/>
    </row>
    <row r="136" spans="1:56">
      <c r="A136" s="25"/>
      <c r="B136" s="16" t="s">
        <v>236</v>
      </c>
      <c r="C136" s="221"/>
      <c r="D136" s="165" t="e">
        <f t="shared" ref="D136:M136" si="81">IF($AK89="Clean Water / Sewage",D131*D126/1000/D132,D$92*D131*D126/1000/D135)</f>
        <v>#VALUE!</v>
      </c>
      <c r="E136" s="165" t="e">
        <f t="shared" si="81"/>
        <v>#VALUE!</v>
      </c>
      <c r="F136" s="165" t="e">
        <f t="shared" si="81"/>
        <v>#VALUE!</v>
      </c>
      <c r="G136" s="165" t="e">
        <f t="shared" si="81"/>
        <v>#VALUE!</v>
      </c>
      <c r="H136" s="165" t="e">
        <f t="shared" si="81"/>
        <v>#VALUE!</v>
      </c>
      <c r="I136" s="165" t="e">
        <f t="shared" si="81"/>
        <v>#VALUE!</v>
      </c>
      <c r="J136" s="165" t="e">
        <f t="shared" si="81"/>
        <v>#VALUE!</v>
      </c>
      <c r="K136" s="165" t="e">
        <f t="shared" si="81"/>
        <v>#VALUE!</v>
      </c>
      <c r="L136" s="165" t="e">
        <f t="shared" si="81"/>
        <v>#VALUE!</v>
      </c>
      <c r="M136" s="165" t="e">
        <f t="shared" si="81"/>
        <v>#VALUE!</v>
      </c>
      <c r="P136" s="74"/>
      <c r="Z136" s="25"/>
      <c r="AA136" s="130"/>
      <c r="AB136" s="131"/>
      <c r="AC136" s="131"/>
      <c r="AD136" s="132"/>
      <c r="AE136" s="133"/>
      <c r="AF136" s="74"/>
      <c r="AH136" s="12"/>
      <c r="AJ136" s="194"/>
      <c r="AK136" s="195"/>
      <c r="AL136" s="184"/>
      <c r="AM136" s="195"/>
      <c r="AN136" s="196"/>
      <c r="AP136" s="119"/>
      <c r="AQ136" s="161">
        <v>38</v>
      </c>
      <c r="AR136" s="159">
        <v>6.62</v>
      </c>
      <c r="AS136" s="159">
        <v>4.1783999999999999</v>
      </c>
      <c r="AT136" s="159">
        <v>678</v>
      </c>
      <c r="AU136" s="159">
        <v>993</v>
      </c>
      <c r="AV136" s="159">
        <v>159.09</v>
      </c>
      <c r="AW136" s="159">
        <v>4.49</v>
      </c>
      <c r="AX136" s="159">
        <v>38</v>
      </c>
      <c r="AY136" s="74"/>
      <c r="BB136" s="90"/>
      <c r="BC136" s="97"/>
      <c r="BD136" s="87"/>
    </row>
    <row r="137" spans="1:56">
      <c r="A137" s="25"/>
      <c r="B137" s="16" t="s">
        <v>238</v>
      </c>
      <c r="C137" s="221"/>
      <c r="D137" s="165" t="str">
        <f>IF(D133="n/a",D133,D$92*D131*D126/1000/D133*(8*D131/(D126/1000))^(1-D134))</f>
        <v>n/a</v>
      </c>
      <c r="E137" s="165" t="str">
        <f t="shared" ref="E137:M137" si="82">IF(E133="n/a",E133,E$92*E131*E126/1000/E133*(8*E131/(E126/1000))^(1-E134))</f>
        <v>n/a</v>
      </c>
      <c r="F137" s="165" t="str">
        <f t="shared" si="82"/>
        <v>n/a</v>
      </c>
      <c r="G137" s="165" t="str">
        <f t="shared" si="82"/>
        <v>n/a</v>
      </c>
      <c r="H137" s="165" t="str">
        <f t="shared" si="82"/>
        <v>n/a</v>
      </c>
      <c r="I137" s="165" t="str">
        <f t="shared" si="82"/>
        <v>n/a</v>
      </c>
      <c r="J137" s="165" t="str">
        <f t="shared" si="82"/>
        <v>n/a</v>
      </c>
      <c r="K137" s="165" t="str">
        <f t="shared" si="82"/>
        <v>n/a</v>
      </c>
      <c r="L137" s="165" t="str">
        <f t="shared" si="82"/>
        <v>n/a</v>
      </c>
      <c r="M137" s="165" t="str">
        <f t="shared" si="82"/>
        <v>n/a</v>
      </c>
      <c r="P137" s="74"/>
      <c r="Y137" s="13"/>
      <c r="Z137" s="25"/>
      <c r="AA137" s="130"/>
      <c r="AB137" s="131"/>
      <c r="AC137" s="131"/>
      <c r="AD137" s="132"/>
      <c r="AE137" s="133"/>
      <c r="AF137" s="74"/>
      <c r="AH137" s="12"/>
      <c r="AJ137" s="194"/>
      <c r="AK137" s="197"/>
      <c r="AL137" s="180"/>
      <c r="AM137" s="197"/>
      <c r="AN137" s="196"/>
      <c r="AP137" s="119"/>
      <c r="AQ137" s="161">
        <v>39</v>
      </c>
      <c r="AR137" s="159">
        <v>6.99</v>
      </c>
      <c r="AS137" s="159">
        <v>4.1787000000000001</v>
      </c>
      <c r="AT137" s="159">
        <v>666</v>
      </c>
      <c r="AU137" s="159">
        <v>992.6</v>
      </c>
      <c r="AV137" s="159">
        <v>163.27000000000001</v>
      </c>
      <c r="AW137" s="159">
        <v>4.3899999999999997</v>
      </c>
      <c r="AX137" s="159">
        <v>39</v>
      </c>
      <c r="AY137" s="74"/>
      <c r="BB137" s="90"/>
      <c r="BC137" s="97"/>
      <c r="BD137" s="87"/>
    </row>
    <row r="138" spans="1:56">
      <c r="A138" s="25"/>
      <c r="B138" s="16" t="s">
        <v>241</v>
      </c>
      <c r="C138" s="221"/>
      <c r="D138" s="165" t="e">
        <f t="shared" ref="D138:M138" si="83">0.25/(LOG(D127/1000/3.71/(D126/1000)+5.74/D136^0.9))^2/4</f>
        <v>#DIV/0!</v>
      </c>
      <c r="E138" s="165" t="e">
        <f t="shared" si="83"/>
        <v>#DIV/0!</v>
      </c>
      <c r="F138" s="166" t="e">
        <f t="shared" si="83"/>
        <v>#DIV/0!</v>
      </c>
      <c r="G138" s="166" t="e">
        <f t="shared" si="83"/>
        <v>#DIV/0!</v>
      </c>
      <c r="H138" s="166" t="e">
        <f t="shared" si="83"/>
        <v>#DIV/0!</v>
      </c>
      <c r="I138" s="166" t="e">
        <f t="shared" si="83"/>
        <v>#DIV/0!</v>
      </c>
      <c r="J138" s="166" t="e">
        <f t="shared" si="83"/>
        <v>#DIV/0!</v>
      </c>
      <c r="K138" s="166" t="e">
        <f t="shared" si="83"/>
        <v>#DIV/0!</v>
      </c>
      <c r="L138" s="166" t="e">
        <f t="shared" si="83"/>
        <v>#DIV/0!</v>
      </c>
      <c r="M138" s="166" t="e">
        <f t="shared" si="83"/>
        <v>#DIV/0!</v>
      </c>
      <c r="P138" s="74"/>
      <c r="Y138" s="13"/>
      <c r="Z138" s="25"/>
      <c r="AA138" s="130"/>
      <c r="AB138" s="131"/>
      <c r="AC138" s="131"/>
      <c r="AD138" s="132"/>
      <c r="AE138" s="133"/>
      <c r="AF138" s="74"/>
      <c r="AH138" s="12"/>
      <c r="AJ138" s="194"/>
      <c r="AK138" s="195"/>
      <c r="AL138" s="184"/>
      <c r="AM138" s="195"/>
      <c r="AN138" s="196"/>
      <c r="AP138" s="119"/>
      <c r="AQ138" s="161">
        <v>40</v>
      </c>
      <c r="AR138" s="159">
        <v>7.38</v>
      </c>
      <c r="AS138" s="159">
        <v>4.1790000000000003</v>
      </c>
      <c r="AT138" s="159">
        <v>653</v>
      </c>
      <c r="AU138" s="159">
        <v>992.2</v>
      </c>
      <c r="AV138" s="159">
        <v>167.45</v>
      </c>
      <c r="AW138" s="159">
        <v>4.3</v>
      </c>
      <c r="AX138" s="159">
        <v>40</v>
      </c>
      <c r="AY138" s="74"/>
      <c r="BB138" s="90"/>
      <c r="BC138" s="97"/>
      <c r="BD138" s="87"/>
    </row>
    <row r="139" spans="1:56">
      <c r="A139" s="25"/>
      <c r="B139" s="16" t="s">
        <v>243</v>
      </c>
      <c r="C139" s="221"/>
      <c r="D139" s="165" t="str">
        <f t="shared" ref="D139:M139" si="84">IF($AK$89="Clean Water / Sewage","n/a",16/D137)</f>
        <v>n/a</v>
      </c>
      <c r="E139" s="165" t="str">
        <f t="shared" si="84"/>
        <v>n/a</v>
      </c>
      <c r="F139" s="166" t="str">
        <f t="shared" si="84"/>
        <v>n/a</v>
      </c>
      <c r="G139" s="166" t="str">
        <f t="shared" si="84"/>
        <v>n/a</v>
      </c>
      <c r="H139" s="166" t="str">
        <f t="shared" si="84"/>
        <v>n/a</v>
      </c>
      <c r="I139" s="166" t="str">
        <f t="shared" si="84"/>
        <v>n/a</v>
      </c>
      <c r="J139" s="166" t="str">
        <f t="shared" si="84"/>
        <v>n/a</v>
      </c>
      <c r="K139" s="166" t="str">
        <f t="shared" si="84"/>
        <v>n/a</v>
      </c>
      <c r="L139" s="166" t="str">
        <f t="shared" si="84"/>
        <v>n/a</v>
      </c>
      <c r="M139" s="166" t="str">
        <f t="shared" si="84"/>
        <v>n/a</v>
      </c>
      <c r="P139" s="74"/>
      <c r="Y139" s="13"/>
      <c r="Z139" s="25"/>
      <c r="AA139" s="130"/>
      <c r="AB139" s="131"/>
      <c r="AC139" s="131"/>
      <c r="AD139" s="132"/>
      <c r="AE139" s="133"/>
      <c r="AF139" s="74"/>
      <c r="AH139" s="12"/>
      <c r="AJ139" s="12"/>
      <c r="AK139" s="12"/>
      <c r="AL139" s="12"/>
      <c r="AM139" s="12"/>
      <c r="AN139" s="12"/>
      <c r="AP139" s="119"/>
      <c r="AQ139" s="161">
        <v>41</v>
      </c>
      <c r="AR139" s="159">
        <v>7.78</v>
      </c>
      <c r="AS139" s="159">
        <v>4.1794000000000002</v>
      </c>
      <c r="AT139" s="159">
        <v>641</v>
      </c>
      <c r="AU139" s="159">
        <v>991.8</v>
      </c>
      <c r="AV139" s="159">
        <v>171.63</v>
      </c>
      <c r="AW139" s="159">
        <v>4.21</v>
      </c>
      <c r="AX139" s="159">
        <v>41</v>
      </c>
      <c r="AY139" s="74"/>
      <c r="BB139" s="90"/>
      <c r="BC139" s="97"/>
      <c r="BD139" s="87"/>
    </row>
    <row r="140" spans="1:56">
      <c r="A140" s="25"/>
      <c r="B140" s="16" t="s">
        <v>245</v>
      </c>
      <c r="C140" s="221"/>
      <c r="D140" s="165">
        <f t="shared" ref="D140:M140" si="85">IF(D126=0,0,IF($AK$89="Clean Water / Sewage",D138,IF(D137&lt;2300,D139,IF(D137&gt;4000,D138,IF(D139&gt;D138,D139,D138)))))</f>
        <v>0</v>
      </c>
      <c r="E140" s="165">
        <f t="shared" si="85"/>
        <v>0</v>
      </c>
      <c r="F140" s="166">
        <f t="shared" si="85"/>
        <v>0</v>
      </c>
      <c r="G140" s="166">
        <f t="shared" si="85"/>
        <v>0</v>
      </c>
      <c r="H140" s="166">
        <f t="shared" si="85"/>
        <v>0</v>
      </c>
      <c r="I140" s="166">
        <f t="shared" si="85"/>
        <v>0</v>
      </c>
      <c r="J140" s="166">
        <f t="shared" si="85"/>
        <v>0</v>
      </c>
      <c r="K140" s="166">
        <f t="shared" si="85"/>
        <v>0</v>
      </c>
      <c r="L140" s="166">
        <f t="shared" si="85"/>
        <v>0</v>
      </c>
      <c r="M140" s="166">
        <f t="shared" si="85"/>
        <v>0</v>
      </c>
      <c r="P140" s="74"/>
      <c r="X140" s="12"/>
      <c r="Z140" s="25"/>
      <c r="AA140" s="130"/>
      <c r="AB140" s="131"/>
      <c r="AC140" s="131"/>
      <c r="AD140" s="132"/>
      <c r="AE140" s="133"/>
      <c r="AF140" s="117"/>
      <c r="AH140" s="12"/>
      <c r="AJ140" s="12"/>
      <c r="AK140" s="12"/>
      <c r="AL140" s="12"/>
      <c r="AM140" s="12"/>
      <c r="AN140" s="12"/>
      <c r="AP140" s="119"/>
      <c r="AQ140" s="161">
        <v>42</v>
      </c>
      <c r="AR140" s="159">
        <v>8.1999999999999993</v>
      </c>
      <c r="AS140" s="159">
        <v>4.1798000000000002</v>
      </c>
      <c r="AT140" s="159">
        <v>629</v>
      </c>
      <c r="AU140" s="159">
        <v>991.4</v>
      </c>
      <c r="AV140" s="159">
        <v>175.81</v>
      </c>
      <c r="AW140" s="159">
        <v>4.13</v>
      </c>
      <c r="AX140" s="159">
        <v>42</v>
      </c>
      <c r="AY140" s="74"/>
      <c r="BB140" s="90"/>
      <c r="BC140" s="97"/>
      <c r="BD140" s="87"/>
    </row>
    <row r="141" spans="1:56">
      <c r="A141" s="25"/>
      <c r="B141" s="16" t="s">
        <v>246</v>
      </c>
      <c r="C141" s="221"/>
      <c r="D141" s="165" t="str">
        <f t="shared" ref="D141:M141" si="86">IF($AK$89="Clean Water / Sewage","n/a",1+2000/D137)</f>
        <v>n/a</v>
      </c>
      <c r="E141" s="165" t="str">
        <f t="shared" si="86"/>
        <v>n/a</v>
      </c>
      <c r="F141" s="166" t="str">
        <f t="shared" si="86"/>
        <v>n/a</v>
      </c>
      <c r="G141" s="166" t="str">
        <f t="shared" si="86"/>
        <v>n/a</v>
      </c>
      <c r="H141" s="166" t="str">
        <f t="shared" si="86"/>
        <v>n/a</v>
      </c>
      <c r="I141" s="166" t="str">
        <f t="shared" si="86"/>
        <v>n/a</v>
      </c>
      <c r="J141" s="166" t="str">
        <f t="shared" si="86"/>
        <v>n/a</v>
      </c>
      <c r="K141" s="166" t="str">
        <f t="shared" si="86"/>
        <v>n/a</v>
      </c>
      <c r="L141" s="166" t="str">
        <f t="shared" si="86"/>
        <v>n/a</v>
      </c>
      <c r="M141" s="166" t="str">
        <f t="shared" si="86"/>
        <v>n/a</v>
      </c>
      <c r="P141" s="74"/>
      <c r="X141" s="12"/>
      <c r="Z141" s="25"/>
      <c r="AA141" s="130"/>
      <c r="AB141" s="131"/>
      <c r="AC141" s="131"/>
      <c r="AD141" s="132"/>
      <c r="AE141" s="133"/>
      <c r="AF141" s="117"/>
      <c r="AH141" s="12"/>
      <c r="AJ141" s="12"/>
      <c r="AK141" s="12"/>
      <c r="AL141" s="12"/>
      <c r="AM141" s="12"/>
      <c r="AN141" s="12"/>
      <c r="AP141" s="119"/>
      <c r="AQ141" s="161">
        <v>43</v>
      </c>
      <c r="AR141" s="159">
        <v>8.64</v>
      </c>
      <c r="AS141" s="159">
        <v>4.1802000000000001</v>
      </c>
      <c r="AT141" s="159">
        <v>618</v>
      </c>
      <c r="AU141" s="159">
        <v>991</v>
      </c>
      <c r="AV141" s="159">
        <v>179.99</v>
      </c>
      <c r="AW141" s="159">
        <v>4.05</v>
      </c>
      <c r="AX141" s="159">
        <v>43</v>
      </c>
      <c r="AY141" s="74"/>
      <c r="BB141" s="90"/>
      <c r="BC141" s="97"/>
      <c r="BD141" s="87"/>
    </row>
    <row r="142" spans="1:56">
      <c r="A142" s="25"/>
      <c r="B142" s="16" t="s">
        <v>248</v>
      </c>
      <c r="C142" s="221" t="s">
        <v>89</v>
      </c>
      <c r="D142" s="165">
        <f t="shared" ref="D142:M142" si="87">IF(D126=0,0,2*D140*D128/(D126/1000)*D131^2/9.81+IF($AK$89="Clean Water / Sewage",D129*D131^2/2/9.81,D141*D129*D131^2/2/9.81))</f>
        <v>0</v>
      </c>
      <c r="E142" s="165">
        <f t="shared" si="87"/>
        <v>0</v>
      </c>
      <c r="F142" s="166">
        <f t="shared" si="87"/>
        <v>0</v>
      </c>
      <c r="G142" s="166">
        <f t="shared" si="87"/>
        <v>0</v>
      </c>
      <c r="H142" s="166">
        <f t="shared" si="87"/>
        <v>0</v>
      </c>
      <c r="I142" s="166">
        <f t="shared" si="87"/>
        <v>0</v>
      </c>
      <c r="J142" s="166">
        <f t="shared" si="87"/>
        <v>0</v>
      </c>
      <c r="K142" s="166">
        <f t="shared" si="87"/>
        <v>0</v>
      </c>
      <c r="L142" s="166">
        <f t="shared" si="87"/>
        <v>0</v>
      </c>
      <c r="M142" s="166">
        <f t="shared" si="87"/>
        <v>0</v>
      </c>
      <c r="O142" s="166">
        <f>SUM(D142:N142)</f>
        <v>0</v>
      </c>
      <c r="P142" s="74"/>
      <c r="X142" s="12"/>
      <c r="Z142" s="25"/>
      <c r="AA142" s="130"/>
      <c r="AB142" s="131"/>
      <c r="AC142" s="131"/>
      <c r="AD142" s="132"/>
      <c r="AE142" s="133"/>
      <c r="AF142" s="117"/>
      <c r="AH142" s="12"/>
      <c r="AJ142" s="12"/>
      <c r="AK142" s="12"/>
      <c r="AL142" s="12"/>
      <c r="AM142" s="12"/>
      <c r="AN142" s="12"/>
      <c r="AP142" s="119"/>
      <c r="AQ142" s="161">
        <v>44</v>
      </c>
      <c r="AR142" s="159">
        <v>9.1</v>
      </c>
      <c r="AS142" s="159">
        <v>4.1806000000000001</v>
      </c>
      <c r="AT142" s="159">
        <v>606</v>
      </c>
      <c r="AU142" s="159">
        <v>990.6</v>
      </c>
      <c r="AV142" s="159">
        <v>184.17</v>
      </c>
      <c r="AW142" s="159">
        <v>3.97</v>
      </c>
      <c r="AX142" s="159">
        <v>44</v>
      </c>
      <c r="AY142" s="74"/>
      <c r="BB142" s="90"/>
      <c r="BC142" s="97"/>
      <c r="BD142" s="87"/>
    </row>
    <row r="143" spans="1:56">
      <c r="A143" s="25"/>
      <c r="B143" s="16" t="s">
        <v>248</v>
      </c>
      <c r="C143" s="221" t="s">
        <v>250</v>
      </c>
      <c r="D143" s="165">
        <f>D142*D$92*9.81/100000</f>
        <v>0</v>
      </c>
      <c r="E143" s="165">
        <f t="shared" ref="E143:M143" si="88">E142*E$92*9.81/100000</f>
        <v>0</v>
      </c>
      <c r="F143" s="165">
        <f t="shared" si="88"/>
        <v>0</v>
      </c>
      <c r="G143" s="165">
        <f t="shared" si="88"/>
        <v>0</v>
      </c>
      <c r="H143" s="165">
        <f t="shared" si="88"/>
        <v>0</v>
      </c>
      <c r="I143" s="165">
        <f t="shared" si="88"/>
        <v>0</v>
      </c>
      <c r="J143" s="165">
        <f t="shared" si="88"/>
        <v>0</v>
      </c>
      <c r="K143" s="165">
        <f t="shared" si="88"/>
        <v>0</v>
      </c>
      <c r="L143" s="165">
        <f t="shared" si="88"/>
        <v>0</v>
      </c>
      <c r="M143" s="165">
        <f t="shared" si="88"/>
        <v>0</v>
      </c>
      <c r="O143" s="166">
        <f>SUM(D143:N143)</f>
        <v>0</v>
      </c>
      <c r="P143" s="74"/>
      <c r="X143" s="12"/>
      <c r="Z143" s="25"/>
      <c r="AA143" s="130"/>
      <c r="AB143" s="131"/>
      <c r="AC143" s="131"/>
      <c r="AD143" s="132"/>
      <c r="AE143" s="133"/>
      <c r="AF143" s="117"/>
      <c r="AH143" s="12"/>
      <c r="AJ143" s="12"/>
      <c r="AK143" s="12"/>
      <c r="AL143" s="12"/>
      <c r="AM143" s="12"/>
      <c r="AN143" s="12"/>
      <c r="AP143" s="119"/>
      <c r="AQ143" s="161">
        <v>45</v>
      </c>
      <c r="AR143" s="159">
        <v>9.58</v>
      </c>
      <c r="AS143" s="159">
        <v>4.181</v>
      </c>
      <c r="AT143" s="159">
        <v>596</v>
      </c>
      <c r="AU143" s="159">
        <v>990.2</v>
      </c>
      <c r="AV143" s="159">
        <v>188.35</v>
      </c>
      <c r="AW143" s="159">
        <v>3.89</v>
      </c>
      <c r="AX143" s="159">
        <v>45</v>
      </c>
      <c r="AY143" s="74"/>
      <c r="BB143" s="90"/>
      <c r="BC143" s="97"/>
      <c r="BD143" s="87"/>
    </row>
    <row r="144" spans="1:56">
      <c r="A144" s="25"/>
      <c r="E144" s="12"/>
      <c r="F144" s="12"/>
      <c r="P144" s="74"/>
      <c r="X144" s="12"/>
      <c r="Z144" s="25"/>
      <c r="AA144" s="130"/>
      <c r="AB144" s="131"/>
      <c r="AC144" s="131"/>
      <c r="AD144" s="132"/>
      <c r="AE144" s="133"/>
      <c r="AF144" s="117"/>
      <c r="AH144" s="12"/>
      <c r="AI144" s="12"/>
      <c r="AJ144" s="12"/>
      <c r="AK144" s="12"/>
      <c r="AL144" s="12"/>
      <c r="AM144" s="12"/>
      <c r="AN144" s="12"/>
      <c r="AP144" s="119"/>
      <c r="AQ144" s="161">
        <v>46</v>
      </c>
      <c r="AR144" s="159">
        <v>10.09</v>
      </c>
      <c r="AS144" s="159">
        <v>4.1811999999999996</v>
      </c>
      <c r="AT144" s="159">
        <v>586</v>
      </c>
      <c r="AU144" s="159">
        <v>989.8</v>
      </c>
      <c r="AV144" s="159">
        <v>192.53</v>
      </c>
      <c r="AW144" s="159">
        <v>3.81</v>
      </c>
      <c r="AX144" s="159">
        <v>46</v>
      </c>
      <c r="AY144" s="74"/>
      <c r="BB144" s="90"/>
      <c r="BC144" s="97"/>
      <c r="BD144" s="87"/>
    </row>
    <row r="145" spans="1:56">
      <c r="A145" s="25"/>
      <c r="B145" s="16" t="s">
        <v>215</v>
      </c>
      <c r="C145" s="221" t="s">
        <v>53</v>
      </c>
      <c r="D145" s="165">
        <f>C54</f>
        <v>0</v>
      </c>
      <c r="E145" s="12"/>
      <c r="F145" s="12"/>
      <c r="P145" s="74"/>
      <c r="X145" s="12"/>
      <c r="Z145" s="25"/>
      <c r="AA145" s="130"/>
      <c r="AB145" s="131"/>
      <c r="AC145" s="131"/>
      <c r="AD145" s="132"/>
      <c r="AE145" s="133"/>
      <c r="AF145" s="117"/>
      <c r="AH145" s="12"/>
      <c r="AI145" s="12"/>
      <c r="AJ145" s="12"/>
      <c r="AK145" s="12"/>
      <c r="AL145" s="12"/>
      <c r="AM145" s="12"/>
      <c r="AN145" s="12"/>
      <c r="AP145" s="119"/>
      <c r="AQ145" s="161">
        <v>47</v>
      </c>
      <c r="AR145" s="159">
        <v>10.61</v>
      </c>
      <c r="AS145" s="159">
        <v>4.1814999999999998</v>
      </c>
      <c r="AT145" s="159">
        <v>576</v>
      </c>
      <c r="AU145" s="159">
        <v>989.3</v>
      </c>
      <c r="AV145" s="159">
        <v>196.71</v>
      </c>
      <c r="AW145" s="159">
        <v>3.74</v>
      </c>
      <c r="AX145" s="159">
        <v>47</v>
      </c>
      <c r="AY145" s="74"/>
      <c r="BB145" s="90"/>
      <c r="BC145" s="97"/>
      <c r="BD145" s="87"/>
    </row>
    <row r="146" spans="1:56">
      <c r="A146" s="25"/>
      <c r="B146" s="16" t="s">
        <v>217</v>
      </c>
      <c r="C146" s="221" t="s">
        <v>87</v>
      </c>
      <c r="D146" s="165">
        <f t="shared" ref="D146:M146" si="89">D$18</f>
        <v>0</v>
      </c>
      <c r="E146" s="165">
        <f t="shared" si="89"/>
        <v>0</v>
      </c>
      <c r="F146" s="166">
        <f t="shared" si="89"/>
        <v>0</v>
      </c>
      <c r="G146" s="166">
        <f t="shared" si="89"/>
        <v>0</v>
      </c>
      <c r="H146" s="166">
        <f t="shared" si="89"/>
        <v>0</v>
      </c>
      <c r="I146" s="166">
        <f t="shared" si="89"/>
        <v>0</v>
      </c>
      <c r="J146" s="166">
        <f t="shared" si="89"/>
        <v>0</v>
      </c>
      <c r="K146" s="166">
        <f t="shared" si="89"/>
        <v>0</v>
      </c>
      <c r="L146" s="166">
        <f t="shared" si="89"/>
        <v>0</v>
      </c>
      <c r="M146" s="166">
        <f t="shared" si="89"/>
        <v>0</v>
      </c>
      <c r="P146" s="74"/>
      <c r="Z146" s="25"/>
      <c r="AA146" s="130"/>
      <c r="AB146" s="131"/>
      <c r="AC146" s="131"/>
      <c r="AD146" s="132"/>
      <c r="AE146" s="133"/>
      <c r="AF146" s="117"/>
      <c r="AH146" s="12"/>
      <c r="AI146" s="12"/>
      <c r="AJ146" s="12"/>
      <c r="AK146" s="12"/>
      <c r="AL146" s="12"/>
      <c r="AM146" s="12"/>
      <c r="AN146" s="12"/>
      <c r="AP146" s="119"/>
      <c r="AQ146" s="161">
        <v>48</v>
      </c>
      <c r="AR146" s="159">
        <v>11.16</v>
      </c>
      <c r="AS146" s="159">
        <v>4.1817000000000002</v>
      </c>
      <c r="AT146" s="159">
        <v>566</v>
      </c>
      <c r="AU146" s="159">
        <v>988.9</v>
      </c>
      <c r="AV146" s="159">
        <v>200.9</v>
      </c>
      <c r="AW146" s="159">
        <v>3.67</v>
      </c>
      <c r="AX146" s="159">
        <v>48</v>
      </c>
      <c r="AY146" s="74"/>
      <c r="BB146" s="90"/>
      <c r="BC146" s="97"/>
      <c r="BD146" s="87"/>
    </row>
    <row r="147" spans="1:56">
      <c r="A147" s="25"/>
      <c r="B147" s="16" t="s">
        <v>218</v>
      </c>
      <c r="C147" s="221" t="s">
        <v>87</v>
      </c>
      <c r="D147" s="165">
        <f t="shared" ref="D147:M147" si="90">D$20</f>
        <v>0</v>
      </c>
      <c r="E147" s="165">
        <f t="shared" si="90"/>
        <v>0</v>
      </c>
      <c r="F147" s="166">
        <f t="shared" si="90"/>
        <v>0</v>
      </c>
      <c r="G147" s="166">
        <f t="shared" si="90"/>
        <v>0</v>
      </c>
      <c r="H147" s="166">
        <f t="shared" si="90"/>
        <v>0</v>
      </c>
      <c r="I147" s="166">
        <f t="shared" si="90"/>
        <v>0</v>
      </c>
      <c r="J147" s="166">
        <f t="shared" si="90"/>
        <v>0</v>
      </c>
      <c r="K147" s="166">
        <f t="shared" si="90"/>
        <v>0</v>
      </c>
      <c r="L147" s="166">
        <f t="shared" si="90"/>
        <v>0</v>
      </c>
      <c r="M147" s="166">
        <f t="shared" si="90"/>
        <v>0</v>
      </c>
      <c r="P147" s="74"/>
      <c r="Z147" s="25"/>
      <c r="AA147" s="130"/>
      <c r="AB147" s="131"/>
      <c r="AC147" s="131"/>
      <c r="AD147" s="132"/>
      <c r="AE147" s="133"/>
      <c r="AF147" s="117"/>
      <c r="AH147" s="12"/>
      <c r="AI147" s="12"/>
      <c r="AJ147" s="12"/>
      <c r="AK147" s="12"/>
      <c r="AL147" s="12"/>
      <c r="AM147" s="12"/>
      <c r="AN147" s="12"/>
      <c r="AP147" s="119"/>
      <c r="AQ147" s="161">
        <v>49</v>
      </c>
      <c r="AR147" s="159">
        <v>11.74</v>
      </c>
      <c r="AS147" s="159">
        <v>4.1818</v>
      </c>
      <c r="AT147" s="159">
        <v>556</v>
      </c>
      <c r="AU147" s="159">
        <v>988.5</v>
      </c>
      <c r="AV147" s="159">
        <v>205.08</v>
      </c>
      <c r="AW147" s="159">
        <v>3.6</v>
      </c>
      <c r="AX147" s="159">
        <v>49</v>
      </c>
      <c r="AY147" s="74"/>
      <c r="BB147" s="90"/>
      <c r="BC147" s="97"/>
      <c r="BD147" s="87"/>
    </row>
    <row r="148" spans="1:56">
      <c r="A148" s="25"/>
      <c r="B148" s="16" t="s">
        <v>220</v>
      </c>
      <c r="C148" s="221" t="s">
        <v>87</v>
      </c>
      <c r="D148" s="165">
        <f t="shared" ref="D148:M148" si="91">D$19</f>
        <v>0</v>
      </c>
      <c r="E148" s="165">
        <f t="shared" si="91"/>
        <v>0</v>
      </c>
      <c r="F148" s="166">
        <f t="shared" si="91"/>
        <v>0</v>
      </c>
      <c r="G148" s="166">
        <f t="shared" si="91"/>
        <v>0</v>
      </c>
      <c r="H148" s="166">
        <f t="shared" si="91"/>
        <v>0</v>
      </c>
      <c r="I148" s="166">
        <f t="shared" si="91"/>
        <v>0</v>
      </c>
      <c r="J148" s="166">
        <f t="shared" si="91"/>
        <v>0</v>
      </c>
      <c r="K148" s="166">
        <f t="shared" si="91"/>
        <v>0</v>
      </c>
      <c r="L148" s="166">
        <f t="shared" si="91"/>
        <v>0</v>
      </c>
      <c r="M148" s="166">
        <f t="shared" si="91"/>
        <v>0</v>
      </c>
      <c r="P148" s="74"/>
      <c r="Z148" s="25"/>
      <c r="AA148" s="130"/>
      <c r="AB148" s="131"/>
      <c r="AC148" s="131"/>
      <c r="AD148" s="132"/>
      <c r="AE148" s="133"/>
      <c r="AF148" s="117"/>
      <c r="AH148" s="12"/>
      <c r="AI148" s="12"/>
      <c r="AJ148" s="12"/>
      <c r="AK148" s="12"/>
      <c r="AL148" s="12"/>
      <c r="AM148" s="12"/>
      <c r="AN148" s="12"/>
      <c r="AP148" s="119"/>
      <c r="AQ148" s="161">
        <v>50</v>
      </c>
      <c r="AR148" s="159">
        <v>12.33</v>
      </c>
      <c r="AS148" s="159">
        <v>4.1820000000000004</v>
      </c>
      <c r="AT148" s="159">
        <v>547</v>
      </c>
      <c r="AU148" s="159">
        <v>988</v>
      </c>
      <c r="AV148" s="159">
        <v>209.26</v>
      </c>
      <c r="AW148" s="159">
        <v>3.53</v>
      </c>
      <c r="AX148" s="159">
        <v>50</v>
      </c>
      <c r="AY148" s="74"/>
      <c r="BB148" s="90"/>
      <c r="BC148" s="97"/>
      <c r="BD148" s="87"/>
    </row>
    <row r="149" spans="1:56">
      <c r="A149" s="25"/>
      <c r="B149" s="16" t="s">
        <v>221</v>
      </c>
      <c r="C149" s="221"/>
      <c r="D149" s="165">
        <f t="shared" ref="D149:M149" si="92">D$44</f>
        <v>0</v>
      </c>
      <c r="E149" s="165">
        <f t="shared" si="92"/>
        <v>0</v>
      </c>
      <c r="F149" s="166">
        <f t="shared" si="92"/>
        <v>0</v>
      </c>
      <c r="G149" s="166">
        <f t="shared" si="92"/>
        <v>0</v>
      </c>
      <c r="H149" s="166">
        <f t="shared" si="92"/>
        <v>0</v>
      </c>
      <c r="I149" s="166">
        <f t="shared" si="92"/>
        <v>0</v>
      </c>
      <c r="J149" s="166">
        <f t="shared" si="92"/>
        <v>0</v>
      </c>
      <c r="K149" s="166">
        <f t="shared" si="92"/>
        <v>0</v>
      </c>
      <c r="L149" s="166">
        <f t="shared" si="92"/>
        <v>0</v>
      </c>
      <c r="M149" s="166">
        <f t="shared" si="92"/>
        <v>0</v>
      </c>
      <c r="P149" s="74"/>
      <c r="Z149" s="25"/>
      <c r="AA149" s="130"/>
      <c r="AB149" s="131"/>
      <c r="AC149" s="131"/>
      <c r="AD149" s="132"/>
      <c r="AE149" s="133"/>
      <c r="AF149" s="117"/>
      <c r="AH149" s="12"/>
      <c r="AI149" s="12"/>
      <c r="AJ149" s="12"/>
      <c r="AK149" s="12"/>
      <c r="AL149" s="12"/>
      <c r="AM149" s="12"/>
      <c r="AN149" s="12"/>
      <c r="AP149" s="119"/>
      <c r="AQ149" s="161">
        <v>51</v>
      </c>
      <c r="AR149" s="159">
        <v>12.96</v>
      </c>
      <c r="AS149" s="159">
        <v>4.1821999999999999</v>
      </c>
      <c r="AT149" s="159">
        <v>538</v>
      </c>
      <c r="AU149" s="159">
        <v>987.6</v>
      </c>
      <c r="AV149" s="159">
        <v>213.44</v>
      </c>
      <c r="AW149" s="159">
        <v>3.47</v>
      </c>
      <c r="AX149" s="159">
        <v>51</v>
      </c>
      <c r="AY149" s="74"/>
      <c r="BB149" s="90"/>
      <c r="BC149" s="97"/>
      <c r="BD149" s="87"/>
    </row>
    <row r="150" spans="1:56">
      <c r="A150" s="25"/>
      <c r="B150" s="16" t="s">
        <v>91</v>
      </c>
      <c r="C150" s="221" t="s">
        <v>223</v>
      </c>
      <c r="D150" s="165">
        <f t="shared" ref="D150:M150" si="93">D$21</f>
        <v>0</v>
      </c>
      <c r="E150" s="165">
        <f t="shared" si="93"/>
        <v>0</v>
      </c>
      <c r="F150" s="166">
        <f t="shared" si="93"/>
        <v>0</v>
      </c>
      <c r="G150" s="166">
        <f t="shared" si="93"/>
        <v>0</v>
      </c>
      <c r="H150" s="166">
        <f t="shared" si="93"/>
        <v>0</v>
      </c>
      <c r="I150" s="166">
        <f t="shared" si="93"/>
        <v>0</v>
      </c>
      <c r="J150" s="166">
        <f t="shared" si="93"/>
        <v>0</v>
      </c>
      <c r="K150" s="166">
        <f t="shared" si="93"/>
        <v>0</v>
      </c>
      <c r="L150" s="166">
        <f t="shared" si="93"/>
        <v>0</v>
      </c>
      <c r="M150" s="166">
        <f t="shared" si="93"/>
        <v>0</v>
      </c>
      <c r="P150" s="74"/>
      <c r="Z150" s="25"/>
      <c r="AA150" s="130"/>
      <c r="AB150" s="131"/>
      <c r="AC150" s="131"/>
      <c r="AD150" s="132"/>
      <c r="AE150" s="133"/>
      <c r="AF150" s="117"/>
      <c r="AH150" s="12"/>
      <c r="AI150" s="12"/>
      <c r="AJ150" s="12"/>
      <c r="AK150" s="12"/>
      <c r="AL150" s="12"/>
      <c r="AM150" s="12"/>
      <c r="AN150" s="12"/>
      <c r="AP150" s="119"/>
      <c r="AQ150" s="161">
        <v>52</v>
      </c>
      <c r="AR150" s="159">
        <v>13.61</v>
      </c>
      <c r="AS150" s="159">
        <v>4.1822999999999997</v>
      </c>
      <c r="AT150" s="159">
        <v>529</v>
      </c>
      <c r="AU150" s="159">
        <v>987.2</v>
      </c>
      <c r="AV150" s="159">
        <v>217.62</v>
      </c>
      <c r="AW150" s="159">
        <v>3.4</v>
      </c>
      <c r="AX150" s="159">
        <v>52</v>
      </c>
      <c r="AY150" s="74"/>
      <c r="BB150" s="90"/>
      <c r="BC150" s="97"/>
      <c r="BD150" s="87"/>
    </row>
    <row r="151" spans="1:56">
      <c r="A151" s="25"/>
      <c r="B151" s="16" t="s">
        <v>226</v>
      </c>
      <c r="C151" s="221" t="s">
        <v>94</v>
      </c>
      <c r="D151" s="165" t="e">
        <f t="shared" ref="D151:M151" si="94">D$171*$D145/$D$165</f>
        <v>#VALUE!</v>
      </c>
      <c r="E151" s="165" t="e">
        <f t="shared" si="94"/>
        <v>#VALUE!</v>
      </c>
      <c r="F151" s="166" t="e">
        <f t="shared" si="94"/>
        <v>#VALUE!</v>
      </c>
      <c r="G151" s="166" t="e">
        <f t="shared" si="94"/>
        <v>#VALUE!</v>
      </c>
      <c r="H151" s="166" t="e">
        <f t="shared" si="94"/>
        <v>#VALUE!</v>
      </c>
      <c r="I151" s="166" t="e">
        <f t="shared" si="94"/>
        <v>#VALUE!</v>
      </c>
      <c r="J151" s="166" t="e">
        <f t="shared" si="94"/>
        <v>#VALUE!</v>
      </c>
      <c r="K151" s="166" t="e">
        <f t="shared" si="94"/>
        <v>#VALUE!</v>
      </c>
      <c r="L151" s="166" t="e">
        <f t="shared" si="94"/>
        <v>#VALUE!</v>
      </c>
      <c r="M151" s="166" t="e">
        <f t="shared" si="94"/>
        <v>#VALUE!</v>
      </c>
      <c r="P151" s="74"/>
      <c r="Z151" s="25"/>
      <c r="AA151" s="130"/>
      <c r="AB151" s="131"/>
      <c r="AC151" s="131"/>
      <c r="AD151" s="132"/>
      <c r="AE151" s="133"/>
      <c r="AF151" s="117"/>
      <c r="AH151" s="12"/>
      <c r="AI151" s="12"/>
      <c r="AJ151" s="12"/>
      <c r="AK151" s="12"/>
      <c r="AL151" s="12"/>
      <c r="AM151" s="12"/>
      <c r="AN151" s="12"/>
      <c r="AP151" s="119"/>
      <c r="AQ151" s="161">
        <v>53</v>
      </c>
      <c r="AR151" s="159">
        <v>14.29</v>
      </c>
      <c r="AS151" s="159">
        <v>4.1825000000000001</v>
      </c>
      <c r="AT151" s="159">
        <v>521</v>
      </c>
      <c r="AU151" s="159">
        <v>986.7</v>
      </c>
      <c r="AV151" s="159">
        <v>221.81</v>
      </c>
      <c r="AW151" s="159">
        <v>3.35</v>
      </c>
      <c r="AX151" s="159">
        <v>53</v>
      </c>
      <c r="AY151" s="74"/>
      <c r="BB151" s="90"/>
      <c r="BC151" s="97"/>
      <c r="BD151" s="87"/>
    </row>
    <row r="152" spans="1:56" ht="14.25">
      <c r="A152" s="25"/>
      <c r="B152" s="16" t="s">
        <v>228</v>
      </c>
      <c r="C152" s="221" t="s">
        <v>229</v>
      </c>
      <c r="D152" s="165">
        <f t="shared" ref="D152:M152" si="95">IF(D$21="",0.000001,VLOOKUP(D150,$AQ$98:$AX$198,4,FALSE)/VLOOKUP(D150,$AQ$98:$AX$198,5,FALSE)/1000000)</f>
        <v>9.9999999999999995E-7</v>
      </c>
      <c r="E152" s="165">
        <f t="shared" si="95"/>
        <v>9.9999999999999995E-7</v>
      </c>
      <c r="F152" s="165">
        <f t="shared" si="95"/>
        <v>9.9999999999999995E-7</v>
      </c>
      <c r="G152" s="165">
        <f t="shared" si="95"/>
        <v>9.9999999999999995E-7</v>
      </c>
      <c r="H152" s="165">
        <f t="shared" si="95"/>
        <v>9.9999999999999995E-7</v>
      </c>
      <c r="I152" s="165">
        <f t="shared" si="95"/>
        <v>9.9999999999999995E-7</v>
      </c>
      <c r="J152" s="165">
        <f t="shared" si="95"/>
        <v>9.9999999999999995E-7</v>
      </c>
      <c r="K152" s="165">
        <f t="shared" si="95"/>
        <v>9.9999999999999995E-7</v>
      </c>
      <c r="L152" s="165">
        <f t="shared" si="95"/>
        <v>9.9999999999999995E-7</v>
      </c>
      <c r="M152" s="165">
        <f t="shared" si="95"/>
        <v>9.9999999999999995E-7</v>
      </c>
      <c r="P152" s="74"/>
      <c r="Z152" s="25"/>
      <c r="AA152" s="130"/>
      <c r="AB152" s="131"/>
      <c r="AC152" s="131"/>
      <c r="AD152" s="132"/>
      <c r="AE152" s="133"/>
      <c r="AF152" s="117"/>
      <c r="AH152" s="12"/>
      <c r="AI152" s="12"/>
      <c r="AJ152" s="12"/>
      <c r="AK152" s="12"/>
      <c r="AL152" s="12"/>
      <c r="AM152" s="12"/>
      <c r="AN152" s="12"/>
      <c r="AP152" s="119"/>
      <c r="AQ152" s="161">
        <v>54</v>
      </c>
      <c r="AR152" s="159">
        <v>15</v>
      </c>
      <c r="AS152" s="159">
        <v>4.1828000000000003</v>
      </c>
      <c r="AT152" s="159">
        <v>512</v>
      </c>
      <c r="AU152" s="159">
        <v>986.2</v>
      </c>
      <c r="AV152" s="159">
        <v>225.99</v>
      </c>
      <c r="AW152" s="159">
        <v>3.29</v>
      </c>
      <c r="AX152" s="159">
        <v>54</v>
      </c>
      <c r="AY152" s="74"/>
      <c r="BB152" s="90"/>
      <c r="BC152" s="97"/>
      <c r="BD152" s="87"/>
    </row>
    <row r="153" spans="1:56" ht="14.25">
      <c r="A153" s="25"/>
      <c r="B153" s="16" t="s">
        <v>231</v>
      </c>
      <c r="C153" s="221" t="s">
        <v>232</v>
      </c>
      <c r="D153" s="165" t="str">
        <f t="shared" ref="D153:M153" si="96">IF($AK$89="Clean Water / Sewage","n/a",VLOOKUP($AK$89,$AI$104:$AM$109,$AM$94,FALSE)*(D$91^VLOOKUP($AK$89,$AI$104:$AM$109,5,FALSE))*EXP(1848/(273+D150)-1848/283))</f>
        <v>n/a</v>
      </c>
      <c r="E153" s="165" t="str">
        <f t="shared" si="96"/>
        <v>n/a</v>
      </c>
      <c r="F153" s="165" t="str">
        <f t="shared" si="96"/>
        <v>n/a</v>
      </c>
      <c r="G153" s="165" t="str">
        <f t="shared" si="96"/>
        <v>n/a</v>
      </c>
      <c r="H153" s="165" t="str">
        <f t="shared" si="96"/>
        <v>n/a</v>
      </c>
      <c r="I153" s="165" t="str">
        <f t="shared" si="96"/>
        <v>n/a</v>
      </c>
      <c r="J153" s="165" t="str">
        <f t="shared" si="96"/>
        <v>n/a</v>
      </c>
      <c r="K153" s="165" t="str">
        <f t="shared" si="96"/>
        <v>n/a</v>
      </c>
      <c r="L153" s="165" t="str">
        <f t="shared" si="96"/>
        <v>n/a</v>
      </c>
      <c r="M153" s="165" t="str">
        <f t="shared" si="96"/>
        <v>n/a</v>
      </c>
      <c r="P153" s="74"/>
      <c r="Z153" s="25"/>
      <c r="AA153" s="130"/>
      <c r="AB153" s="131"/>
      <c r="AC153" s="131"/>
      <c r="AD153" s="132"/>
      <c r="AE153" s="133"/>
      <c r="AF153" s="117"/>
      <c r="AH153" s="12"/>
      <c r="AI153" s="12"/>
      <c r="AJ153" s="12"/>
      <c r="AK153" s="12"/>
      <c r="AL153" s="12"/>
      <c r="AM153" s="12"/>
      <c r="AN153" s="12"/>
      <c r="AP153" s="119"/>
      <c r="AQ153" s="161">
        <v>55</v>
      </c>
      <c r="AR153" s="159">
        <v>15.74</v>
      </c>
      <c r="AS153" s="159">
        <v>4.1829999999999998</v>
      </c>
      <c r="AT153" s="159">
        <v>504</v>
      </c>
      <c r="AU153" s="159">
        <v>985.7</v>
      </c>
      <c r="AV153" s="159">
        <v>230.17</v>
      </c>
      <c r="AW153" s="159">
        <v>3.23</v>
      </c>
      <c r="AX153" s="159">
        <v>55</v>
      </c>
      <c r="AY153" s="74"/>
      <c r="BB153" s="90"/>
      <c r="BC153" s="97"/>
      <c r="BD153" s="87"/>
    </row>
    <row r="154" spans="1:56">
      <c r="A154" s="25"/>
      <c r="B154" s="16" t="s">
        <v>234</v>
      </c>
      <c r="C154" s="221"/>
      <c r="D154" s="165" t="str">
        <f t="shared" ref="D154:M154" si="97">IF($AK$89="Clean Water / Sewage","n/a",VLOOKUP($AK$89,$AI$97:$AM$102,$AM$94,FALSE)*(D$91^VLOOKUP($AK$89,$AI$97:$AM$102,5,FALSE)))</f>
        <v>n/a</v>
      </c>
      <c r="E154" s="165" t="str">
        <f t="shared" si="97"/>
        <v>n/a</v>
      </c>
      <c r="F154" s="165" t="str">
        <f t="shared" si="97"/>
        <v>n/a</v>
      </c>
      <c r="G154" s="165" t="str">
        <f t="shared" si="97"/>
        <v>n/a</v>
      </c>
      <c r="H154" s="165" t="str">
        <f t="shared" si="97"/>
        <v>n/a</v>
      </c>
      <c r="I154" s="165" t="str">
        <f t="shared" si="97"/>
        <v>n/a</v>
      </c>
      <c r="J154" s="165" t="str">
        <f t="shared" si="97"/>
        <v>n/a</v>
      </c>
      <c r="K154" s="165" t="str">
        <f t="shared" si="97"/>
        <v>n/a</v>
      </c>
      <c r="L154" s="165" t="str">
        <f t="shared" si="97"/>
        <v>n/a</v>
      </c>
      <c r="M154" s="165" t="str">
        <f t="shared" si="97"/>
        <v>n/a</v>
      </c>
      <c r="P154" s="74"/>
      <c r="Z154" s="25"/>
      <c r="AA154" s="130"/>
      <c r="AB154" s="131"/>
      <c r="AC154" s="131"/>
      <c r="AD154" s="132"/>
      <c r="AE154" s="133"/>
      <c r="AF154" s="117"/>
      <c r="AH154" s="12"/>
      <c r="AI154" s="12"/>
      <c r="AJ154" s="12"/>
      <c r="AK154" s="12"/>
      <c r="AL154" s="12"/>
      <c r="AM154" s="12"/>
      <c r="AN154" s="12"/>
      <c r="AP154" s="119"/>
      <c r="AQ154" s="161">
        <v>56</v>
      </c>
      <c r="AR154" s="159">
        <v>16.510000000000002</v>
      </c>
      <c r="AS154" s="159">
        <v>4.1833</v>
      </c>
      <c r="AT154" s="159">
        <v>496</v>
      </c>
      <c r="AU154" s="159">
        <v>985.2</v>
      </c>
      <c r="AV154" s="159">
        <v>234.35</v>
      </c>
      <c r="AW154" s="159">
        <v>3.17</v>
      </c>
      <c r="AX154" s="159">
        <v>56</v>
      </c>
      <c r="AY154" s="74"/>
      <c r="BB154" s="90"/>
      <c r="BC154" s="97"/>
      <c r="BD154" s="87"/>
    </row>
    <row r="155" spans="1:56" ht="14.25">
      <c r="A155" s="25"/>
      <c r="B155" s="16" t="s">
        <v>225</v>
      </c>
      <c r="C155" s="221" t="s">
        <v>232</v>
      </c>
      <c r="D155" s="165" t="str">
        <f t="shared" ref="D155:M155" si="98">IF($AK$89="Clean Water / Sewage","n/a",VLOOKUP($AK$89,$AI$111:$AM$116,$AM$94,FALSE)*(D$91^VLOOKUP($AK$89,$AI$111:$AM$116,5,FALSE))*EXP(1848/(273+D150)-1848/283))</f>
        <v>n/a</v>
      </c>
      <c r="E155" s="165" t="str">
        <f t="shared" si="98"/>
        <v>n/a</v>
      </c>
      <c r="F155" s="165" t="str">
        <f t="shared" si="98"/>
        <v>n/a</v>
      </c>
      <c r="G155" s="165" t="str">
        <f t="shared" si="98"/>
        <v>n/a</v>
      </c>
      <c r="H155" s="165" t="str">
        <f t="shared" si="98"/>
        <v>n/a</v>
      </c>
      <c r="I155" s="165" t="str">
        <f t="shared" si="98"/>
        <v>n/a</v>
      </c>
      <c r="J155" s="165" t="str">
        <f t="shared" si="98"/>
        <v>n/a</v>
      </c>
      <c r="K155" s="165" t="str">
        <f t="shared" si="98"/>
        <v>n/a</v>
      </c>
      <c r="L155" s="165" t="str">
        <f t="shared" si="98"/>
        <v>n/a</v>
      </c>
      <c r="M155" s="165" t="str">
        <f t="shared" si="98"/>
        <v>n/a</v>
      </c>
      <c r="P155" s="74"/>
      <c r="Z155" s="25"/>
      <c r="AA155" s="130"/>
      <c r="AB155" s="131"/>
      <c r="AC155" s="131"/>
      <c r="AD155" s="132"/>
      <c r="AE155" s="133"/>
      <c r="AF155" s="117"/>
      <c r="AH155" s="12"/>
      <c r="AI155" s="12"/>
      <c r="AJ155" s="12"/>
      <c r="AK155" s="12"/>
      <c r="AL155" s="12"/>
      <c r="AM155" s="12"/>
      <c r="AN155" s="12"/>
      <c r="AP155" s="119"/>
      <c r="AQ155" s="161">
        <v>57</v>
      </c>
      <c r="AR155" s="159">
        <v>17.309999999999999</v>
      </c>
      <c r="AS155" s="159">
        <v>4.1837</v>
      </c>
      <c r="AT155" s="159">
        <v>489</v>
      </c>
      <c r="AU155" s="159">
        <v>984.7</v>
      </c>
      <c r="AV155" s="159">
        <v>238.54</v>
      </c>
      <c r="AW155" s="159">
        <v>3.12</v>
      </c>
      <c r="AX155" s="159">
        <v>57</v>
      </c>
      <c r="AY155" s="74"/>
      <c r="BB155" s="90"/>
      <c r="BC155" s="97"/>
      <c r="BD155" s="87"/>
    </row>
    <row r="156" spans="1:56">
      <c r="A156" s="25"/>
      <c r="B156" s="16" t="s">
        <v>236</v>
      </c>
      <c r="C156" s="221"/>
      <c r="D156" s="165" t="e">
        <f t="shared" ref="D156:M156" si="99">IF($AK89="Clean Water / Sewage",D151*D146/1000/D152,D$92*D151*D146/1000/D155)</f>
        <v>#VALUE!</v>
      </c>
      <c r="E156" s="165" t="e">
        <f t="shared" si="99"/>
        <v>#VALUE!</v>
      </c>
      <c r="F156" s="165" t="e">
        <f t="shared" si="99"/>
        <v>#VALUE!</v>
      </c>
      <c r="G156" s="165" t="e">
        <f t="shared" si="99"/>
        <v>#VALUE!</v>
      </c>
      <c r="H156" s="165" t="e">
        <f t="shared" si="99"/>
        <v>#VALUE!</v>
      </c>
      <c r="I156" s="165" t="e">
        <f t="shared" si="99"/>
        <v>#VALUE!</v>
      </c>
      <c r="J156" s="165" t="e">
        <f t="shared" si="99"/>
        <v>#VALUE!</v>
      </c>
      <c r="K156" s="165" t="e">
        <f t="shared" si="99"/>
        <v>#VALUE!</v>
      </c>
      <c r="L156" s="165" t="e">
        <f t="shared" si="99"/>
        <v>#VALUE!</v>
      </c>
      <c r="M156" s="165" t="e">
        <f t="shared" si="99"/>
        <v>#VALUE!</v>
      </c>
      <c r="P156" s="74"/>
      <c r="Z156" s="25"/>
      <c r="AA156" s="130"/>
      <c r="AB156" s="131"/>
      <c r="AC156" s="131"/>
      <c r="AD156" s="132"/>
      <c r="AE156" s="133"/>
      <c r="AF156" s="117"/>
      <c r="AH156" s="12"/>
      <c r="AI156" s="12"/>
      <c r="AJ156" s="12"/>
      <c r="AK156" s="12"/>
      <c r="AL156" s="12"/>
      <c r="AM156" s="12"/>
      <c r="AN156" s="12"/>
      <c r="AP156" s="119"/>
      <c r="AQ156" s="161">
        <v>58</v>
      </c>
      <c r="AR156" s="159">
        <v>18.149999999999999</v>
      </c>
      <c r="AS156" s="159">
        <v>4.1840999999999999</v>
      </c>
      <c r="AT156" s="159">
        <v>481</v>
      </c>
      <c r="AU156" s="159">
        <v>984.3</v>
      </c>
      <c r="AV156" s="159">
        <v>242.72</v>
      </c>
      <c r="AW156" s="159">
        <v>3.06</v>
      </c>
      <c r="AX156" s="159">
        <v>58</v>
      </c>
      <c r="AY156" s="74"/>
      <c r="BB156" s="90"/>
      <c r="BC156" s="97"/>
      <c r="BD156" s="87"/>
    </row>
    <row r="157" spans="1:56">
      <c r="A157" s="25"/>
      <c r="B157" s="16" t="s">
        <v>238</v>
      </c>
      <c r="C157" s="221"/>
      <c r="D157" s="165" t="str">
        <f>IF(D153="n/a",D153,D$92*D151*D146/1000/D153*(8*D151/(D146/1000))^(1-D154))</f>
        <v>n/a</v>
      </c>
      <c r="E157" s="165" t="str">
        <f t="shared" ref="E157:M157" si="100">IF(E153="n/a",E153,E$92*E151*E146/1000/E153*(8*E151/(E146/1000))^(1-E154))</f>
        <v>n/a</v>
      </c>
      <c r="F157" s="165" t="str">
        <f t="shared" si="100"/>
        <v>n/a</v>
      </c>
      <c r="G157" s="165" t="str">
        <f t="shared" si="100"/>
        <v>n/a</v>
      </c>
      <c r="H157" s="165" t="str">
        <f t="shared" si="100"/>
        <v>n/a</v>
      </c>
      <c r="I157" s="165" t="str">
        <f t="shared" si="100"/>
        <v>n/a</v>
      </c>
      <c r="J157" s="165" t="str">
        <f t="shared" si="100"/>
        <v>n/a</v>
      </c>
      <c r="K157" s="165" t="str">
        <f t="shared" si="100"/>
        <v>n/a</v>
      </c>
      <c r="L157" s="165" t="str">
        <f t="shared" si="100"/>
        <v>n/a</v>
      </c>
      <c r="M157" s="165" t="str">
        <f t="shared" si="100"/>
        <v>n/a</v>
      </c>
      <c r="P157" s="74"/>
      <c r="Z157" s="25"/>
      <c r="AA157" s="130"/>
      <c r="AB157" s="131"/>
      <c r="AC157" s="131"/>
      <c r="AD157" s="132"/>
      <c r="AE157" s="133"/>
      <c r="AF157" s="117"/>
      <c r="AH157" s="12"/>
      <c r="AI157" s="12"/>
      <c r="AJ157" s="12"/>
      <c r="AK157" s="12"/>
      <c r="AL157" s="12"/>
      <c r="AM157" s="12"/>
      <c r="AN157" s="12"/>
      <c r="AP157" s="119"/>
      <c r="AQ157" s="161">
        <v>59</v>
      </c>
      <c r="AR157" s="159">
        <v>19.02</v>
      </c>
      <c r="AS157" s="159">
        <v>4.1844999999999999</v>
      </c>
      <c r="AT157" s="159">
        <v>474</v>
      </c>
      <c r="AU157" s="159">
        <v>983.7</v>
      </c>
      <c r="AV157" s="159">
        <v>246.81</v>
      </c>
      <c r="AW157" s="159">
        <v>3.01</v>
      </c>
      <c r="AX157" s="159">
        <v>59</v>
      </c>
      <c r="AY157" s="74"/>
      <c r="BB157" s="90"/>
      <c r="BC157" s="97"/>
      <c r="BD157" s="87"/>
    </row>
    <row r="158" spans="1:56">
      <c r="A158" s="25"/>
      <c r="B158" s="16" t="s">
        <v>241</v>
      </c>
      <c r="C158" s="221"/>
      <c r="D158" s="165" t="e">
        <f t="shared" ref="D158:M158" si="101">0.25/(LOG(D147/1000/3.71/(D146/1000)+5.74/D156^0.9))^2/4</f>
        <v>#DIV/0!</v>
      </c>
      <c r="E158" s="165" t="e">
        <f t="shared" si="101"/>
        <v>#DIV/0!</v>
      </c>
      <c r="F158" s="166" t="e">
        <f t="shared" si="101"/>
        <v>#DIV/0!</v>
      </c>
      <c r="G158" s="166" t="e">
        <f t="shared" si="101"/>
        <v>#DIV/0!</v>
      </c>
      <c r="H158" s="166" t="e">
        <f t="shared" si="101"/>
        <v>#DIV/0!</v>
      </c>
      <c r="I158" s="166" t="e">
        <f t="shared" si="101"/>
        <v>#DIV/0!</v>
      </c>
      <c r="J158" s="166" t="e">
        <f t="shared" si="101"/>
        <v>#DIV/0!</v>
      </c>
      <c r="K158" s="166" t="e">
        <f t="shared" si="101"/>
        <v>#DIV/0!</v>
      </c>
      <c r="L158" s="166" t="e">
        <f t="shared" si="101"/>
        <v>#DIV/0!</v>
      </c>
      <c r="M158" s="166" t="e">
        <f t="shared" si="101"/>
        <v>#DIV/0!</v>
      </c>
      <c r="P158" s="74"/>
      <c r="Z158" s="25"/>
      <c r="AA158" s="130"/>
      <c r="AB158" s="131"/>
      <c r="AC158" s="131"/>
      <c r="AD158" s="132"/>
      <c r="AE158" s="133"/>
      <c r="AF158" s="117"/>
      <c r="AH158" s="12"/>
      <c r="AI158" s="12"/>
      <c r="AJ158" s="12"/>
      <c r="AK158" s="12"/>
      <c r="AL158" s="12"/>
      <c r="AM158" s="12"/>
      <c r="AN158" s="12"/>
      <c r="AP158" s="119"/>
      <c r="AQ158" s="161">
        <v>60</v>
      </c>
      <c r="AR158" s="159">
        <v>19.920000000000002</v>
      </c>
      <c r="AS158" s="159">
        <v>4.1849999999999996</v>
      </c>
      <c r="AT158" s="159">
        <v>467</v>
      </c>
      <c r="AU158" s="159">
        <v>983.2</v>
      </c>
      <c r="AV158" s="159">
        <v>251.09</v>
      </c>
      <c r="AW158" s="159">
        <v>2.96</v>
      </c>
      <c r="AX158" s="159">
        <v>60</v>
      </c>
      <c r="AY158" s="74"/>
      <c r="BB158" s="90"/>
      <c r="BC158" s="97"/>
      <c r="BD158" s="87"/>
    </row>
    <row r="159" spans="1:56">
      <c r="A159" s="25"/>
      <c r="B159" s="16" t="s">
        <v>243</v>
      </c>
      <c r="C159" s="221"/>
      <c r="D159" s="165" t="str">
        <f t="shared" ref="D159:M159" si="102">IF($AK$89="Clean Water / Sewage","n/a",16/D157)</f>
        <v>n/a</v>
      </c>
      <c r="E159" s="165" t="str">
        <f t="shared" si="102"/>
        <v>n/a</v>
      </c>
      <c r="F159" s="166" t="str">
        <f t="shared" si="102"/>
        <v>n/a</v>
      </c>
      <c r="G159" s="166" t="str">
        <f t="shared" si="102"/>
        <v>n/a</v>
      </c>
      <c r="H159" s="166" t="str">
        <f t="shared" si="102"/>
        <v>n/a</v>
      </c>
      <c r="I159" s="166" t="str">
        <f t="shared" si="102"/>
        <v>n/a</v>
      </c>
      <c r="J159" s="166" t="str">
        <f t="shared" si="102"/>
        <v>n/a</v>
      </c>
      <c r="K159" s="166" t="str">
        <f t="shared" si="102"/>
        <v>n/a</v>
      </c>
      <c r="L159" s="166" t="str">
        <f t="shared" si="102"/>
        <v>n/a</v>
      </c>
      <c r="M159" s="166" t="str">
        <f t="shared" si="102"/>
        <v>n/a</v>
      </c>
      <c r="P159" s="74"/>
      <c r="Z159" s="25"/>
      <c r="AA159" s="130"/>
      <c r="AB159" s="131"/>
      <c r="AC159" s="131"/>
      <c r="AD159" s="132"/>
      <c r="AE159" s="133"/>
      <c r="AF159" s="117"/>
      <c r="AH159" s="12"/>
      <c r="AP159" s="119"/>
      <c r="AQ159" s="161">
        <v>61</v>
      </c>
      <c r="AR159" s="159">
        <v>20.86</v>
      </c>
      <c r="AS159" s="159">
        <v>4.1856</v>
      </c>
      <c r="AT159" s="159">
        <v>460</v>
      </c>
      <c r="AU159" s="159">
        <v>982.7</v>
      </c>
      <c r="AV159" s="159">
        <v>255.27</v>
      </c>
      <c r="AW159" s="159">
        <v>2.91</v>
      </c>
      <c r="AX159" s="159">
        <v>61</v>
      </c>
      <c r="AY159" s="74"/>
      <c r="BB159" s="90"/>
      <c r="BC159" s="97"/>
      <c r="BD159" s="87"/>
    </row>
    <row r="160" spans="1:56">
      <c r="A160" s="25"/>
      <c r="B160" s="16" t="s">
        <v>245</v>
      </c>
      <c r="C160" s="221"/>
      <c r="D160" s="165">
        <f t="shared" ref="D160:M160" si="103">IF(D146=0,0,IF($AK$89="Clean Water / Sewage",D158,IF(D157&lt;2300,D159,IF(D157&gt;4000,D158,IF(D159&gt;D158,D159,D158)))))</f>
        <v>0</v>
      </c>
      <c r="E160" s="165">
        <f t="shared" si="103"/>
        <v>0</v>
      </c>
      <c r="F160" s="166">
        <f t="shared" si="103"/>
        <v>0</v>
      </c>
      <c r="G160" s="166">
        <f t="shared" si="103"/>
        <v>0</v>
      </c>
      <c r="H160" s="166">
        <f t="shared" si="103"/>
        <v>0</v>
      </c>
      <c r="I160" s="166">
        <f t="shared" si="103"/>
        <v>0</v>
      </c>
      <c r="J160" s="166">
        <f t="shared" si="103"/>
        <v>0</v>
      </c>
      <c r="K160" s="166">
        <f t="shared" si="103"/>
        <v>0</v>
      </c>
      <c r="L160" s="166">
        <f t="shared" si="103"/>
        <v>0</v>
      </c>
      <c r="M160" s="166">
        <f t="shared" si="103"/>
        <v>0</v>
      </c>
      <c r="P160" s="74"/>
      <c r="Z160" s="25"/>
      <c r="AA160" s="130"/>
      <c r="AB160" s="131"/>
      <c r="AC160" s="131"/>
      <c r="AD160" s="132"/>
      <c r="AE160" s="133"/>
      <c r="AF160" s="117"/>
      <c r="AH160" s="12"/>
      <c r="AI160" s="12"/>
      <c r="AJ160" s="12"/>
      <c r="AK160" s="12"/>
      <c r="AL160" s="12"/>
      <c r="AM160" s="12"/>
      <c r="AN160" s="12"/>
      <c r="AP160" s="119"/>
      <c r="AQ160" s="161">
        <v>62</v>
      </c>
      <c r="AR160" s="159">
        <v>21.84</v>
      </c>
      <c r="AS160" s="159">
        <v>4.1860999999999997</v>
      </c>
      <c r="AT160" s="159">
        <v>453</v>
      </c>
      <c r="AU160" s="159">
        <v>982.1</v>
      </c>
      <c r="AV160" s="159">
        <v>259.45999999999998</v>
      </c>
      <c r="AW160" s="159">
        <v>2.87</v>
      </c>
      <c r="AX160" s="159">
        <v>62</v>
      </c>
      <c r="AY160" s="74"/>
      <c r="BB160" s="90"/>
      <c r="BC160" s="97"/>
      <c r="BD160" s="87"/>
    </row>
    <row r="161" spans="1:56">
      <c r="A161" s="25"/>
      <c r="B161" s="16" t="s">
        <v>246</v>
      </c>
      <c r="C161" s="221"/>
      <c r="D161" s="165" t="str">
        <f t="shared" ref="D161:M161" si="104">IF($AK$89="Clean Water / Sewage","n/a",1+2000/D157)</f>
        <v>n/a</v>
      </c>
      <c r="E161" s="165" t="str">
        <f t="shared" si="104"/>
        <v>n/a</v>
      </c>
      <c r="F161" s="166" t="str">
        <f t="shared" si="104"/>
        <v>n/a</v>
      </c>
      <c r="G161" s="166" t="str">
        <f t="shared" si="104"/>
        <v>n/a</v>
      </c>
      <c r="H161" s="166" t="str">
        <f t="shared" si="104"/>
        <v>n/a</v>
      </c>
      <c r="I161" s="166" t="str">
        <f t="shared" si="104"/>
        <v>n/a</v>
      </c>
      <c r="J161" s="166" t="str">
        <f t="shared" si="104"/>
        <v>n/a</v>
      </c>
      <c r="K161" s="166" t="str">
        <f t="shared" si="104"/>
        <v>n/a</v>
      </c>
      <c r="L161" s="166" t="str">
        <f t="shared" si="104"/>
        <v>n/a</v>
      </c>
      <c r="M161" s="166" t="str">
        <f t="shared" si="104"/>
        <v>n/a</v>
      </c>
      <c r="P161" s="74"/>
      <c r="Z161" s="25"/>
      <c r="AA161" s="130"/>
      <c r="AB161" s="131"/>
      <c r="AC161" s="131"/>
      <c r="AD161" s="132"/>
      <c r="AE161" s="133"/>
      <c r="AF161" s="117"/>
      <c r="AH161" s="12"/>
      <c r="AP161" s="119"/>
      <c r="AQ161" s="161">
        <v>63</v>
      </c>
      <c r="AR161" s="159">
        <v>22.85</v>
      </c>
      <c r="AS161" s="159">
        <v>4.1867000000000001</v>
      </c>
      <c r="AT161" s="159">
        <v>447</v>
      </c>
      <c r="AU161" s="159">
        <v>981.6</v>
      </c>
      <c r="AV161" s="159">
        <v>263.64999999999998</v>
      </c>
      <c r="AW161" s="159">
        <v>2.82</v>
      </c>
      <c r="AX161" s="159">
        <v>63</v>
      </c>
      <c r="AY161" s="74"/>
      <c r="BB161" s="90"/>
      <c r="BC161" s="97"/>
      <c r="BD161" s="87"/>
    </row>
    <row r="162" spans="1:56">
      <c r="A162" s="25"/>
      <c r="B162" s="16" t="s">
        <v>248</v>
      </c>
      <c r="C162" s="221" t="s">
        <v>89</v>
      </c>
      <c r="D162" s="165">
        <f t="shared" ref="D162:M162" si="105">IF(D146=0,0,2*D160*D148/(D146/1000)*D151^2/9.81+IF($AK$89="Clean Water / Sewage",D149*D151^2/2/9.81,D161*D149*D151^2/2/9.81))</f>
        <v>0</v>
      </c>
      <c r="E162" s="165">
        <f t="shared" si="105"/>
        <v>0</v>
      </c>
      <c r="F162" s="166">
        <f t="shared" si="105"/>
        <v>0</v>
      </c>
      <c r="G162" s="166">
        <f t="shared" si="105"/>
        <v>0</v>
      </c>
      <c r="H162" s="166">
        <f t="shared" si="105"/>
        <v>0</v>
      </c>
      <c r="I162" s="166">
        <f t="shared" si="105"/>
        <v>0</v>
      </c>
      <c r="J162" s="166">
        <f t="shared" si="105"/>
        <v>0</v>
      </c>
      <c r="K162" s="166">
        <f t="shared" si="105"/>
        <v>0</v>
      </c>
      <c r="L162" s="166">
        <f t="shared" si="105"/>
        <v>0</v>
      </c>
      <c r="M162" s="166">
        <f t="shared" si="105"/>
        <v>0</v>
      </c>
      <c r="O162" s="166">
        <f>SUM(D162:N162)</f>
        <v>0</v>
      </c>
      <c r="P162" s="74"/>
      <c r="Z162" s="25"/>
      <c r="AA162" s="130"/>
      <c r="AB162" s="131"/>
      <c r="AC162" s="131"/>
      <c r="AD162" s="132"/>
      <c r="AE162" s="133"/>
      <c r="AF162" s="117"/>
      <c r="AH162" s="12"/>
      <c r="AP162" s="119"/>
      <c r="AQ162" s="161">
        <v>64</v>
      </c>
      <c r="AR162" s="159">
        <v>23.91</v>
      </c>
      <c r="AS162" s="159">
        <v>4.1874000000000002</v>
      </c>
      <c r="AT162" s="159">
        <v>440</v>
      </c>
      <c r="AU162" s="159">
        <v>981.1</v>
      </c>
      <c r="AV162" s="159">
        <v>267.83</v>
      </c>
      <c r="AW162" s="159">
        <v>2.78</v>
      </c>
      <c r="AX162" s="159">
        <v>64</v>
      </c>
      <c r="AY162" s="74"/>
      <c r="BB162" s="90"/>
      <c r="BC162" s="97"/>
      <c r="BD162" s="87"/>
    </row>
    <row r="163" spans="1:56">
      <c r="A163" s="25"/>
      <c r="B163" s="16" t="s">
        <v>248</v>
      </c>
      <c r="C163" s="221" t="s">
        <v>250</v>
      </c>
      <c r="D163" s="165">
        <f>D162*D$92*9.81/100000</f>
        <v>0</v>
      </c>
      <c r="E163" s="165">
        <f t="shared" ref="E163:M163" si="106">E162*E$92*9.81/100000</f>
        <v>0</v>
      </c>
      <c r="F163" s="165">
        <f t="shared" si="106"/>
        <v>0</v>
      </c>
      <c r="G163" s="165">
        <f t="shared" si="106"/>
        <v>0</v>
      </c>
      <c r="H163" s="165">
        <f t="shared" si="106"/>
        <v>0</v>
      </c>
      <c r="I163" s="165">
        <f t="shared" si="106"/>
        <v>0</v>
      </c>
      <c r="J163" s="165">
        <f t="shared" si="106"/>
        <v>0</v>
      </c>
      <c r="K163" s="165">
        <f t="shared" si="106"/>
        <v>0</v>
      </c>
      <c r="L163" s="165">
        <f t="shared" si="106"/>
        <v>0</v>
      </c>
      <c r="M163" s="165">
        <f t="shared" si="106"/>
        <v>0</v>
      </c>
      <c r="O163" s="166">
        <f>SUM(D163:N163)</f>
        <v>0</v>
      </c>
      <c r="P163" s="74"/>
      <c r="Z163" s="25"/>
      <c r="AA163" s="130"/>
      <c r="AB163" s="131"/>
      <c r="AC163" s="131"/>
      <c r="AD163" s="132"/>
      <c r="AE163" s="133"/>
      <c r="AF163" s="117"/>
      <c r="AH163" s="12"/>
      <c r="AP163" s="119"/>
      <c r="AQ163" s="161">
        <v>65</v>
      </c>
      <c r="AR163" s="159">
        <v>25.01</v>
      </c>
      <c r="AS163" s="159">
        <v>4.1879999999999997</v>
      </c>
      <c r="AT163" s="159">
        <v>434</v>
      </c>
      <c r="AU163" s="159">
        <v>980.5</v>
      </c>
      <c r="AV163" s="159">
        <v>272.02</v>
      </c>
      <c r="AW163" s="159">
        <v>2.74</v>
      </c>
      <c r="AX163" s="159">
        <v>65</v>
      </c>
      <c r="AY163" s="74"/>
      <c r="BB163" s="90"/>
      <c r="BC163" s="97"/>
      <c r="BD163" s="87"/>
    </row>
    <row r="164" spans="1:56">
      <c r="A164" s="25"/>
      <c r="I164" s="12"/>
      <c r="J164" s="12"/>
      <c r="K164" s="12"/>
      <c r="L164" s="12"/>
      <c r="M164" s="12"/>
      <c r="P164" s="74"/>
      <c r="Z164" s="25"/>
      <c r="AA164" s="130"/>
      <c r="AB164" s="131"/>
      <c r="AC164" s="131"/>
      <c r="AD164" s="132"/>
      <c r="AE164" s="133"/>
      <c r="AF164" s="117"/>
      <c r="AH164" s="12"/>
      <c r="AI164" s="12"/>
      <c r="AJ164" s="12"/>
      <c r="AK164" s="12"/>
      <c r="AL164" s="12"/>
      <c r="AM164" s="12"/>
      <c r="AN164" s="12"/>
      <c r="AP164" s="119"/>
      <c r="AQ164" s="161">
        <v>66</v>
      </c>
      <c r="AR164" s="159">
        <v>26.15</v>
      </c>
      <c r="AS164" s="159">
        <v>4.1886000000000001</v>
      </c>
      <c r="AT164" s="159">
        <v>428</v>
      </c>
      <c r="AU164" s="159">
        <v>979.9</v>
      </c>
      <c r="AV164" s="159">
        <v>276.20999999999998</v>
      </c>
      <c r="AW164" s="159">
        <v>2.7</v>
      </c>
      <c r="AX164" s="159">
        <v>66</v>
      </c>
      <c r="AY164" s="74"/>
      <c r="BB164" s="90"/>
      <c r="BC164" s="97"/>
      <c r="BD164" s="87"/>
    </row>
    <row r="165" spans="1:56">
      <c r="A165" s="25"/>
      <c r="B165" s="16" t="s">
        <v>215</v>
      </c>
      <c r="C165" s="221" t="s">
        <v>53</v>
      </c>
      <c r="D165" s="198">
        <f>C55</f>
        <v>0</v>
      </c>
      <c r="P165" s="74"/>
      <c r="Z165" s="25"/>
      <c r="AA165" s="130"/>
      <c r="AB165" s="131"/>
      <c r="AC165" s="131"/>
      <c r="AD165" s="132"/>
      <c r="AE165" s="133"/>
      <c r="AF165" s="117"/>
      <c r="AH165" s="12"/>
      <c r="AI165" s="12"/>
      <c r="AJ165" s="12"/>
      <c r="AK165" s="12"/>
      <c r="AL165" s="12"/>
      <c r="AM165" s="12"/>
      <c r="AN165" s="12"/>
      <c r="AP165" s="119"/>
      <c r="AQ165" s="161">
        <v>67</v>
      </c>
      <c r="AR165" s="159">
        <v>27.33</v>
      </c>
      <c r="AS165" s="159">
        <v>4.1891999999999996</v>
      </c>
      <c r="AT165" s="159">
        <v>422</v>
      </c>
      <c r="AU165" s="159">
        <v>979.4</v>
      </c>
      <c r="AV165" s="159">
        <v>280.39999999999998</v>
      </c>
      <c r="AW165" s="159">
        <v>2.66</v>
      </c>
      <c r="AX165" s="159">
        <v>67</v>
      </c>
      <c r="AY165" s="74"/>
      <c r="BB165" s="90"/>
      <c r="BC165" s="97"/>
      <c r="BD165" s="87"/>
    </row>
    <row r="166" spans="1:56">
      <c r="A166" s="25"/>
      <c r="B166" s="16" t="s">
        <v>217</v>
      </c>
      <c r="C166" s="221" t="s">
        <v>87</v>
      </c>
      <c r="D166" s="198">
        <f t="shared" ref="D166:M166" si="107">D$18</f>
        <v>0</v>
      </c>
      <c r="E166" s="198">
        <f t="shared" si="107"/>
        <v>0</v>
      </c>
      <c r="F166" s="198">
        <f t="shared" si="107"/>
        <v>0</v>
      </c>
      <c r="G166" s="198">
        <f t="shared" si="107"/>
        <v>0</v>
      </c>
      <c r="H166" s="198">
        <f t="shared" si="107"/>
        <v>0</v>
      </c>
      <c r="I166" s="198">
        <f t="shared" si="107"/>
        <v>0</v>
      </c>
      <c r="J166" s="198">
        <f t="shared" si="107"/>
        <v>0</v>
      </c>
      <c r="K166" s="198">
        <f t="shared" si="107"/>
        <v>0</v>
      </c>
      <c r="L166" s="198">
        <f t="shared" si="107"/>
        <v>0</v>
      </c>
      <c r="M166" s="198">
        <f t="shared" si="107"/>
        <v>0</v>
      </c>
      <c r="P166" s="74"/>
      <c r="Z166" s="25"/>
      <c r="AA166" s="130"/>
      <c r="AB166" s="131"/>
      <c r="AC166" s="131"/>
      <c r="AD166" s="132"/>
      <c r="AE166" s="133"/>
      <c r="AF166" s="117"/>
      <c r="AH166" s="12"/>
      <c r="AI166" s="12"/>
      <c r="AJ166" s="12"/>
      <c r="AK166" s="12"/>
      <c r="AL166" s="12"/>
      <c r="AM166" s="12"/>
      <c r="AN166" s="12"/>
      <c r="AP166" s="119"/>
      <c r="AQ166" s="161">
        <v>68</v>
      </c>
      <c r="AR166" s="159">
        <v>28.56</v>
      </c>
      <c r="AS166" s="159">
        <v>4.1898</v>
      </c>
      <c r="AT166" s="159">
        <v>416</v>
      </c>
      <c r="AU166" s="159">
        <v>978.9</v>
      </c>
      <c r="AV166" s="159">
        <v>284.58999999999997</v>
      </c>
      <c r="AW166" s="159">
        <v>2.62</v>
      </c>
      <c r="AX166" s="159">
        <v>68</v>
      </c>
      <c r="AY166" s="74"/>
      <c r="BB166" s="90"/>
      <c r="BC166" s="97"/>
      <c r="BD166" s="87"/>
    </row>
    <row r="167" spans="1:56">
      <c r="A167" s="25"/>
      <c r="B167" s="16" t="s">
        <v>218</v>
      </c>
      <c r="C167" s="221" t="s">
        <v>87</v>
      </c>
      <c r="D167" s="198">
        <f t="shared" ref="D167:M167" si="108">D$20</f>
        <v>0</v>
      </c>
      <c r="E167" s="198">
        <f t="shared" si="108"/>
        <v>0</v>
      </c>
      <c r="F167" s="198">
        <f t="shared" si="108"/>
        <v>0</v>
      </c>
      <c r="G167" s="198">
        <f t="shared" si="108"/>
        <v>0</v>
      </c>
      <c r="H167" s="198">
        <f t="shared" si="108"/>
        <v>0</v>
      </c>
      <c r="I167" s="198">
        <f t="shared" si="108"/>
        <v>0</v>
      </c>
      <c r="J167" s="198">
        <f t="shared" si="108"/>
        <v>0</v>
      </c>
      <c r="K167" s="198">
        <f t="shared" si="108"/>
        <v>0</v>
      </c>
      <c r="L167" s="198">
        <f t="shared" si="108"/>
        <v>0</v>
      </c>
      <c r="M167" s="198">
        <f t="shared" si="108"/>
        <v>0</v>
      </c>
      <c r="P167" s="74"/>
      <c r="Z167" s="25"/>
      <c r="AA167" s="130"/>
      <c r="AB167" s="131"/>
      <c r="AC167" s="131"/>
      <c r="AD167" s="132"/>
      <c r="AE167" s="133"/>
      <c r="AF167" s="117"/>
      <c r="AH167" s="12"/>
      <c r="AI167" s="12"/>
      <c r="AJ167" s="12"/>
      <c r="AK167" s="12"/>
      <c r="AL167" s="12"/>
      <c r="AM167" s="12"/>
      <c r="AN167" s="12"/>
      <c r="AP167" s="119"/>
      <c r="AQ167" s="161">
        <v>69</v>
      </c>
      <c r="AR167" s="159">
        <v>29.84</v>
      </c>
      <c r="AS167" s="159">
        <v>4.1904000000000003</v>
      </c>
      <c r="AT167" s="159">
        <v>410</v>
      </c>
      <c r="AU167" s="159">
        <v>978.3</v>
      </c>
      <c r="AV167" s="159">
        <v>288.77999999999997</v>
      </c>
      <c r="AW167" s="159">
        <v>2.58</v>
      </c>
      <c r="AX167" s="159">
        <v>69</v>
      </c>
      <c r="AY167" s="74"/>
      <c r="BB167" s="90"/>
      <c r="BC167" s="97"/>
      <c r="BD167" s="87"/>
    </row>
    <row r="168" spans="1:56">
      <c r="A168" s="25"/>
      <c r="B168" s="16" t="s">
        <v>220</v>
      </c>
      <c r="C168" s="221" t="s">
        <v>87</v>
      </c>
      <c r="D168" s="198">
        <f t="shared" ref="D168:M168" si="109">D$19</f>
        <v>0</v>
      </c>
      <c r="E168" s="198">
        <f t="shared" si="109"/>
        <v>0</v>
      </c>
      <c r="F168" s="198">
        <f t="shared" si="109"/>
        <v>0</v>
      </c>
      <c r="G168" s="198">
        <f t="shared" si="109"/>
        <v>0</v>
      </c>
      <c r="H168" s="198">
        <f t="shared" si="109"/>
        <v>0</v>
      </c>
      <c r="I168" s="198">
        <f t="shared" si="109"/>
        <v>0</v>
      </c>
      <c r="J168" s="198">
        <f t="shared" si="109"/>
        <v>0</v>
      </c>
      <c r="K168" s="198">
        <f t="shared" si="109"/>
        <v>0</v>
      </c>
      <c r="L168" s="198">
        <f t="shared" si="109"/>
        <v>0</v>
      </c>
      <c r="M168" s="198">
        <f t="shared" si="109"/>
        <v>0</v>
      </c>
      <c r="P168" s="74"/>
      <c r="Z168" s="25"/>
      <c r="AA168" s="130"/>
      <c r="AB168" s="131"/>
      <c r="AC168" s="131"/>
      <c r="AD168" s="132"/>
      <c r="AE168" s="133"/>
      <c r="AF168" s="117"/>
      <c r="AH168" s="12"/>
      <c r="AI168" s="12"/>
      <c r="AJ168" s="12"/>
      <c r="AK168" s="12"/>
      <c r="AL168" s="12"/>
      <c r="AM168" s="12"/>
      <c r="AN168" s="12"/>
      <c r="AP168" s="119"/>
      <c r="AQ168" s="161">
        <v>70</v>
      </c>
      <c r="AR168" s="159">
        <v>31.16</v>
      </c>
      <c r="AS168" s="159">
        <v>4.1909999999999998</v>
      </c>
      <c r="AT168" s="159">
        <v>404</v>
      </c>
      <c r="AU168" s="159">
        <v>977.7</v>
      </c>
      <c r="AV168" s="159">
        <v>292.97000000000003</v>
      </c>
      <c r="AW168" s="159">
        <v>2.54</v>
      </c>
      <c r="AX168" s="159">
        <v>70</v>
      </c>
      <c r="AY168" s="74"/>
      <c r="BB168" s="90"/>
      <c r="BC168" s="97"/>
      <c r="BD168" s="87"/>
    </row>
    <row r="169" spans="1:56">
      <c r="A169" s="25"/>
      <c r="B169" s="16" t="s">
        <v>221</v>
      </c>
      <c r="C169" s="221"/>
      <c r="D169" s="198">
        <f t="shared" ref="D169:M169" si="110">D$44</f>
        <v>0</v>
      </c>
      <c r="E169" s="198">
        <f t="shared" si="110"/>
        <v>0</v>
      </c>
      <c r="F169" s="198">
        <f t="shared" si="110"/>
        <v>0</v>
      </c>
      <c r="G169" s="198">
        <f t="shared" si="110"/>
        <v>0</v>
      </c>
      <c r="H169" s="198">
        <f t="shared" si="110"/>
        <v>0</v>
      </c>
      <c r="I169" s="198">
        <f t="shared" si="110"/>
        <v>0</v>
      </c>
      <c r="J169" s="198">
        <f t="shared" si="110"/>
        <v>0</v>
      </c>
      <c r="K169" s="198">
        <f t="shared" si="110"/>
        <v>0</v>
      </c>
      <c r="L169" s="198">
        <f t="shared" si="110"/>
        <v>0</v>
      </c>
      <c r="M169" s="198">
        <f t="shared" si="110"/>
        <v>0</v>
      </c>
      <c r="P169" s="74"/>
      <c r="Z169" s="25"/>
      <c r="AA169" s="130"/>
      <c r="AB169" s="131"/>
      <c r="AC169" s="131"/>
      <c r="AD169" s="132"/>
      <c r="AE169" s="133"/>
      <c r="AF169" s="117"/>
      <c r="AH169" s="12"/>
      <c r="AI169" s="12"/>
      <c r="AJ169" s="12"/>
      <c r="AK169" s="12"/>
      <c r="AL169" s="12"/>
      <c r="AM169" s="12"/>
      <c r="AN169" s="12"/>
      <c r="AP169" s="119"/>
      <c r="AQ169" s="161">
        <v>71</v>
      </c>
      <c r="AR169" s="159">
        <v>32.53</v>
      </c>
      <c r="AS169" s="159">
        <v>4.1916000000000002</v>
      </c>
      <c r="AT169" s="159">
        <v>399</v>
      </c>
      <c r="AU169" s="159">
        <v>977.1</v>
      </c>
      <c r="AV169" s="159">
        <v>297.16000000000003</v>
      </c>
      <c r="AW169" s="159">
        <v>2.5</v>
      </c>
      <c r="AX169" s="159">
        <v>71</v>
      </c>
      <c r="AY169" s="74"/>
      <c r="BB169" s="90"/>
      <c r="BC169" s="97"/>
      <c r="BD169" s="87"/>
    </row>
    <row r="170" spans="1:56">
      <c r="A170" s="25"/>
      <c r="B170" s="16" t="s">
        <v>91</v>
      </c>
      <c r="C170" s="221" t="s">
        <v>223</v>
      </c>
      <c r="D170" s="198">
        <f t="shared" ref="D170:M170" si="111">D$21</f>
        <v>0</v>
      </c>
      <c r="E170" s="198">
        <f t="shared" si="111"/>
        <v>0</v>
      </c>
      <c r="F170" s="198">
        <f t="shared" si="111"/>
        <v>0</v>
      </c>
      <c r="G170" s="198">
        <f t="shared" si="111"/>
        <v>0</v>
      </c>
      <c r="H170" s="198">
        <f t="shared" si="111"/>
        <v>0</v>
      </c>
      <c r="I170" s="198">
        <f t="shared" si="111"/>
        <v>0</v>
      </c>
      <c r="J170" s="198">
        <f t="shared" si="111"/>
        <v>0</v>
      </c>
      <c r="K170" s="198">
        <f t="shared" si="111"/>
        <v>0</v>
      </c>
      <c r="L170" s="198">
        <f t="shared" si="111"/>
        <v>0</v>
      </c>
      <c r="M170" s="198">
        <f t="shared" si="111"/>
        <v>0</v>
      </c>
      <c r="O170" s="13"/>
      <c r="P170" s="74"/>
      <c r="Z170" s="25"/>
      <c r="AA170" s="130"/>
      <c r="AB170" s="131"/>
      <c r="AC170" s="131"/>
      <c r="AD170" s="132"/>
      <c r="AE170" s="133"/>
      <c r="AF170" s="117"/>
      <c r="AH170" s="12"/>
      <c r="AI170" s="115"/>
      <c r="AJ170" s="12"/>
      <c r="AK170" s="12"/>
      <c r="AL170" s="12"/>
      <c r="AM170" s="12"/>
      <c r="AN170" s="12"/>
      <c r="AP170" s="119"/>
      <c r="AQ170" s="161">
        <v>72</v>
      </c>
      <c r="AR170" s="159">
        <v>33.96</v>
      </c>
      <c r="AS170" s="159">
        <v>4.1920999999999999</v>
      </c>
      <c r="AT170" s="159">
        <v>394</v>
      </c>
      <c r="AU170" s="159">
        <v>976.6</v>
      </c>
      <c r="AV170" s="159">
        <v>301.35000000000002</v>
      </c>
      <c r="AW170" s="159">
        <v>2.4700000000000002</v>
      </c>
      <c r="AX170" s="159">
        <v>72</v>
      </c>
      <c r="AY170" s="74"/>
      <c r="BB170" s="90"/>
      <c r="BC170" s="97"/>
      <c r="BD170" s="87"/>
    </row>
    <row r="171" spans="1:56">
      <c r="A171" s="25"/>
      <c r="B171" s="16" t="s">
        <v>226</v>
      </c>
      <c r="C171" s="221" t="s">
        <v>94</v>
      </c>
      <c r="D171" s="201" t="str">
        <f t="shared" ref="D171:M171" si="112">D22</f>
        <v>-</v>
      </c>
      <c r="E171" s="201" t="str">
        <f t="shared" si="112"/>
        <v>-</v>
      </c>
      <c r="F171" s="201" t="str">
        <f t="shared" si="112"/>
        <v>-</v>
      </c>
      <c r="G171" s="201" t="str">
        <f t="shared" si="112"/>
        <v>-</v>
      </c>
      <c r="H171" s="201" t="str">
        <f t="shared" si="112"/>
        <v>-</v>
      </c>
      <c r="I171" s="201" t="str">
        <f t="shared" si="112"/>
        <v>-</v>
      </c>
      <c r="J171" s="201" t="str">
        <f t="shared" si="112"/>
        <v>-</v>
      </c>
      <c r="K171" s="201" t="str">
        <f t="shared" si="112"/>
        <v>-</v>
      </c>
      <c r="L171" s="201" t="str">
        <f t="shared" si="112"/>
        <v>-</v>
      </c>
      <c r="M171" s="201" t="str">
        <f t="shared" si="112"/>
        <v>-</v>
      </c>
      <c r="O171" s="13"/>
      <c r="P171" s="74"/>
      <c r="Z171" s="25"/>
      <c r="AA171" s="130"/>
      <c r="AB171" s="131"/>
      <c r="AC171" s="131"/>
      <c r="AD171" s="132"/>
      <c r="AE171" s="133"/>
      <c r="AF171" s="117"/>
      <c r="AH171" s="12"/>
      <c r="AI171" s="12"/>
      <c r="AJ171" s="12"/>
      <c r="AK171" s="12"/>
      <c r="AL171" s="12"/>
      <c r="AM171" s="12"/>
      <c r="AN171" s="12"/>
      <c r="AP171" s="119"/>
      <c r="AQ171" s="161">
        <v>73</v>
      </c>
      <c r="AR171" s="159">
        <v>35.43</v>
      </c>
      <c r="AS171" s="159">
        <v>4.1927000000000003</v>
      </c>
      <c r="AT171" s="159">
        <v>388</v>
      </c>
      <c r="AU171" s="159">
        <v>976</v>
      </c>
      <c r="AV171" s="159">
        <v>305.54000000000002</v>
      </c>
      <c r="AW171" s="159">
        <v>2.4300000000000002</v>
      </c>
      <c r="AX171" s="159">
        <v>73</v>
      </c>
      <c r="AY171" s="74"/>
      <c r="BB171" s="90"/>
      <c r="BC171" s="97"/>
      <c r="BD171" s="87"/>
    </row>
    <row r="172" spans="1:56" ht="15" thickBot="1">
      <c r="A172" s="25"/>
      <c r="B172" s="16" t="s">
        <v>228</v>
      </c>
      <c r="C172" s="221" t="s">
        <v>229</v>
      </c>
      <c r="D172" s="165">
        <f t="shared" ref="D172:M172" si="113">IF(D$21="",0.000001,VLOOKUP(D170,$AQ$98:$AX$198,4,FALSE)/VLOOKUP(D170,$AQ$98:$AX$198,5,FALSE)/1000000)</f>
        <v>9.9999999999999995E-7</v>
      </c>
      <c r="E172" s="165">
        <f t="shared" si="113"/>
        <v>9.9999999999999995E-7</v>
      </c>
      <c r="F172" s="165">
        <f t="shared" si="113"/>
        <v>9.9999999999999995E-7</v>
      </c>
      <c r="G172" s="165">
        <f t="shared" si="113"/>
        <v>9.9999999999999995E-7</v>
      </c>
      <c r="H172" s="165">
        <f t="shared" si="113"/>
        <v>9.9999999999999995E-7</v>
      </c>
      <c r="I172" s="165">
        <f t="shared" si="113"/>
        <v>9.9999999999999995E-7</v>
      </c>
      <c r="J172" s="165">
        <f t="shared" si="113"/>
        <v>9.9999999999999995E-7</v>
      </c>
      <c r="K172" s="165">
        <f t="shared" si="113"/>
        <v>9.9999999999999995E-7</v>
      </c>
      <c r="L172" s="165">
        <f t="shared" si="113"/>
        <v>9.9999999999999995E-7</v>
      </c>
      <c r="M172" s="165">
        <f t="shared" si="113"/>
        <v>9.9999999999999995E-7</v>
      </c>
      <c r="O172" s="13"/>
      <c r="P172" s="74"/>
      <c r="Z172" s="84"/>
      <c r="AA172" s="199"/>
      <c r="AB172" s="199"/>
      <c r="AC172" s="199"/>
      <c r="AD172" s="189"/>
      <c r="AE172" s="189"/>
      <c r="AF172" s="200"/>
      <c r="AH172" s="12"/>
      <c r="AI172" s="12"/>
      <c r="AJ172" s="12"/>
      <c r="AK172" s="12"/>
      <c r="AL172" s="12"/>
      <c r="AM172" s="12"/>
      <c r="AN172" s="12"/>
      <c r="AP172" s="119"/>
      <c r="AQ172" s="161">
        <v>74</v>
      </c>
      <c r="AR172" s="159">
        <v>36.96</v>
      </c>
      <c r="AS172" s="159">
        <v>4.1933999999999996</v>
      </c>
      <c r="AT172" s="159">
        <v>383</v>
      </c>
      <c r="AU172" s="159">
        <v>975.4</v>
      </c>
      <c r="AV172" s="159">
        <v>309.74</v>
      </c>
      <c r="AW172" s="159">
        <v>2.39</v>
      </c>
      <c r="AX172" s="159">
        <v>74</v>
      </c>
      <c r="AY172" s="74"/>
      <c r="BB172" s="90"/>
      <c r="BC172" s="97"/>
      <c r="BD172" s="87"/>
    </row>
    <row r="173" spans="1:56" ht="14.25">
      <c r="A173" s="25"/>
      <c r="B173" s="16" t="s">
        <v>231</v>
      </c>
      <c r="C173" s="221" t="s">
        <v>232</v>
      </c>
      <c r="D173" s="165" t="str">
        <f t="shared" ref="D173:M173" si="114">IF($AK$89="Clean Water / Sewage","n/a",VLOOKUP($AK$89,$AI$104:$AM$109,$AM$94,FALSE)*(D$91^VLOOKUP($AK$89,$AI$104:$AM$109,5,FALSE))*EXP(1848/(273+D170)-1848/283))</f>
        <v>n/a</v>
      </c>
      <c r="E173" s="165" t="str">
        <f t="shared" si="114"/>
        <v>n/a</v>
      </c>
      <c r="F173" s="165" t="str">
        <f t="shared" si="114"/>
        <v>n/a</v>
      </c>
      <c r="G173" s="165" t="str">
        <f t="shared" si="114"/>
        <v>n/a</v>
      </c>
      <c r="H173" s="165" t="str">
        <f t="shared" si="114"/>
        <v>n/a</v>
      </c>
      <c r="I173" s="165" t="str">
        <f t="shared" si="114"/>
        <v>n/a</v>
      </c>
      <c r="J173" s="165" t="str">
        <f t="shared" si="114"/>
        <v>n/a</v>
      </c>
      <c r="K173" s="165" t="str">
        <f t="shared" si="114"/>
        <v>n/a</v>
      </c>
      <c r="L173" s="165" t="str">
        <f t="shared" si="114"/>
        <v>n/a</v>
      </c>
      <c r="M173" s="165" t="str">
        <f t="shared" si="114"/>
        <v>n/a</v>
      </c>
      <c r="O173" s="13"/>
      <c r="P173" s="74"/>
      <c r="AH173" s="12"/>
      <c r="AI173" s="12"/>
      <c r="AJ173" s="12"/>
      <c r="AK173" s="12"/>
      <c r="AL173" s="12"/>
      <c r="AM173" s="12"/>
      <c r="AN173" s="12"/>
      <c r="AP173" s="119"/>
      <c r="AQ173" s="161">
        <v>75</v>
      </c>
      <c r="AR173" s="159">
        <v>38.549999999999997</v>
      </c>
      <c r="AS173" s="159">
        <v>4.194</v>
      </c>
      <c r="AT173" s="159">
        <v>378</v>
      </c>
      <c r="AU173" s="159">
        <v>974.9</v>
      </c>
      <c r="AV173" s="159">
        <v>313.93</v>
      </c>
      <c r="AW173" s="159">
        <v>2.36</v>
      </c>
      <c r="AX173" s="159">
        <v>75</v>
      </c>
      <c r="AY173" s="74"/>
      <c r="BB173" s="90"/>
      <c r="BC173" s="97"/>
      <c r="BD173" s="87"/>
    </row>
    <row r="174" spans="1:56">
      <c r="A174" s="25"/>
      <c r="B174" s="16" t="s">
        <v>234</v>
      </c>
      <c r="C174" s="221"/>
      <c r="D174" s="165" t="str">
        <f t="shared" ref="D174:M174" si="115">IF($AK$89="Clean Water / Sewage","n/a",VLOOKUP($AK$89,$AI$97:$AM$102,$AM$94,FALSE)*(D$91^VLOOKUP($AK$89,$AI$97:$AM$102,5,FALSE)))</f>
        <v>n/a</v>
      </c>
      <c r="E174" s="165" t="str">
        <f t="shared" si="115"/>
        <v>n/a</v>
      </c>
      <c r="F174" s="165" t="str">
        <f t="shared" si="115"/>
        <v>n/a</v>
      </c>
      <c r="G174" s="165" t="str">
        <f t="shared" si="115"/>
        <v>n/a</v>
      </c>
      <c r="H174" s="165" t="str">
        <f t="shared" si="115"/>
        <v>n/a</v>
      </c>
      <c r="I174" s="165" t="str">
        <f t="shared" si="115"/>
        <v>n/a</v>
      </c>
      <c r="J174" s="165" t="str">
        <f t="shared" si="115"/>
        <v>n/a</v>
      </c>
      <c r="K174" s="165" t="str">
        <f t="shared" si="115"/>
        <v>n/a</v>
      </c>
      <c r="L174" s="165" t="str">
        <f t="shared" si="115"/>
        <v>n/a</v>
      </c>
      <c r="M174" s="165" t="str">
        <f t="shared" si="115"/>
        <v>n/a</v>
      </c>
      <c r="O174" s="13"/>
      <c r="P174" s="74"/>
      <c r="AH174" s="12"/>
      <c r="AI174" s="12"/>
      <c r="AJ174" s="12"/>
      <c r="AK174" s="12"/>
      <c r="AL174" s="12"/>
      <c r="AM174" s="12"/>
      <c r="AN174" s="12"/>
      <c r="AP174" s="119"/>
      <c r="AQ174" s="161">
        <v>76</v>
      </c>
      <c r="AR174" s="159">
        <v>40.19</v>
      </c>
      <c r="AS174" s="159">
        <v>4.1947000000000001</v>
      </c>
      <c r="AT174" s="159">
        <v>373</v>
      </c>
      <c r="AU174" s="159">
        <v>974.3</v>
      </c>
      <c r="AV174" s="159">
        <v>318.12</v>
      </c>
      <c r="AW174" s="159">
        <v>2.33</v>
      </c>
      <c r="AX174" s="159">
        <v>76</v>
      </c>
      <c r="AY174" s="74"/>
      <c r="BB174" s="90"/>
      <c r="BC174" s="97"/>
      <c r="BD174" s="87"/>
    </row>
    <row r="175" spans="1:56" ht="14.25">
      <c r="A175" s="25"/>
      <c r="B175" s="16" t="s">
        <v>225</v>
      </c>
      <c r="C175" s="221" t="s">
        <v>232</v>
      </c>
      <c r="D175" s="165" t="str">
        <f t="shared" ref="D175:M175" si="116">IF($AK$89="Clean Water / Sewage","n/a",VLOOKUP($AK$89,$AI$111:$AM$116,$AM$94,FALSE)*(D$91^VLOOKUP($AK$89,$AI$111:$AM$116,5,FALSE))*EXP(1848/(273+D170)-1848/283))</f>
        <v>n/a</v>
      </c>
      <c r="E175" s="165" t="str">
        <f t="shared" si="116"/>
        <v>n/a</v>
      </c>
      <c r="F175" s="165" t="str">
        <f t="shared" si="116"/>
        <v>n/a</v>
      </c>
      <c r="G175" s="165" t="str">
        <f t="shared" si="116"/>
        <v>n/a</v>
      </c>
      <c r="H175" s="165" t="str">
        <f t="shared" si="116"/>
        <v>n/a</v>
      </c>
      <c r="I175" s="165" t="str">
        <f t="shared" si="116"/>
        <v>n/a</v>
      </c>
      <c r="J175" s="165" t="str">
        <f t="shared" si="116"/>
        <v>n/a</v>
      </c>
      <c r="K175" s="165" t="str">
        <f t="shared" si="116"/>
        <v>n/a</v>
      </c>
      <c r="L175" s="165" t="str">
        <f t="shared" si="116"/>
        <v>n/a</v>
      </c>
      <c r="M175" s="165" t="str">
        <f t="shared" si="116"/>
        <v>n/a</v>
      </c>
      <c r="O175" s="13"/>
      <c r="P175" s="74"/>
      <c r="AH175" s="12"/>
      <c r="AI175" s="12"/>
      <c r="AJ175" s="12"/>
      <c r="AK175" s="12"/>
      <c r="AL175" s="12"/>
      <c r="AM175" s="12"/>
      <c r="AN175" s="12"/>
      <c r="AP175" s="119"/>
      <c r="AQ175" s="161">
        <v>77</v>
      </c>
      <c r="AR175" s="159">
        <v>41.89</v>
      </c>
      <c r="AS175" s="159">
        <v>4.1955</v>
      </c>
      <c r="AT175" s="159">
        <v>369</v>
      </c>
      <c r="AU175" s="159">
        <v>973.6</v>
      </c>
      <c r="AV175" s="159">
        <v>322.32</v>
      </c>
      <c r="AW175" s="159">
        <v>2.2999999999999998</v>
      </c>
      <c r="AX175" s="159">
        <v>77</v>
      </c>
      <c r="AY175" s="74"/>
      <c r="BB175" s="90"/>
      <c r="BC175" s="97"/>
      <c r="BD175" s="87"/>
    </row>
    <row r="176" spans="1:56">
      <c r="A176" s="25"/>
      <c r="B176" s="16" t="s">
        <v>236</v>
      </c>
      <c r="C176" s="221"/>
      <c r="D176" s="165" t="e">
        <f t="shared" ref="D176:M176" si="117">IF($AK89="Clean Water / Sewage",D171*D166/1000/D172,D$92*D171*D166/1000/D175)</f>
        <v>#VALUE!</v>
      </c>
      <c r="E176" s="165" t="e">
        <f t="shared" si="117"/>
        <v>#VALUE!</v>
      </c>
      <c r="F176" s="165" t="e">
        <f t="shared" si="117"/>
        <v>#VALUE!</v>
      </c>
      <c r="G176" s="165" t="e">
        <f t="shared" si="117"/>
        <v>#VALUE!</v>
      </c>
      <c r="H176" s="165" t="e">
        <f t="shared" si="117"/>
        <v>#VALUE!</v>
      </c>
      <c r="I176" s="165" t="e">
        <f t="shared" si="117"/>
        <v>#VALUE!</v>
      </c>
      <c r="J176" s="165" t="e">
        <f t="shared" si="117"/>
        <v>#VALUE!</v>
      </c>
      <c r="K176" s="165" t="e">
        <f t="shared" si="117"/>
        <v>#VALUE!</v>
      </c>
      <c r="L176" s="165" t="e">
        <f t="shared" si="117"/>
        <v>#VALUE!</v>
      </c>
      <c r="M176" s="165" t="e">
        <f t="shared" si="117"/>
        <v>#VALUE!</v>
      </c>
      <c r="O176" s="13"/>
      <c r="P176" s="74"/>
      <c r="AH176" s="12"/>
      <c r="AI176" s="12"/>
      <c r="AJ176" s="12"/>
      <c r="AK176" s="12"/>
      <c r="AL176" s="12"/>
      <c r="AM176" s="12"/>
      <c r="AN176" s="12"/>
      <c r="AP176" s="119"/>
      <c r="AQ176" s="161">
        <v>78</v>
      </c>
      <c r="AR176" s="159">
        <v>43.65</v>
      </c>
      <c r="AS176" s="159">
        <v>4.1962000000000002</v>
      </c>
      <c r="AT176" s="159">
        <v>364</v>
      </c>
      <c r="AU176" s="159">
        <v>973.1</v>
      </c>
      <c r="AV176" s="159">
        <v>326.52</v>
      </c>
      <c r="AW176" s="159">
        <v>2.27</v>
      </c>
      <c r="AX176" s="159">
        <v>78</v>
      </c>
      <c r="AY176" s="74"/>
      <c r="BB176" s="90"/>
      <c r="BC176" s="97"/>
      <c r="BD176" s="87"/>
    </row>
    <row r="177" spans="1:56">
      <c r="A177" s="25"/>
      <c r="B177" s="16" t="s">
        <v>238</v>
      </c>
      <c r="C177" s="221"/>
      <c r="D177" s="165" t="str">
        <f>IF(D173="n/a",D173,D$92*D171*D166/1000/D173*(8*D171/(D166/1000))^(1-D174))</f>
        <v>n/a</v>
      </c>
      <c r="E177" s="165" t="str">
        <f t="shared" ref="E177:M177" si="118">IF(E173="n/a",E173,E$92*E171*E166/1000/E173*(8*E171/(E166/1000))^(1-E174))</f>
        <v>n/a</v>
      </c>
      <c r="F177" s="165" t="str">
        <f t="shared" si="118"/>
        <v>n/a</v>
      </c>
      <c r="G177" s="165" t="str">
        <f t="shared" si="118"/>
        <v>n/a</v>
      </c>
      <c r="H177" s="165" t="str">
        <f t="shared" si="118"/>
        <v>n/a</v>
      </c>
      <c r="I177" s="165" t="str">
        <f t="shared" si="118"/>
        <v>n/a</v>
      </c>
      <c r="J177" s="165" t="str">
        <f t="shared" si="118"/>
        <v>n/a</v>
      </c>
      <c r="K177" s="165" t="str">
        <f t="shared" si="118"/>
        <v>n/a</v>
      </c>
      <c r="L177" s="165" t="str">
        <f t="shared" si="118"/>
        <v>n/a</v>
      </c>
      <c r="M177" s="165" t="str">
        <f t="shared" si="118"/>
        <v>n/a</v>
      </c>
      <c r="P177" s="74"/>
      <c r="AH177" s="12"/>
      <c r="AI177" s="12"/>
      <c r="AJ177" s="12"/>
      <c r="AK177" s="12"/>
      <c r="AL177" s="12"/>
      <c r="AM177" s="12"/>
      <c r="AN177" s="12"/>
      <c r="AP177" s="119"/>
      <c r="AQ177" s="161">
        <v>79</v>
      </c>
      <c r="AR177" s="159">
        <v>45.47</v>
      </c>
      <c r="AS177" s="159">
        <v>4.1970999999999998</v>
      </c>
      <c r="AT177" s="159">
        <v>359</v>
      </c>
      <c r="AU177" s="159">
        <v>972.5</v>
      </c>
      <c r="AV177" s="159">
        <v>330.71</v>
      </c>
      <c r="AW177" s="159">
        <v>2.2400000000000002</v>
      </c>
      <c r="AX177" s="159">
        <v>79</v>
      </c>
      <c r="AY177" s="74"/>
      <c r="BB177" s="90"/>
      <c r="BC177" s="97"/>
      <c r="BD177" s="87"/>
    </row>
    <row r="178" spans="1:56">
      <c r="A178" s="25"/>
      <c r="B178" s="16" t="s">
        <v>241</v>
      </c>
      <c r="C178" s="221"/>
      <c r="D178" s="165" t="e">
        <f t="shared" ref="D178:M178" si="119">0.25/(LOG(D167/1000/3.71/(D166/1000)+5.74/D176^0.9))^2/4</f>
        <v>#DIV/0!</v>
      </c>
      <c r="E178" s="165" t="e">
        <f t="shared" si="119"/>
        <v>#DIV/0!</v>
      </c>
      <c r="F178" s="165" t="e">
        <f t="shared" si="119"/>
        <v>#DIV/0!</v>
      </c>
      <c r="G178" s="165" t="e">
        <f t="shared" si="119"/>
        <v>#DIV/0!</v>
      </c>
      <c r="H178" s="165" t="e">
        <f t="shared" si="119"/>
        <v>#DIV/0!</v>
      </c>
      <c r="I178" s="165" t="e">
        <f t="shared" si="119"/>
        <v>#DIV/0!</v>
      </c>
      <c r="J178" s="165" t="e">
        <f t="shared" si="119"/>
        <v>#DIV/0!</v>
      </c>
      <c r="K178" s="165" t="e">
        <f t="shared" si="119"/>
        <v>#DIV/0!</v>
      </c>
      <c r="L178" s="165" t="e">
        <f t="shared" si="119"/>
        <v>#DIV/0!</v>
      </c>
      <c r="M178" s="165" t="e">
        <f t="shared" si="119"/>
        <v>#DIV/0!</v>
      </c>
      <c r="P178" s="74"/>
      <c r="AH178" s="12"/>
      <c r="AI178" s="12"/>
      <c r="AJ178" s="12"/>
      <c r="AK178" s="12"/>
      <c r="AL178" s="12"/>
      <c r="AM178" s="12"/>
      <c r="AN178" s="12"/>
      <c r="AP178" s="119"/>
      <c r="AQ178" s="161">
        <v>80</v>
      </c>
      <c r="AR178" s="159">
        <v>47.36</v>
      </c>
      <c r="AS178" s="159">
        <v>4.1980000000000004</v>
      </c>
      <c r="AT178" s="159">
        <v>355</v>
      </c>
      <c r="AU178" s="159">
        <v>971.8</v>
      </c>
      <c r="AV178" s="159">
        <v>334.91</v>
      </c>
      <c r="AW178" s="159">
        <v>2.21</v>
      </c>
      <c r="AX178" s="159">
        <v>80</v>
      </c>
      <c r="AY178" s="74"/>
      <c r="BB178" s="90"/>
      <c r="BC178" s="97"/>
      <c r="BD178" s="87"/>
    </row>
    <row r="179" spans="1:56">
      <c r="A179" s="25"/>
      <c r="B179" s="16" t="s">
        <v>243</v>
      </c>
      <c r="C179" s="221"/>
      <c r="D179" s="165" t="str">
        <f t="shared" ref="D179:M179" si="120">IF($AK$89="Clean Water / Sewage","n/a",16/D177)</f>
        <v>n/a</v>
      </c>
      <c r="E179" s="165" t="str">
        <f t="shared" si="120"/>
        <v>n/a</v>
      </c>
      <c r="F179" s="165" t="str">
        <f t="shared" si="120"/>
        <v>n/a</v>
      </c>
      <c r="G179" s="165" t="str">
        <f t="shared" si="120"/>
        <v>n/a</v>
      </c>
      <c r="H179" s="165" t="str">
        <f t="shared" si="120"/>
        <v>n/a</v>
      </c>
      <c r="I179" s="165" t="str">
        <f t="shared" si="120"/>
        <v>n/a</v>
      </c>
      <c r="J179" s="165" t="str">
        <f t="shared" si="120"/>
        <v>n/a</v>
      </c>
      <c r="K179" s="165" t="str">
        <f t="shared" si="120"/>
        <v>n/a</v>
      </c>
      <c r="L179" s="165" t="str">
        <f t="shared" si="120"/>
        <v>n/a</v>
      </c>
      <c r="M179" s="165" t="str">
        <f t="shared" si="120"/>
        <v>n/a</v>
      </c>
      <c r="P179" s="74"/>
      <c r="AH179" s="12"/>
      <c r="AI179" s="12"/>
      <c r="AJ179" s="12"/>
      <c r="AK179" s="12"/>
      <c r="AL179" s="12"/>
      <c r="AM179" s="12"/>
      <c r="AN179" s="12"/>
      <c r="AP179" s="119"/>
      <c r="AQ179" s="161">
        <v>81</v>
      </c>
      <c r="AR179" s="159">
        <v>49.31</v>
      </c>
      <c r="AS179" s="159">
        <v>4.1989999999999998</v>
      </c>
      <c r="AT179" s="159">
        <v>350</v>
      </c>
      <c r="AU179" s="159">
        <v>971.2</v>
      </c>
      <c r="AV179" s="159">
        <v>339.11</v>
      </c>
      <c r="AW179" s="159">
        <v>2.1800000000000002</v>
      </c>
      <c r="AX179" s="159">
        <v>81</v>
      </c>
      <c r="AY179" s="74"/>
      <c r="BB179" s="90"/>
      <c r="BC179" s="97"/>
      <c r="BD179" s="87"/>
    </row>
    <row r="180" spans="1:56">
      <c r="A180" s="25"/>
      <c r="B180" s="16" t="s">
        <v>245</v>
      </c>
      <c r="C180" s="221"/>
      <c r="D180" s="165">
        <f t="shared" ref="D180:M180" si="121">IF(D166=0,0,IF($AK$89="Clean Water / Sewage",D178,IF(D177&lt;2300,D179,IF(D177&gt;4000,D178,IF(D179&gt;D178,D179,D178)))))</f>
        <v>0</v>
      </c>
      <c r="E180" s="165">
        <f t="shared" si="121"/>
        <v>0</v>
      </c>
      <c r="F180" s="165">
        <f t="shared" si="121"/>
        <v>0</v>
      </c>
      <c r="G180" s="165">
        <f t="shared" si="121"/>
        <v>0</v>
      </c>
      <c r="H180" s="165">
        <f t="shared" si="121"/>
        <v>0</v>
      </c>
      <c r="I180" s="165">
        <f t="shared" si="121"/>
        <v>0</v>
      </c>
      <c r="J180" s="165">
        <f t="shared" si="121"/>
        <v>0</v>
      </c>
      <c r="K180" s="165">
        <f t="shared" si="121"/>
        <v>0</v>
      </c>
      <c r="L180" s="165">
        <f t="shared" si="121"/>
        <v>0</v>
      </c>
      <c r="M180" s="165">
        <f t="shared" si="121"/>
        <v>0</v>
      </c>
      <c r="P180" s="74"/>
      <c r="AH180" s="12"/>
      <c r="AI180" s="12"/>
      <c r="AJ180" s="12"/>
      <c r="AK180" s="12"/>
      <c r="AL180" s="12"/>
      <c r="AM180" s="12"/>
      <c r="AN180" s="12"/>
      <c r="AP180" s="119"/>
      <c r="AQ180" s="161">
        <v>82</v>
      </c>
      <c r="AR180" s="159">
        <v>51.33</v>
      </c>
      <c r="AS180" s="159">
        <v>4.1999000000000004</v>
      </c>
      <c r="AT180" s="159">
        <v>346</v>
      </c>
      <c r="AU180" s="159">
        <v>970.6</v>
      </c>
      <c r="AV180" s="159">
        <v>343.31</v>
      </c>
      <c r="AW180" s="159">
        <v>2.15</v>
      </c>
      <c r="AX180" s="159">
        <v>82</v>
      </c>
      <c r="AY180" s="74"/>
      <c r="BB180" s="90"/>
      <c r="BC180" s="97"/>
      <c r="BD180" s="87"/>
    </row>
    <row r="181" spans="1:56">
      <c r="A181" s="25"/>
      <c r="B181" s="16" t="s">
        <v>246</v>
      </c>
      <c r="C181" s="221"/>
      <c r="D181" s="165" t="str">
        <f t="shared" ref="D181:M181" si="122">IF($AK$89="Clean Water / Sewage","n/a",1+2000/D177)</f>
        <v>n/a</v>
      </c>
      <c r="E181" s="165" t="str">
        <f t="shared" si="122"/>
        <v>n/a</v>
      </c>
      <c r="F181" s="165" t="str">
        <f t="shared" si="122"/>
        <v>n/a</v>
      </c>
      <c r="G181" s="165" t="str">
        <f t="shared" si="122"/>
        <v>n/a</v>
      </c>
      <c r="H181" s="165" t="str">
        <f t="shared" si="122"/>
        <v>n/a</v>
      </c>
      <c r="I181" s="165" t="str">
        <f t="shared" si="122"/>
        <v>n/a</v>
      </c>
      <c r="J181" s="165" t="str">
        <f t="shared" si="122"/>
        <v>n/a</v>
      </c>
      <c r="K181" s="165" t="str">
        <f t="shared" si="122"/>
        <v>n/a</v>
      </c>
      <c r="L181" s="165" t="str">
        <f t="shared" si="122"/>
        <v>n/a</v>
      </c>
      <c r="M181" s="165" t="str">
        <f t="shared" si="122"/>
        <v>n/a</v>
      </c>
      <c r="P181" s="74"/>
      <c r="AH181" s="12"/>
      <c r="AI181" s="12"/>
      <c r="AJ181" s="12"/>
      <c r="AK181" s="12"/>
      <c r="AL181" s="12"/>
      <c r="AM181" s="12"/>
      <c r="AN181" s="12"/>
      <c r="AP181" s="119"/>
      <c r="AQ181" s="161">
        <v>83</v>
      </c>
      <c r="AR181" s="159">
        <v>53.42</v>
      </c>
      <c r="AS181" s="159">
        <v>4.2008999999999999</v>
      </c>
      <c r="AT181" s="159">
        <v>342</v>
      </c>
      <c r="AU181" s="159">
        <v>969.9</v>
      </c>
      <c r="AV181" s="159">
        <v>347.51</v>
      </c>
      <c r="AW181" s="159">
        <v>2.12</v>
      </c>
      <c r="AX181" s="159">
        <v>83</v>
      </c>
      <c r="AY181" s="74"/>
      <c r="BB181" s="90"/>
      <c r="BC181" s="97"/>
      <c r="BD181" s="87"/>
    </row>
    <row r="182" spans="1:56">
      <c r="A182" s="25"/>
      <c r="B182" s="16" t="s">
        <v>248</v>
      </c>
      <c r="C182" s="221" t="s">
        <v>89</v>
      </c>
      <c r="D182" s="165">
        <f t="shared" ref="D182:M182" si="123">IF(D166=0,0,2*D180*D168/(D166/1000)*D171^2/9.81+IF($AK$89="Clean Water / Sewage",D169*D171^2/2/9.81,D181*D169*D171^2/2/9.81))</f>
        <v>0</v>
      </c>
      <c r="E182" s="165">
        <f t="shared" si="123"/>
        <v>0</v>
      </c>
      <c r="F182" s="165">
        <f t="shared" si="123"/>
        <v>0</v>
      </c>
      <c r="G182" s="165">
        <f t="shared" si="123"/>
        <v>0</v>
      </c>
      <c r="H182" s="165">
        <f t="shared" si="123"/>
        <v>0</v>
      </c>
      <c r="I182" s="165">
        <f t="shared" si="123"/>
        <v>0</v>
      </c>
      <c r="J182" s="165">
        <f t="shared" si="123"/>
        <v>0</v>
      </c>
      <c r="K182" s="165">
        <f t="shared" si="123"/>
        <v>0</v>
      </c>
      <c r="L182" s="165">
        <f t="shared" si="123"/>
        <v>0</v>
      </c>
      <c r="M182" s="165">
        <f t="shared" si="123"/>
        <v>0</v>
      </c>
      <c r="O182" s="166">
        <f>SUM(D182:N182)</f>
        <v>0</v>
      </c>
      <c r="P182" s="74"/>
      <c r="AH182" s="12"/>
      <c r="AI182" s="12"/>
      <c r="AJ182" s="12"/>
      <c r="AK182" s="12"/>
      <c r="AL182" s="12"/>
      <c r="AM182" s="12"/>
      <c r="AN182" s="12"/>
      <c r="AP182" s="119"/>
      <c r="AQ182" s="161">
        <v>84</v>
      </c>
      <c r="AR182" s="159">
        <v>55.57</v>
      </c>
      <c r="AS182" s="159">
        <v>4.202</v>
      </c>
      <c r="AT182" s="159">
        <v>338</v>
      </c>
      <c r="AU182" s="159">
        <v>969.3</v>
      </c>
      <c r="AV182" s="159">
        <v>351.71</v>
      </c>
      <c r="AW182" s="159">
        <v>2.1</v>
      </c>
      <c r="AX182" s="159">
        <v>84</v>
      </c>
      <c r="AY182" s="74"/>
      <c r="BB182" s="90"/>
      <c r="BC182" s="97"/>
      <c r="BD182" s="87"/>
    </row>
    <row r="183" spans="1:56">
      <c r="A183" s="25"/>
      <c r="B183" s="16" t="s">
        <v>248</v>
      </c>
      <c r="C183" s="221" t="s">
        <v>250</v>
      </c>
      <c r="D183" s="165">
        <f>D182*D$92*9.81/100000</f>
        <v>0</v>
      </c>
      <c r="E183" s="165">
        <f t="shared" ref="E183:M183" si="124">E182*E$92*9.81/100000</f>
        <v>0</v>
      </c>
      <c r="F183" s="165">
        <f t="shared" si="124"/>
        <v>0</v>
      </c>
      <c r="G183" s="165">
        <f t="shared" si="124"/>
        <v>0</v>
      </c>
      <c r="H183" s="165">
        <f t="shared" si="124"/>
        <v>0</v>
      </c>
      <c r="I183" s="165">
        <f t="shared" si="124"/>
        <v>0</v>
      </c>
      <c r="J183" s="165">
        <f t="shared" si="124"/>
        <v>0</v>
      </c>
      <c r="K183" s="165">
        <f t="shared" si="124"/>
        <v>0</v>
      </c>
      <c r="L183" s="165">
        <f t="shared" si="124"/>
        <v>0</v>
      </c>
      <c r="M183" s="165">
        <f t="shared" si="124"/>
        <v>0</v>
      </c>
      <c r="O183" s="166">
        <f>SUM(D183:N183)</f>
        <v>0</v>
      </c>
      <c r="P183" s="74"/>
      <c r="AH183" s="12"/>
      <c r="AI183" s="12"/>
      <c r="AJ183" s="12"/>
      <c r="AK183" s="12"/>
      <c r="AL183" s="12"/>
      <c r="AM183" s="12"/>
      <c r="AN183" s="12"/>
      <c r="AP183" s="119"/>
      <c r="AQ183" s="161">
        <v>85</v>
      </c>
      <c r="AR183" s="159">
        <v>57.8</v>
      </c>
      <c r="AS183" s="159">
        <v>4.2030000000000003</v>
      </c>
      <c r="AT183" s="159">
        <v>334</v>
      </c>
      <c r="AU183" s="159">
        <v>968.6</v>
      </c>
      <c r="AV183" s="159">
        <v>355.91</v>
      </c>
      <c r="AW183" s="159">
        <v>2.0699999999999998</v>
      </c>
      <c r="AX183" s="159">
        <v>85</v>
      </c>
      <c r="AY183" s="74"/>
      <c r="BB183" s="90"/>
      <c r="BC183" s="97"/>
      <c r="BD183" s="87"/>
    </row>
    <row r="184" spans="1:56">
      <c r="A184" s="25"/>
      <c r="P184" s="74"/>
      <c r="AH184" s="12"/>
      <c r="AI184" s="12"/>
      <c r="AJ184" s="12"/>
      <c r="AK184" s="12"/>
      <c r="AL184" s="12"/>
      <c r="AM184" s="12"/>
      <c r="AN184" s="12"/>
      <c r="AP184" s="119"/>
      <c r="AQ184" s="161">
        <v>86</v>
      </c>
      <c r="AR184" s="159">
        <v>60.11</v>
      </c>
      <c r="AS184" s="159">
        <v>4.2039999999999997</v>
      </c>
      <c r="AT184" s="159">
        <v>330</v>
      </c>
      <c r="AU184" s="159">
        <v>968</v>
      </c>
      <c r="AV184" s="159">
        <v>360.11</v>
      </c>
      <c r="AW184" s="159">
        <v>2.0499999999999998</v>
      </c>
      <c r="AX184" s="159">
        <v>86</v>
      </c>
      <c r="AY184" s="74"/>
      <c r="BB184" s="90"/>
      <c r="BC184" s="97"/>
      <c r="BD184" s="87"/>
    </row>
    <row r="185" spans="1:56">
      <c r="A185" s="25"/>
      <c r="B185" s="16" t="s">
        <v>215</v>
      </c>
      <c r="C185" s="221" t="s">
        <v>53</v>
      </c>
      <c r="D185" s="165">
        <f>C56</f>
        <v>0</v>
      </c>
      <c r="P185" s="74"/>
      <c r="AH185" s="12"/>
      <c r="AI185" s="12"/>
      <c r="AJ185" s="12"/>
      <c r="AK185" s="12"/>
      <c r="AL185" s="12"/>
      <c r="AM185" s="12"/>
      <c r="AN185" s="12"/>
      <c r="AP185" s="119"/>
      <c r="AQ185" s="161">
        <v>87</v>
      </c>
      <c r="AR185" s="159">
        <v>62.49</v>
      </c>
      <c r="AS185" s="159">
        <v>4.2050000000000001</v>
      </c>
      <c r="AT185" s="159">
        <v>326</v>
      </c>
      <c r="AU185" s="159">
        <v>967.3</v>
      </c>
      <c r="AV185" s="159">
        <v>364.32</v>
      </c>
      <c r="AW185" s="159">
        <v>2.02</v>
      </c>
      <c r="AX185" s="159">
        <v>87</v>
      </c>
      <c r="AY185" s="74"/>
      <c r="BB185" s="90"/>
      <c r="BC185" s="97"/>
      <c r="BD185" s="87"/>
    </row>
    <row r="186" spans="1:56">
      <c r="A186" s="25"/>
      <c r="B186" s="16" t="s">
        <v>217</v>
      </c>
      <c r="C186" s="221" t="s">
        <v>87</v>
      </c>
      <c r="D186" s="165">
        <f t="shared" ref="D186:M186" si="125">D$18</f>
        <v>0</v>
      </c>
      <c r="E186" s="165">
        <f t="shared" si="125"/>
        <v>0</v>
      </c>
      <c r="F186" s="166">
        <f t="shared" si="125"/>
        <v>0</v>
      </c>
      <c r="G186" s="166">
        <f t="shared" si="125"/>
        <v>0</v>
      </c>
      <c r="H186" s="166">
        <f t="shared" si="125"/>
        <v>0</v>
      </c>
      <c r="I186" s="166">
        <f t="shared" si="125"/>
        <v>0</v>
      </c>
      <c r="J186" s="166">
        <f t="shared" si="125"/>
        <v>0</v>
      </c>
      <c r="K186" s="166">
        <f t="shared" si="125"/>
        <v>0</v>
      </c>
      <c r="L186" s="166">
        <f t="shared" si="125"/>
        <v>0</v>
      </c>
      <c r="M186" s="166">
        <f t="shared" si="125"/>
        <v>0</v>
      </c>
      <c r="P186" s="74"/>
      <c r="AH186" s="12"/>
      <c r="AI186" s="12"/>
      <c r="AJ186" s="12"/>
      <c r="AK186" s="12"/>
      <c r="AL186" s="12"/>
      <c r="AM186" s="12"/>
      <c r="AN186" s="12"/>
      <c r="AP186" s="119"/>
      <c r="AQ186" s="161">
        <v>88</v>
      </c>
      <c r="AR186" s="159">
        <v>64.95</v>
      </c>
      <c r="AS186" s="159">
        <v>4.2060000000000004</v>
      </c>
      <c r="AT186" s="159">
        <v>322</v>
      </c>
      <c r="AU186" s="159">
        <v>966.7</v>
      </c>
      <c r="AV186" s="159">
        <v>368.52</v>
      </c>
      <c r="AW186" s="159">
        <v>2</v>
      </c>
      <c r="AX186" s="159">
        <v>88</v>
      </c>
      <c r="AY186" s="74"/>
      <c r="BB186" s="90"/>
      <c r="BC186" s="97"/>
      <c r="BD186" s="87"/>
    </row>
    <row r="187" spans="1:56">
      <c r="A187" s="25"/>
      <c r="B187" s="16" t="s">
        <v>218</v>
      </c>
      <c r="C187" s="221" t="s">
        <v>87</v>
      </c>
      <c r="D187" s="165">
        <f t="shared" ref="D187:M187" si="126">D$20</f>
        <v>0</v>
      </c>
      <c r="E187" s="165">
        <f t="shared" si="126"/>
        <v>0</v>
      </c>
      <c r="F187" s="166">
        <f t="shared" si="126"/>
        <v>0</v>
      </c>
      <c r="G187" s="166">
        <f t="shared" si="126"/>
        <v>0</v>
      </c>
      <c r="H187" s="166">
        <f t="shared" si="126"/>
        <v>0</v>
      </c>
      <c r="I187" s="166">
        <f t="shared" si="126"/>
        <v>0</v>
      </c>
      <c r="J187" s="166">
        <f t="shared" si="126"/>
        <v>0</v>
      </c>
      <c r="K187" s="166">
        <f t="shared" si="126"/>
        <v>0</v>
      </c>
      <c r="L187" s="166">
        <f t="shared" si="126"/>
        <v>0</v>
      </c>
      <c r="M187" s="166">
        <f t="shared" si="126"/>
        <v>0</v>
      </c>
      <c r="P187" s="74"/>
      <c r="AH187" s="12"/>
      <c r="AI187" s="12"/>
      <c r="AJ187" s="12"/>
      <c r="AK187" s="12"/>
      <c r="AL187" s="12"/>
      <c r="AM187" s="12"/>
      <c r="AN187" s="12"/>
      <c r="AP187" s="119"/>
      <c r="AQ187" s="161">
        <v>89</v>
      </c>
      <c r="AR187" s="159">
        <v>67.489999999999995</v>
      </c>
      <c r="AS187" s="159">
        <v>4.2069999999999999</v>
      </c>
      <c r="AT187" s="159">
        <v>318</v>
      </c>
      <c r="AU187" s="159">
        <v>966</v>
      </c>
      <c r="AV187" s="159">
        <v>372.73</v>
      </c>
      <c r="AW187" s="159">
        <v>1.97</v>
      </c>
      <c r="AX187" s="159">
        <v>89</v>
      </c>
      <c r="AY187" s="74"/>
      <c r="BB187" s="90"/>
      <c r="BC187" s="97"/>
      <c r="BD187" s="87"/>
    </row>
    <row r="188" spans="1:56">
      <c r="A188" s="25"/>
      <c r="B188" s="16" t="s">
        <v>220</v>
      </c>
      <c r="C188" s="221" t="s">
        <v>87</v>
      </c>
      <c r="D188" s="165">
        <f t="shared" ref="D188:M188" si="127">D$19</f>
        <v>0</v>
      </c>
      <c r="E188" s="165">
        <f t="shared" si="127"/>
        <v>0</v>
      </c>
      <c r="F188" s="166">
        <f t="shared" si="127"/>
        <v>0</v>
      </c>
      <c r="G188" s="166">
        <f t="shared" si="127"/>
        <v>0</v>
      </c>
      <c r="H188" s="166">
        <f t="shared" si="127"/>
        <v>0</v>
      </c>
      <c r="I188" s="166">
        <f t="shared" si="127"/>
        <v>0</v>
      </c>
      <c r="J188" s="166">
        <f t="shared" si="127"/>
        <v>0</v>
      </c>
      <c r="K188" s="166">
        <f t="shared" si="127"/>
        <v>0</v>
      </c>
      <c r="L188" s="166">
        <f t="shared" si="127"/>
        <v>0</v>
      </c>
      <c r="M188" s="166">
        <f t="shared" si="127"/>
        <v>0</v>
      </c>
      <c r="P188" s="74"/>
      <c r="AH188" s="12"/>
      <c r="AI188" s="12"/>
      <c r="AJ188" s="12"/>
      <c r="AK188" s="12"/>
      <c r="AL188" s="12"/>
      <c r="AM188" s="12"/>
      <c r="AN188" s="12"/>
      <c r="AP188" s="119"/>
      <c r="AQ188" s="161">
        <v>90</v>
      </c>
      <c r="AR188" s="159">
        <v>70.11</v>
      </c>
      <c r="AS188" s="159">
        <v>4.2080000000000002</v>
      </c>
      <c r="AT188" s="159">
        <v>314</v>
      </c>
      <c r="AU188" s="159">
        <v>965.3</v>
      </c>
      <c r="AV188" s="159">
        <v>376.94</v>
      </c>
      <c r="AW188" s="159">
        <v>1.95</v>
      </c>
      <c r="AX188" s="159">
        <v>90</v>
      </c>
      <c r="AY188" s="74"/>
      <c r="BB188" s="90"/>
      <c r="BC188" s="97"/>
      <c r="BD188" s="87"/>
    </row>
    <row r="189" spans="1:56">
      <c r="A189" s="25"/>
      <c r="B189" s="16" t="s">
        <v>221</v>
      </c>
      <c r="C189" s="221"/>
      <c r="D189" s="165">
        <f t="shared" ref="D189:M189" si="128">D$44</f>
        <v>0</v>
      </c>
      <c r="E189" s="165">
        <f t="shared" si="128"/>
        <v>0</v>
      </c>
      <c r="F189" s="166">
        <f t="shared" si="128"/>
        <v>0</v>
      </c>
      <c r="G189" s="166">
        <f t="shared" si="128"/>
        <v>0</v>
      </c>
      <c r="H189" s="166">
        <f t="shared" si="128"/>
        <v>0</v>
      </c>
      <c r="I189" s="166">
        <f t="shared" si="128"/>
        <v>0</v>
      </c>
      <c r="J189" s="166">
        <f t="shared" si="128"/>
        <v>0</v>
      </c>
      <c r="K189" s="166">
        <f t="shared" si="128"/>
        <v>0</v>
      </c>
      <c r="L189" s="166">
        <f t="shared" si="128"/>
        <v>0</v>
      </c>
      <c r="M189" s="166">
        <f t="shared" si="128"/>
        <v>0</v>
      </c>
      <c r="P189" s="74"/>
      <c r="AH189" s="12"/>
      <c r="AI189" s="12"/>
      <c r="AJ189" s="12"/>
      <c r="AK189" s="12"/>
      <c r="AL189" s="12"/>
      <c r="AM189" s="12"/>
      <c r="AN189" s="12"/>
      <c r="AP189" s="119"/>
      <c r="AQ189" s="161">
        <v>91</v>
      </c>
      <c r="AR189" s="159">
        <v>72.819999999999993</v>
      </c>
      <c r="AS189" s="159">
        <v>4.2089999999999996</v>
      </c>
      <c r="AT189" s="159">
        <v>311</v>
      </c>
      <c r="AU189" s="159">
        <v>964.7</v>
      </c>
      <c r="AV189" s="159">
        <v>381.15</v>
      </c>
      <c r="AW189" s="159">
        <v>1.93</v>
      </c>
      <c r="AX189" s="159">
        <v>91</v>
      </c>
      <c r="AY189" s="74"/>
      <c r="BB189" s="90"/>
      <c r="BC189" s="97"/>
      <c r="BD189" s="87"/>
    </row>
    <row r="190" spans="1:56">
      <c r="A190" s="25"/>
      <c r="B190" s="16" t="s">
        <v>91</v>
      </c>
      <c r="C190" s="221" t="s">
        <v>223</v>
      </c>
      <c r="D190" s="165">
        <f t="shared" ref="D190:M190" si="129">D$21</f>
        <v>0</v>
      </c>
      <c r="E190" s="165">
        <f t="shared" si="129"/>
        <v>0</v>
      </c>
      <c r="F190" s="166">
        <f t="shared" si="129"/>
        <v>0</v>
      </c>
      <c r="G190" s="166">
        <f t="shared" si="129"/>
        <v>0</v>
      </c>
      <c r="H190" s="166">
        <f t="shared" si="129"/>
        <v>0</v>
      </c>
      <c r="I190" s="166">
        <f t="shared" si="129"/>
        <v>0</v>
      </c>
      <c r="J190" s="166">
        <f t="shared" si="129"/>
        <v>0</v>
      </c>
      <c r="K190" s="166">
        <f t="shared" si="129"/>
        <v>0</v>
      </c>
      <c r="L190" s="166">
        <f t="shared" si="129"/>
        <v>0</v>
      </c>
      <c r="M190" s="166">
        <f t="shared" si="129"/>
        <v>0</v>
      </c>
      <c r="P190" s="74"/>
      <c r="AH190" s="12"/>
      <c r="AI190" s="12"/>
      <c r="AJ190" s="12"/>
      <c r="AK190" s="12"/>
      <c r="AL190" s="12"/>
      <c r="AM190" s="12"/>
      <c r="AN190" s="12"/>
      <c r="AP190" s="119"/>
      <c r="AQ190" s="161">
        <v>92</v>
      </c>
      <c r="AR190" s="159">
        <v>75.61</v>
      </c>
      <c r="AS190" s="159">
        <v>4.2099000000000002</v>
      </c>
      <c r="AT190" s="159">
        <v>307</v>
      </c>
      <c r="AU190" s="159">
        <v>964</v>
      </c>
      <c r="AV190" s="159">
        <v>385.36</v>
      </c>
      <c r="AW190" s="159">
        <v>1.9</v>
      </c>
      <c r="AX190" s="159">
        <v>92</v>
      </c>
      <c r="AY190" s="74"/>
      <c r="BB190" s="90"/>
      <c r="BC190" s="97"/>
      <c r="BD190" s="87"/>
    </row>
    <row r="191" spans="1:56">
      <c r="A191" s="25"/>
      <c r="B191" s="16" t="s">
        <v>226</v>
      </c>
      <c r="C191" s="221" t="s">
        <v>94</v>
      </c>
      <c r="D191" s="165" t="e">
        <f t="shared" ref="D191:M191" si="130">D$171*$D185/$D$165</f>
        <v>#VALUE!</v>
      </c>
      <c r="E191" s="165" t="e">
        <f t="shared" si="130"/>
        <v>#VALUE!</v>
      </c>
      <c r="F191" s="166" t="e">
        <f t="shared" si="130"/>
        <v>#VALUE!</v>
      </c>
      <c r="G191" s="166" t="e">
        <f t="shared" si="130"/>
        <v>#VALUE!</v>
      </c>
      <c r="H191" s="166" t="e">
        <f t="shared" si="130"/>
        <v>#VALUE!</v>
      </c>
      <c r="I191" s="166" t="e">
        <f t="shared" si="130"/>
        <v>#VALUE!</v>
      </c>
      <c r="J191" s="166" t="e">
        <f t="shared" si="130"/>
        <v>#VALUE!</v>
      </c>
      <c r="K191" s="166" t="e">
        <f t="shared" si="130"/>
        <v>#VALUE!</v>
      </c>
      <c r="L191" s="166" t="e">
        <f t="shared" si="130"/>
        <v>#VALUE!</v>
      </c>
      <c r="M191" s="166" t="e">
        <f t="shared" si="130"/>
        <v>#VALUE!</v>
      </c>
      <c r="P191" s="74"/>
      <c r="AH191" s="12"/>
      <c r="AI191" s="12"/>
      <c r="AJ191" s="12"/>
      <c r="AK191" s="12"/>
      <c r="AL191" s="12"/>
      <c r="AM191" s="12"/>
      <c r="AN191" s="12"/>
      <c r="AP191" s="119"/>
      <c r="AQ191" s="161">
        <v>93</v>
      </c>
      <c r="AR191" s="159">
        <v>78.489999999999995</v>
      </c>
      <c r="AS191" s="159">
        <v>4.2108999999999996</v>
      </c>
      <c r="AT191" s="159">
        <v>304</v>
      </c>
      <c r="AU191" s="159">
        <v>963.3</v>
      </c>
      <c r="AV191" s="159">
        <v>389.57</v>
      </c>
      <c r="AW191" s="159">
        <v>1.88</v>
      </c>
      <c r="AX191" s="159">
        <v>93</v>
      </c>
      <c r="AY191" s="74"/>
      <c r="BB191" s="90"/>
      <c r="BC191" s="97"/>
      <c r="BD191" s="87"/>
    </row>
    <row r="192" spans="1:56" ht="14.25">
      <c r="A192" s="25"/>
      <c r="B192" s="16" t="s">
        <v>228</v>
      </c>
      <c r="C192" s="221" t="s">
        <v>229</v>
      </c>
      <c r="D192" s="165">
        <f t="shared" ref="D192:M192" si="131">IF(D$21="",0.000001,VLOOKUP(D190,$AQ$98:$AX$198,4,FALSE)/VLOOKUP(D190,$AQ$98:$AX$198,5,FALSE)/1000000)</f>
        <v>9.9999999999999995E-7</v>
      </c>
      <c r="E192" s="165">
        <f t="shared" si="131"/>
        <v>9.9999999999999995E-7</v>
      </c>
      <c r="F192" s="165">
        <f t="shared" si="131"/>
        <v>9.9999999999999995E-7</v>
      </c>
      <c r="G192" s="165">
        <f t="shared" si="131"/>
        <v>9.9999999999999995E-7</v>
      </c>
      <c r="H192" s="165">
        <f t="shared" si="131"/>
        <v>9.9999999999999995E-7</v>
      </c>
      <c r="I192" s="165">
        <f t="shared" si="131"/>
        <v>9.9999999999999995E-7</v>
      </c>
      <c r="J192" s="165">
        <f t="shared" si="131"/>
        <v>9.9999999999999995E-7</v>
      </c>
      <c r="K192" s="165">
        <f t="shared" si="131"/>
        <v>9.9999999999999995E-7</v>
      </c>
      <c r="L192" s="165">
        <f t="shared" si="131"/>
        <v>9.9999999999999995E-7</v>
      </c>
      <c r="M192" s="165">
        <f t="shared" si="131"/>
        <v>9.9999999999999995E-7</v>
      </c>
      <c r="P192" s="74"/>
      <c r="AH192" s="12"/>
      <c r="AI192" s="12"/>
      <c r="AJ192" s="12"/>
      <c r="AK192" s="12"/>
      <c r="AL192" s="12"/>
      <c r="AM192" s="12"/>
      <c r="AN192" s="12"/>
      <c r="AP192" s="119"/>
      <c r="AQ192" s="161">
        <v>94</v>
      </c>
      <c r="AR192" s="159">
        <v>81.459999999999994</v>
      </c>
      <c r="AS192" s="159">
        <v>4.2119999999999997</v>
      </c>
      <c r="AT192" s="159">
        <v>300</v>
      </c>
      <c r="AU192" s="159">
        <v>962.7</v>
      </c>
      <c r="AV192" s="159">
        <v>393.78</v>
      </c>
      <c r="AW192" s="159">
        <v>1.85</v>
      </c>
      <c r="AX192" s="159">
        <v>94</v>
      </c>
      <c r="AY192" s="74"/>
      <c r="BB192" s="90"/>
      <c r="BC192" s="97"/>
      <c r="BD192" s="87"/>
    </row>
    <row r="193" spans="1:56" ht="14.25">
      <c r="A193" s="25"/>
      <c r="B193" s="16" t="s">
        <v>231</v>
      </c>
      <c r="C193" s="221" t="s">
        <v>232</v>
      </c>
      <c r="D193" s="165" t="str">
        <f t="shared" ref="D193:M193" si="132">IF($AK$89="Clean Water / Sewage","n/a",VLOOKUP($AK$89,$AI$104:$AM$109,$AM$94,FALSE)*(D$91^VLOOKUP($AK$89,$AI$104:$AM$109,5,FALSE))*EXP(1848/(273+D190)-1848/283))</f>
        <v>n/a</v>
      </c>
      <c r="E193" s="165" t="str">
        <f t="shared" si="132"/>
        <v>n/a</v>
      </c>
      <c r="F193" s="165" t="str">
        <f t="shared" si="132"/>
        <v>n/a</v>
      </c>
      <c r="G193" s="165" t="str">
        <f t="shared" si="132"/>
        <v>n/a</v>
      </c>
      <c r="H193" s="165" t="str">
        <f t="shared" si="132"/>
        <v>n/a</v>
      </c>
      <c r="I193" s="165" t="str">
        <f t="shared" si="132"/>
        <v>n/a</v>
      </c>
      <c r="J193" s="165" t="str">
        <f t="shared" si="132"/>
        <v>n/a</v>
      </c>
      <c r="K193" s="165" t="str">
        <f t="shared" si="132"/>
        <v>n/a</v>
      </c>
      <c r="L193" s="165" t="str">
        <f t="shared" si="132"/>
        <v>n/a</v>
      </c>
      <c r="M193" s="165" t="str">
        <f t="shared" si="132"/>
        <v>n/a</v>
      </c>
      <c r="P193" s="74"/>
      <c r="AH193" s="12"/>
      <c r="AI193" s="12"/>
      <c r="AJ193" s="12"/>
      <c r="AK193" s="12"/>
      <c r="AL193" s="12"/>
      <c r="AM193" s="12"/>
      <c r="AN193" s="12"/>
      <c r="AP193" s="119"/>
      <c r="AQ193" s="161">
        <v>95</v>
      </c>
      <c r="AR193" s="159">
        <v>84.53</v>
      </c>
      <c r="AS193" s="159">
        <v>4.2130000000000001</v>
      </c>
      <c r="AT193" s="159">
        <v>297</v>
      </c>
      <c r="AU193" s="159">
        <v>961.9</v>
      </c>
      <c r="AV193" s="159">
        <v>397.99</v>
      </c>
      <c r="AW193" s="159">
        <v>1.83</v>
      </c>
      <c r="AX193" s="159">
        <v>95</v>
      </c>
      <c r="AY193" s="74"/>
      <c r="BB193" s="90"/>
      <c r="BC193" s="97"/>
      <c r="BD193" s="87"/>
    </row>
    <row r="194" spans="1:56">
      <c r="A194" s="25"/>
      <c r="B194" s="16" t="s">
        <v>234</v>
      </c>
      <c r="C194" s="221"/>
      <c r="D194" s="165" t="str">
        <f t="shared" ref="D194:M194" si="133">IF($AK$89="Clean Water / Sewage","n/a",VLOOKUP($AK$89,$AI$97:$AM$102,$AM$94,FALSE)*(D$91^VLOOKUP($AK$89,$AI$97:$AM$102,5,FALSE)))</f>
        <v>n/a</v>
      </c>
      <c r="E194" s="165" t="str">
        <f t="shared" si="133"/>
        <v>n/a</v>
      </c>
      <c r="F194" s="165" t="str">
        <f t="shared" si="133"/>
        <v>n/a</v>
      </c>
      <c r="G194" s="165" t="str">
        <f t="shared" si="133"/>
        <v>n/a</v>
      </c>
      <c r="H194" s="165" t="str">
        <f t="shared" si="133"/>
        <v>n/a</v>
      </c>
      <c r="I194" s="165" t="str">
        <f t="shared" si="133"/>
        <v>n/a</v>
      </c>
      <c r="J194" s="165" t="str">
        <f t="shared" si="133"/>
        <v>n/a</v>
      </c>
      <c r="K194" s="165" t="str">
        <f t="shared" si="133"/>
        <v>n/a</v>
      </c>
      <c r="L194" s="165" t="str">
        <f t="shared" si="133"/>
        <v>n/a</v>
      </c>
      <c r="M194" s="165" t="str">
        <f t="shared" si="133"/>
        <v>n/a</v>
      </c>
      <c r="P194" s="74"/>
      <c r="AH194" s="12"/>
      <c r="AI194" s="12"/>
      <c r="AJ194" s="12"/>
      <c r="AK194" s="12"/>
      <c r="AL194" s="12"/>
      <c r="AM194" s="12"/>
      <c r="AN194" s="12"/>
      <c r="AP194" s="119"/>
      <c r="AQ194" s="161">
        <v>96</v>
      </c>
      <c r="AR194" s="159">
        <v>87.69</v>
      </c>
      <c r="AS194" s="159">
        <v>4.2141000000000002</v>
      </c>
      <c r="AT194" s="159">
        <v>294</v>
      </c>
      <c r="AU194" s="159">
        <v>961.2</v>
      </c>
      <c r="AV194" s="159">
        <v>402.3</v>
      </c>
      <c r="AW194" s="159">
        <v>1.81</v>
      </c>
      <c r="AX194" s="159">
        <v>96</v>
      </c>
      <c r="AY194" s="74"/>
      <c r="BB194" s="90"/>
      <c r="BC194" s="97"/>
      <c r="BD194" s="87"/>
    </row>
    <row r="195" spans="1:56" ht="14.25">
      <c r="A195" s="25"/>
      <c r="B195" s="16" t="s">
        <v>225</v>
      </c>
      <c r="C195" s="221" t="s">
        <v>232</v>
      </c>
      <c r="D195" s="165" t="str">
        <f t="shared" ref="D195:M195" si="134">IF($AK$89="Clean Water / Sewage","n/a",VLOOKUP($AK$89,$AI$111:$AM$116,$AM$94,FALSE)*(D$91^VLOOKUP($AK$89,$AI$111:$AM$116,5,FALSE))*EXP(1848/(273+D190)-1848/283))</f>
        <v>n/a</v>
      </c>
      <c r="E195" s="165" t="str">
        <f t="shared" si="134"/>
        <v>n/a</v>
      </c>
      <c r="F195" s="165" t="str">
        <f t="shared" si="134"/>
        <v>n/a</v>
      </c>
      <c r="G195" s="165" t="str">
        <f t="shared" si="134"/>
        <v>n/a</v>
      </c>
      <c r="H195" s="165" t="str">
        <f t="shared" si="134"/>
        <v>n/a</v>
      </c>
      <c r="I195" s="165" t="str">
        <f t="shared" si="134"/>
        <v>n/a</v>
      </c>
      <c r="J195" s="165" t="str">
        <f t="shared" si="134"/>
        <v>n/a</v>
      </c>
      <c r="K195" s="165" t="str">
        <f t="shared" si="134"/>
        <v>n/a</v>
      </c>
      <c r="L195" s="165" t="str">
        <f t="shared" si="134"/>
        <v>n/a</v>
      </c>
      <c r="M195" s="165" t="str">
        <f t="shared" si="134"/>
        <v>n/a</v>
      </c>
      <c r="P195" s="74"/>
      <c r="AH195" s="12"/>
      <c r="AI195" s="12"/>
      <c r="AJ195" s="12"/>
      <c r="AK195" s="12"/>
      <c r="AL195" s="12"/>
      <c r="AM195" s="12"/>
      <c r="AN195" s="12"/>
      <c r="AP195" s="119"/>
      <c r="AQ195" s="161">
        <v>97</v>
      </c>
      <c r="AR195" s="159">
        <v>90.94</v>
      </c>
      <c r="AS195" s="159">
        <v>4.2153</v>
      </c>
      <c r="AT195" s="159">
        <v>291</v>
      </c>
      <c r="AU195" s="159">
        <v>960.5</v>
      </c>
      <c r="AV195" s="159">
        <v>406.42</v>
      </c>
      <c r="AW195" s="159">
        <v>1.79</v>
      </c>
      <c r="AX195" s="159">
        <v>97</v>
      </c>
      <c r="AY195" s="74"/>
      <c r="BB195" s="90"/>
      <c r="BC195" s="97"/>
      <c r="BD195" s="87"/>
    </row>
    <row r="196" spans="1:56">
      <c r="A196" s="25"/>
      <c r="B196" s="16" t="s">
        <v>236</v>
      </c>
      <c r="C196" s="221"/>
      <c r="D196" s="165" t="e">
        <f t="shared" ref="D196:M196" si="135">IF($AK89="Clean Water / Sewage",D191*D186/1000/D192,D$92*D191*D186/1000/D195)</f>
        <v>#VALUE!</v>
      </c>
      <c r="E196" s="165" t="e">
        <f t="shared" si="135"/>
        <v>#VALUE!</v>
      </c>
      <c r="F196" s="165" t="e">
        <f t="shared" si="135"/>
        <v>#VALUE!</v>
      </c>
      <c r="G196" s="165" t="e">
        <f t="shared" si="135"/>
        <v>#VALUE!</v>
      </c>
      <c r="H196" s="165" t="e">
        <f t="shared" si="135"/>
        <v>#VALUE!</v>
      </c>
      <c r="I196" s="165" t="e">
        <f t="shared" si="135"/>
        <v>#VALUE!</v>
      </c>
      <c r="J196" s="165" t="e">
        <f t="shared" si="135"/>
        <v>#VALUE!</v>
      </c>
      <c r="K196" s="165" t="e">
        <f t="shared" si="135"/>
        <v>#VALUE!</v>
      </c>
      <c r="L196" s="165" t="e">
        <f t="shared" si="135"/>
        <v>#VALUE!</v>
      </c>
      <c r="M196" s="165" t="e">
        <f t="shared" si="135"/>
        <v>#VALUE!</v>
      </c>
      <c r="P196" s="74"/>
      <c r="AH196" s="12"/>
      <c r="AI196" s="12"/>
      <c r="AJ196" s="12"/>
      <c r="AK196" s="12"/>
      <c r="AL196" s="12"/>
      <c r="AM196" s="12"/>
      <c r="AN196" s="12"/>
      <c r="AP196" s="119"/>
      <c r="AQ196" s="161">
        <v>98</v>
      </c>
      <c r="AR196" s="159">
        <v>94.3</v>
      </c>
      <c r="AS196" s="159">
        <v>4.2164999999999999</v>
      </c>
      <c r="AT196" s="159">
        <v>287</v>
      </c>
      <c r="AU196" s="159">
        <v>959.8</v>
      </c>
      <c r="AV196" s="159">
        <v>410.63</v>
      </c>
      <c r="AW196" s="159">
        <v>1.77</v>
      </c>
      <c r="AX196" s="159">
        <v>98</v>
      </c>
      <c r="AY196" s="74"/>
      <c r="BB196" s="90"/>
      <c r="BC196" s="97"/>
      <c r="BD196" s="87"/>
    </row>
    <row r="197" spans="1:56">
      <c r="A197" s="25"/>
      <c r="B197" s="16" t="s">
        <v>238</v>
      </c>
      <c r="C197" s="221"/>
      <c r="D197" s="165" t="str">
        <f>IF(D193="n/a",D193,D$92*D191*D186/1000/D193*(8*D191/(D186/1000))^(1-D194))</f>
        <v>n/a</v>
      </c>
      <c r="E197" s="165" t="str">
        <f t="shared" ref="E197:M197" si="136">IF(E193="n/a",E193,E$92*E191*E186/1000/E193*(8*E191/(E186/1000))^(1-E194))</f>
        <v>n/a</v>
      </c>
      <c r="F197" s="165" t="str">
        <f t="shared" si="136"/>
        <v>n/a</v>
      </c>
      <c r="G197" s="165" t="str">
        <f t="shared" si="136"/>
        <v>n/a</v>
      </c>
      <c r="H197" s="165" t="str">
        <f t="shared" si="136"/>
        <v>n/a</v>
      </c>
      <c r="I197" s="165" t="str">
        <f t="shared" si="136"/>
        <v>n/a</v>
      </c>
      <c r="J197" s="165" t="str">
        <f t="shared" si="136"/>
        <v>n/a</v>
      </c>
      <c r="K197" s="165" t="str">
        <f t="shared" si="136"/>
        <v>n/a</v>
      </c>
      <c r="L197" s="165" t="str">
        <f t="shared" si="136"/>
        <v>n/a</v>
      </c>
      <c r="M197" s="165" t="str">
        <f t="shared" si="136"/>
        <v>n/a</v>
      </c>
      <c r="P197" s="74"/>
      <c r="AH197" s="12"/>
      <c r="AI197" s="12"/>
      <c r="AJ197" s="12"/>
      <c r="AK197" s="12"/>
      <c r="AL197" s="12"/>
      <c r="AM197" s="12"/>
      <c r="AN197" s="12"/>
      <c r="AP197" s="119"/>
      <c r="AQ197" s="161">
        <v>99</v>
      </c>
      <c r="AR197" s="159">
        <v>97.76</v>
      </c>
      <c r="AS197" s="159">
        <v>4.2176999999999998</v>
      </c>
      <c r="AT197" s="159">
        <v>284</v>
      </c>
      <c r="AU197" s="159">
        <v>959.1</v>
      </c>
      <c r="AV197" s="159">
        <v>414.84</v>
      </c>
      <c r="AW197" s="159">
        <v>1.76</v>
      </c>
      <c r="AX197" s="159">
        <v>99</v>
      </c>
      <c r="AY197" s="74"/>
      <c r="BB197" s="90"/>
      <c r="BC197" s="97"/>
      <c r="BD197" s="87"/>
    </row>
    <row r="198" spans="1:56">
      <c r="A198" s="25"/>
      <c r="B198" s="16" t="s">
        <v>241</v>
      </c>
      <c r="C198" s="221"/>
      <c r="D198" s="165" t="e">
        <f t="shared" ref="D198:M198" si="137">0.25/(LOG(D187/1000/3.71/(D186/1000)+5.74/D196^0.9))^2/4</f>
        <v>#DIV/0!</v>
      </c>
      <c r="E198" s="165" t="e">
        <f t="shared" si="137"/>
        <v>#DIV/0!</v>
      </c>
      <c r="F198" s="166" t="e">
        <f t="shared" si="137"/>
        <v>#DIV/0!</v>
      </c>
      <c r="G198" s="166" t="e">
        <f t="shared" si="137"/>
        <v>#DIV/0!</v>
      </c>
      <c r="H198" s="166" t="e">
        <f t="shared" si="137"/>
        <v>#DIV/0!</v>
      </c>
      <c r="I198" s="166" t="e">
        <f t="shared" si="137"/>
        <v>#DIV/0!</v>
      </c>
      <c r="J198" s="166" t="e">
        <f t="shared" si="137"/>
        <v>#DIV/0!</v>
      </c>
      <c r="K198" s="166" t="e">
        <f t="shared" si="137"/>
        <v>#DIV/0!</v>
      </c>
      <c r="L198" s="166" t="e">
        <f t="shared" si="137"/>
        <v>#DIV/0!</v>
      </c>
      <c r="M198" s="166" t="e">
        <f t="shared" si="137"/>
        <v>#DIV/0!</v>
      </c>
      <c r="P198" s="74"/>
      <c r="AI198" s="12"/>
      <c r="AJ198" s="12"/>
      <c r="AK198" s="12"/>
      <c r="AL198" s="12"/>
      <c r="AM198" s="12"/>
      <c r="AN198" s="12"/>
      <c r="AP198" s="119"/>
      <c r="AQ198" s="161">
        <v>100</v>
      </c>
      <c r="AR198" s="159">
        <v>101.33</v>
      </c>
      <c r="AS198" s="159">
        <v>4.2190000000000003</v>
      </c>
      <c r="AT198" s="159">
        <v>281</v>
      </c>
      <c r="AU198" s="159">
        <v>958.3</v>
      </c>
      <c r="AV198" s="159">
        <v>419.06</v>
      </c>
      <c r="AW198" s="159">
        <v>1.74</v>
      </c>
      <c r="AX198" s="159">
        <v>100</v>
      </c>
      <c r="AY198" s="74"/>
      <c r="BB198" s="90"/>
      <c r="BC198" s="97"/>
      <c r="BD198" s="87"/>
    </row>
    <row r="199" spans="1:56">
      <c r="A199" s="25"/>
      <c r="B199" s="16" t="s">
        <v>243</v>
      </c>
      <c r="C199" s="221"/>
      <c r="D199" s="165" t="str">
        <f t="shared" ref="D199:M199" si="138">IF($AK$89="Clean Water / Sewage","n/a",16/D197)</f>
        <v>n/a</v>
      </c>
      <c r="E199" s="165" t="str">
        <f t="shared" si="138"/>
        <v>n/a</v>
      </c>
      <c r="F199" s="166" t="str">
        <f t="shared" si="138"/>
        <v>n/a</v>
      </c>
      <c r="G199" s="166" t="str">
        <f t="shared" si="138"/>
        <v>n/a</v>
      </c>
      <c r="H199" s="166" t="str">
        <f t="shared" si="138"/>
        <v>n/a</v>
      </c>
      <c r="I199" s="166" t="str">
        <f t="shared" si="138"/>
        <v>n/a</v>
      </c>
      <c r="J199" s="166" t="str">
        <f t="shared" si="138"/>
        <v>n/a</v>
      </c>
      <c r="K199" s="166" t="str">
        <f t="shared" si="138"/>
        <v>n/a</v>
      </c>
      <c r="L199" s="166" t="str">
        <f t="shared" si="138"/>
        <v>n/a</v>
      </c>
      <c r="M199" s="166" t="str">
        <f t="shared" si="138"/>
        <v>n/a</v>
      </c>
      <c r="P199" s="74"/>
      <c r="AI199" s="12"/>
      <c r="AJ199" s="12"/>
      <c r="AK199" s="12"/>
      <c r="AL199" s="12"/>
      <c r="AM199" s="12"/>
      <c r="AN199" s="12"/>
      <c r="AP199" s="119"/>
      <c r="AQ199" s="150" t="s">
        <v>91</v>
      </c>
      <c r="AR199" s="150" t="s">
        <v>184</v>
      </c>
      <c r="AS199" s="150" t="s">
        <v>185</v>
      </c>
      <c r="AT199" s="150" t="s">
        <v>186</v>
      </c>
      <c r="AU199" s="150" t="s">
        <v>187</v>
      </c>
      <c r="AV199" s="150" t="s">
        <v>188</v>
      </c>
      <c r="AW199" s="150" t="s">
        <v>189</v>
      </c>
      <c r="AX199" s="151" t="s">
        <v>91</v>
      </c>
      <c r="AY199" s="74"/>
      <c r="BB199" s="90"/>
      <c r="BC199" s="97"/>
      <c r="BD199" s="87"/>
    </row>
    <row r="200" spans="1:56" ht="15">
      <c r="A200" s="25"/>
      <c r="B200" s="16" t="s">
        <v>245</v>
      </c>
      <c r="C200" s="221"/>
      <c r="D200" s="165">
        <f t="shared" ref="D200:M200" si="139">IF(D186=0,0,IF($AK$89="Clean Water / Sewage",D198,IF(D197&lt;2300,D199,IF(D197&gt;4000,D198,IF(D199&gt;D198,D199,D198)))))</f>
        <v>0</v>
      </c>
      <c r="E200" s="165">
        <f t="shared" si="139"/>
        <v>0</v>
      </c>
      <c r="F200" s="166">
        <f t="shared" si="139"/>
        <v>0</v>
      </c>
      <c r="G200" s="166">
        <f t="shared" si="139"/>
        <v>0</v>
      </c>
      <c r="H200" s="166">
        <f t="shared" si="139"/>
        <v>0</v>
      </c>
      <c r="I200" s="166">
        <f t="shared" si="139"/>
        <v>0</v>
      </c>
      <c r="J200" s="166">
        <f t="shared" si="139"/>
        <v>0</v>
      </c>
      <c r="K200" s="166">
        <f t="shared" si="139"/>
        <v>0</v>
      </c>
      <c r="L200" s="166">
        <f t="shared" si="139"/>
        <v>0</v>
      </c>
      <c r="M200" s="166">
        <f t="shared" si="139"/>
        <v>0</v>
      </c>
      <c r="P200" s="74"/>
      <c r="AI200" s="12"/>
      <c r="AJ200" s="12"/>
      <c r="AK200" s="12"/>
      <c r="AL200" s="12"/>
      <c r="AM200" s="12"/>
      <c r="AN200" s="12"/>
      <c r="AP200" s="119"/>
      <c r="AQ200" s="157" t="s">
        <v>192</v>
      </c>
      <c r="AR200" s="157" t="s">
        <v>193</v>
      </c>
      <c r="AS200" s="157" t="s">
        <v>194</v>
      </c>
      <c r="AT200" s="157" t="s">
        <v>195</v>
      </c>
      <c r="AU200" s="157" t="s">
        <v>196</v>
      </c>
      <c r="AV200" s="157" t="s">
        <v>197</v>
      </c>
      <c r="AW200" s="157" t="s">
        <v>198</v>
      </c>
      <c r="AX200" s="158" t="s">
        <v>192</v>
      </c>
      <c r="AY200" s="74"/>
      <c r="BB200" s="90"/>
      <c r="BC200" s="97"/>
      <c r="BD200" s="87"/>
    </row>
    <row r="201" spans="1:56" ht="12.75" thickBot="1">
      <c r="A201" s="25"/>
      <c r="B201" s="16" t="s">
        <v>246</v>
      </c>
      <c r="C201" s="221"/>
      <c r="D201" s="165" t="str">
        <f t="shared" ref="D201:M201" si="140">IF($AK$89="Clean Water / Sewage","n/a",1+2000/D197)</f>
        <v>n/a</v>
      </c>
      <c r="E201" s="165" t="str">
        <f t="shared" si="140"/>
        <v>n/a</v>
      </c>
      <c r="F201" s="166" t="str">
        <f t="shared" si="140"/>
        <v>n/a</v>
      </c>
      <c r="G201" s="166" t="str">
        <f t="shared" si="140"/>
        <v>n/a</v>
      </c>
      <c r="H201" s="166" t="str">
        <f t="shared" si="140"/>
        <v>n/a</v>
      </c>
      <c r="I201" s="166" t="str">
        <f t="shared" si="140"/>
        <v>n/a</v>
      </c>
      <c r="J201" s="166" t="str">
        <f t="shared" si="140"/>
        <v>n/a</v>
      </c>
      <c r="K201" s="166" t="str">
        <f t="shared" si="140"/>
        <v>n/a</v>
      </c>
      <c r="L201" s="166" t="str">
        <f t="shared" si="140"/>
        <v>n/a</v>
      </c>
      <c r="M201" s="166" t="str">
        <f t="shared" si="140"/>
        <v>n/a</v>
      </c>
      <c r="P201" s="74"/>
      <c r="AI201" s="12"/>
      <c r="AJ201" s="12"/>
      <c r="AK201" s="12"/>
      <c r="AL201" s="12"/>
      <c r="AM201" s="12"/>
      <c r="AN201" s="12"/>
      <c r="AP201" s="203"/>
      <c r="AQ201" s="199"/>
      <c r="AR201" s="199"/>
      <c r="AS201" s="199"/>
      <c r="AT201" s="199"/>
      <c r="AU201" s="111"/>
      <c r="AV201" s="111"/>
      <c r="AW201" s="111"/>
      <c r="AX201" s="111"/>
      <c r="AY201" s="86"/>
      <c r="BB201" s="90"/>
      <c r="BC201" s="97"/>
      <c r="BD201" s="87"/>
    </row>
    <row r="202" spans="1:56">
      <c r="A202" s="25"/>
      <c r="B202" s="16" t="s">
        <v>248</v>
      </c>
      <c r="C202" s="221" t="s">
        <v>89</v>
      </c>
      <c r="D202" s="165">
        <f t="shared" ref="D202:M202" si="141">IF(D186=0,0,2*D200*D188/(D186/1000)*D191^2/9.81+IF($AK$89="Clean Water / Sewage",D189*D191^2/2/9.81,D201*D189*D191^2/2/9.81))</f>
        <v>0</v>
      </c>
      <c r="E202" s="165">
        <f t="shared" si="141"/>
        <v>0</v>
      </c>
      <c r="F202" s="166">
        <f t="shared" si="141"/>
        <v>0</v>
      </c>
      <c r="G202" s="166">
        <f t="shared" si="141"/>
        <v>0</v>
      </c>
      <c r="H202" s="166">
        <f t="shared" si="141"/>
        <v>0</v>
      </c>
      <c r="I202" s="166">
        <f t="shared" si="141"/>
        <v>0</v>
      </c>
      <c r="J202" s="166">
        <f t="shared" si="141"/>
        <v>0</v>
      </c>
      <c r="K202" s="166">
        <f t="shared" si="141"/>
        <v>0</v>
      </c>
      <c r="L202" s="166">
        <f t="shared" si="141"/>
        <v>0</v>
      </c>
      <c r="M202" s="166">
        <f t="shared" si="141"/>
        <v>0</v>
      </c>
      <c r="O202" s="166">
        <f>SUM(D202:N202)</f>
        <v>0</v>
      </c>
      <c r="P202" s="74"/>
      <c r="AI202" s="12"/>
      <c r="AJ202" s="12"/>
      <c r="AK202" s="12"/>
      <c r="AL202" s="12"/>
      <c r="AM202" s="12"/>
      <c r="AN202" s="12"/>
      <c r="BB202" s="90"/>
      <c r="BC202" s="97"/>
      <c r="BD202" s="87"/>
    </row>
    <row r="203" spans="1:56">
      <c r="A203" s="25"/>
      <c r="B203" s="16" t="s">
        <v>248</v>
      </c>
      <c r="C203" s="221" t="s">
        <v>250</v>
      </c>
      <c r="D203" s="165">
        <f>D202*D$92*9.81/100000</f>
        <v>0</v>
      </c>
      <c r="E203" s="165">
        <f t="shared" ref="E203:M203" si="142">E202*E$92*9.81/100000</f>
        <v>0</v>
      </c>
      <c r="F203" s="165">
        <f t="shared" si="142"/>
        <v>0</v>
      </c>
      <c r="G203" s="165">
        <f t="shared" si="142"/>
        <v>0</v>
      </c>
      <c r="H203" s="165">
        <f t="shared" si="142"/>
        <v>0</v>
      </c>
      <c r="I203" s="165">
        <f t="shared" si="142"/>
        <v>0</v>
      </c>
      <c r="J203" s="165">
        <f t="shared" si="142"/>
        <v>0</v>
      </c>
      <c r="K203" s="165">
        <f t="shared" si="142"/>
        <v>0</v>
      </c>
      <c r="L203" s="165">
        <f t="shared" si="142"/>
        <v>0</v>
      </c>
      <c r="M203" s="165">
        <f t="shared" si="142"/>
        <v>0</v>
      </c>
      <c r="O203" s="166">
        <f>SUM(D203:N203)</f>
        <v>0</v>
      </c>
      <c r="P203" s="74"/>
      <c r="AI203" s="12"/>
      <c r="AJ203" s="12"/>
      <c r="AK203" s="12"/>
      <c r="AL203" s="12"/>
      <c r="AM203" s="12"/>
      <c r="AN203" s="12"/>
      <c r="BB203" s="90"/>
      <c r="BC203" s="97"/>
      <c r="BD203" s="87"/>
    </row>
    <row r="204" spans="1:56">
      <c r="A204" s="25"/>
      <c r="P204" s="74"/>
      <c r="AI204" s="12"/>
      <c r="AJ204" s="12"/>
      <c r="AK204" s="12"/>
      <c r="AL204" s="12"/>
      <c r="AM204" s="12"/>
      <c r="AN204" s="12"/>
      <c r="BB204" s="90"/>
      <c r="BC204" s="97"/>
      <c r="BD204" s="87"/>
    </row>
    <row r="205" spans="1:56">
      <c r="A205" s="25"/>
      <c r="B205" s="16" t="s">
        <v>215</v>
      </c>
      <c r="C205" s="221" t="s">
        <v>53</v>
      </c>
      <c r="D205" s="165">
        <f>C57</f>
        <v>0</v>
      </c>
      <c r="P205" s="74"/>
      <c r="AI205" s="12"/>
      <c r="AJ205" s="12"/>
      <c r="AK205" s="12"/>
      <c r="AL205" s="12"/>
      <c r="AM205" s="12"/>
      <c r="AN205" s="12"/>
      <c r="BB205" s="90"/>
      <c r="BC205" s="97"/>
      <c r="BD205" s="87"/>
    </row>
    <row r="206" spans="1:56">
      <c r="A206" s="25"/>
      <c r="B206" s="16" t="s">
        <v>217</v>
      </c>
      <c r="C206" s="221" t="s">
        <v>87</v>
      </c>
      <c r="D206" s="165">
        <f t="shared" ref="D206:M206" si="143">D$18</f>
        <v>0</v>
      </c>
      <c r="E206" s="165">
        <f t="shared" si="143"/>
        <v>0</v>
      </c>
      <c r="F206" s="166">
        <f t="shared" si="143"/>
        <v>0</v>
      </c>
      <c r="G206" s="166">
        <f t="shared" si="143"/>
        <v>0</v>
      </c>
      <c r="H206" s="166">
        <f t="shared" si="143"/>
        <v>0</v>
      </c>
      <c r="I206" s="166">
        <f t="shared" si="143"/>
        <v>0</v>
      </c>
      <c r="J206" s="166">
        <f t="shared" si="143"/>
        <v>0</v>
      </c>
      <c r="K206" s="166">
        <f t="shared" si="143"/>
        <v>0</v>
      </c>
      <c r="L206" s="166">
        <f t="shared" si="143"/>
        <v>0</v>
      </c>
      <c r="M206" s="166">
        <f t="shared" si="143"/>
        <v>0</v>
      </c>
      <c r="P206" s="74"/>
      <c r="AI206" s="12"/>
      <c r="AJ206" s="12"/>
      <c r="AK206" s="12"/>
      <c r="AL206" s="12"/>
      <c r="AM206" s="12"/>
      <c r="AN206" s="12"/>
      <c r="AZ206" s="90"/>
      <c r="BA206" s="90"/>
      <c r="BB206" s="90"/>
    </row>
    <row r="207" spans="1:56">
      <c r="A207" s="25"/>
      <c r="B207" s="16" t="s">
        <v>218</v>
      </c>
      <c r="C207" s="221" t="s">
        <v>87</v>
      </c>
      <c r="D207" s="165">
        <f t="shared" ref="D207:M207" si="144">D$20</f>
        <v>0</v>
      </c>
      <c r="E207" s="165">
        <f t="shared" si="144"/>
        <v>0</v>
      </c>
      <c r="F207" s="166">
        <f t="shared" si="144"/>
        <v>0</v>
      </c>
      <c r="G207" s="166">
        <f t="shared" si="144"/>
        <v>0</v>
      </c>
      <c r="H207" s="166">
        <f t="shared" si="144"/>
        <v>0</v>
      </c>
      <c r="I207" s="166">
        <f t="shared" si="144"/>
        <v>0</v>
      </c>
      <c r="J207" s="166">
        <f t="shared" si="144"/>
        <v>0</v>
      </c>
      <c r="K207" s="166">
        <f t="shared" si="144"/>
        <v>0</v>
      </c>
      <c r="L207" s="166">
        <f t="shared" si="144"/>
        <v>0</v>
      </c>
      <c r="M207" s="166">
        <f t="shared" si="144"/>
        <v>0</v>
      </c>
      <c r="P207" s="74"/>
      <c r="AI207" s="12"/>
      <c r="AJ207" s="12"/>
      <c r="AK207" s="12"/>
      <c r="AL207" s="12"/>
      <c r="AM207" s="12"/>
      <c r="AN207" s="12"/>
      <c r="AZ207" s="90"/>
      <c r="BA207" s="90"/>
      <c r="BB207" s="90"/>
    </row>
    <row r="208" spans="1:56">
      <c r="A208" s="25"/>
      <c r="B208" s="16" t="s">
        <v>220</v>
      </c>
      <c r="C208" s="221" t="s">
        <v>87</v>
      </c>
      <c r="D208" s="165">
        <f t="shared" ref="D208:M208" si="145">D$19</f>
        <v>0</v>
      </c>
      <c r="E208" s="165">
        <f t="shared" si="145"/>
        <v>0</v>
      </c>
      <c r="F208" s="166">
        <f t="shared" si="145"/>
        <v>0</v>
      </c>
      <c r="G208" s="166">
        <f t="shared" si="145"/>
        <v>0</v>
      </c>
      <c r="H208" s="166">
        <f t="shared" si="145"/>
        <v>0</v>
      </c>
      <c r="I208" s="166">
        <f t="shared" si="145"/>
        <v>0</v>
      </c>
      <c r="J208" s="166">
        <f t="shared" si="145"/>
        <v>0</v>
      </c>
      <c r="K208" s="166">
        <f t="shared" si="145"/>
        <v>0</v>
      </c>
      <c r="L208" s="166">
        <f t="shared" si="145"/>
        <v>0</v>
      </c>
      <c r="M208" s="166">
        <f t="shared" si="145"/>
        <v>0</v>
      </c>
      <c r="P208" s="74"/>
      <c r="AI208" s="12"/>
      <c r="AJ208" s="12"/>
      <c r="AK208" s="12"/>
      <c r="AL208" s="12"/>
      <c r="AM208" s="12"/>
      <c r="AN208" s="12"/>
      <c r="AZ208" s="90"/>
      <c r="BA208" s="90"/>
      <c r="BB208" s="90"/>
    </row>
    <row r="209" spans="1:40">
      <c r="A209" s="25"/>
      <c r="B209" s="16" t="s">
        <v>221</v>
      </c>
      <c r="C209" s="221"/>
      <c r="D209" s="165">
        <f t="shared" ref="D209:M209" si="146">D$44</f>
        <v>0</v>
      </c>
      <c r="E209" s="165">
        <f t="shared" si="146"/>
        <v>0</v>
      </c>
      <c r="F209" s="166">
        <f t="shared" si="146"/>
        <v>0</v>
      </c>
      <c r="G209" s="166">
        <f t="shared" si="146"/>
        <v>0</v>
      </c>
      <c r="H209" s="166">
        <f t="shared" si="146"/>
        <v>0</v>
      </c>
      <c r="I209" s="166">
        <f t="shared" si="146"/>
        <v>0</v>
      </c>
      <c r="J209" s="166">
        <f t="shared" si="146"/>
        <v>0</v>
      </c>
      <c r="K209" s="166">
        <f t="shared" si="146"/>
        <v>0</v>
      </c>
      <c r="L209" s="166">
        <f t="shared" si="146"/>
        <v>0</v>
      </c>
      <c r="M209" s="166">
        <f t="shared" si="146"/>
        <v>0</v>
      </c>
      <c r="P209" s="74"/>
      <c r="AI209" s="12"/>
      <c r="AJ209" s="12"/>
      <c r="AK209" s="12"/>
      <c r="AL209" s="12"/>
      <c r="AM209" s="12"/>
      <c r="AN209" s="12"/>
    </row>
    <row r="210" spans="1:40">
      <c r="A210" s="25"/>
      <c r="B210" s="16" t="s">
        <v>91</v>
      </c>
      <c r="C210" s="221" t="s">
        <v>223</v>
      </c>
      <c r="D210" s="165">
        <f t="shared" ref="D210:M210" si="147">D$21</f>
        <v>0</v>
      </c>
      <c r="E210" s="165">
        <f t="shared" si="147"/>
        <v>0</v>
      </c>
      <c r="F210" s="166">
        <f t="shared" si="147"/>
        <v>0</v>
      </c>
      <c r="G210" s="166">
        <f t="shared" si="147"/>
        <v>0</v>
      </c>
      <c r="H210" s="166">
        <f t="shared" si="147"/>
        <v>0</v>
      </c>
      <c r="I210" s="166">
        <f t="shared" si="147"/>
        <v>0</v>
      </c>
      <c r="J210" s="166">
        <f t="shared" si="147"/>
        <v>0</v>
      </c>
      <c r="K210" s="166">
        <f t="shared" si="147"/>
        <v>0</v>
      </c>
      <c r="L210" s="166">
        <f t="shared" si="147"/>
        <v>0</v>
      </c>
      <c r="M210" s="166">
        <f t="shared" si="147"/>
        <v>0</v>
      </c>
      <c r="P210" s="74"/>
      <c r="AI210" s="12"/>
      <c r="AJ210" s="12"/>
      <c r="AK210" s="12"/>
      <c r="AL210" s="12"/>
      <c r="AM210" s="12"/>
      <c r="AN210" s="12"/>
    </row>
    <row r="211" spans="1:40">
      <c r="A211" s="25"/>
      <c r="B211" s="16" t="s">
        <v>226</v>
      </c>
      <c r="C211" s="221" t="s">
        <v>94</v>
      </c>
      <c r="D211" s="165" t="e">
        <f t="shared" ref="D211:M211" si="148">D$171*$D205/$D$165</f>
        <v>#VALUE!</v>
      </c>
      <c r="E211" s="165" t="e">
        <f t="shared" si="148"/>
        <v>#VALUE!</v>
      </c>
      <c r="F211" s="166" t="e">
        <f t="shared" si="148"/>
        <v>#VALUE!</v>
      </c>
      <c r="G211" s="166" t="e">
        <f t="shared" si="148"/>
        <v>#VALUE!</v>
      </c>
      <c r="H211" s="166" t="e">
        <f t="shared" si="148"/>
        <v>#VALUE!</v>
      </c>
      <c r="I211" s="166" t="e">
        <f t="shared" si="148"/>
        <v>#VALUE!</v>
      </c>
      <c r="J211" s="166" t="e">
        <f t="shared" si="148"/>
        <v>#VALUE!</v>
      </c>
      <c r="K211" s="166" t="e">
        <f t="shared" si="148"/>
        <v>#VALUE!</v>
      </c>
      <c r="L211" s="166" t="e">
        <f t="shared" si="148"/>
        <v>#VALUE!</v>
      </c>
      <c r="M211" s="166" t="e">
        <f t="shared" si="148"/>
        <v>#VALUE!</v>
      </c>
      <c r="P211" s="74"/>
      <c r="AI211" s="12"/>
      <c r="AJ211" s="12"/>
      <c r="AK211" s="12"/>
      <c r="AL211" s="12"/>
      <c r="AM211" s="12"/>
      <c r="AN211" s="12"/>
    </row>
    <row r="212" spans="1:40" ht="14.25">
      <c r="A212" s="25"/>
      <c r="B212" s="16" t="s">
        <v>228</v>
      </c>
      <c r="C212" s="221" t="s">
        <v>229</v>
      </c>
      <c r="D212" s="165">
        <f t="shared" ref="D212:M212" si="149">IF(D$21="",0.000001,VLOOKUP(D210,$AQ$98:$AX$198,4,FALSE)/VLOOKUP(D210,$AQ$98:$AX$198,5,FALSE)/1000000)</f>
        <v>9.9999999999999995E-7</v>
      </c>
      <c r="E212" s="165">
        <f t="shared" si="149"/>
        <v>9.9999999999999995E-7</v>
      </c>
      <c r="F212" s="165">
        <f t="shared" si="149"/>
        <v>9.9999999999999995E-7</v>
      </c>
      <c r="G212" s="165">
        <f t="shared" si="149"/>
        <v>9.9999999999999995E-7</v>
      </c>
      <c r="H212" s="165">
        <f t="shared" si="149"/>
        <v>9.9999999999999995E-7</v>
      </c>
      <c r="I212" s="165">
        <f t="shared" si="149"/>
        <v>9.9999999999999995E-7</v>
      </c>
      <c r="J212" s="165">
        <f t="shared" si="149"/>
        <v>9.9999999999999995E-7</v>
      </c>
      <c r="K212" s="165">
        <f t="shared" si="149"/>
        <v>9.9999999999999995E-7</v>
      </c>
      <c r="L212" s="165">
        <f t="shared" si="149"/>
        <v>9.9999999999999995E-7</v>
      </c>
      <c r="M212" s="165">
        <f t="shared" si="149"/>
        <v>9.9999999999999995E-7</v>
      </c>
      <c r="P212" s="74"/>
      <c r="AI212" s="12"/>
      <c r="AJ212" s="12"/>
      <c r="AK212" s="12"/>
      <c r="AL212" s="12"/>
      <c r="AM212" s="12"/>
      <c r="AN212" s="12"/>
    </row>
    <row r="213" spans="1:40" ht="14.25">
      <c r="A213" s="25"/>
      <c r="B213" s="16" t="s">
        <v>231</v>
      </c>
      <c r="C213" s="221" t="s">
        <v>232</v>
      </c>
      <c r="D213" s="165" t="str">
        <f t="shared" ref="D213:M213" si="150">IF($AK$89="Clean Water / Sewage","n/a",VLOOKUP($AK$89,$AI$104:$AM$109,$AM$94,FALSE)*(D$91^VLOOKUP($AK$89,$AI$104:$AM$109,5,FALSE))*EXP(1848/(273+D210)-1848/283))</f>
        <v>n/a</v>
      </c>
      <c r="E213" s="165" t="str">
        <f t="shared" si="150"/>
        <v>n/a</v>
      </c>
      <c r="F213" s="165" t="str">
        <f t="shared" si="150"/>
        <v>n/a</v>
      </c>
      <c r="G213" s="165" t="str">
        <f t="shared" si="150"/>
        <v>n/a</v>
      </c>
      <c r="H213" s="165" t="str">
        <f t="shared" si="150"/>
        <v>n/a</v>
      </c>
      <c r="I213" s="165" t="str">
        <f t="shared" si="150"/>
        <v>n/a</v>
      </c>
      <c r="J213" s="165" t="str">
        <f t="shared" si="150"/>
        <v>n/a</v>
      </c>
      <c r="K213" s="165" t="str">
        <f t="shared" si="150"/>
        <v>n/a</v>
      </c>
      <c r="L213" s="165" t="str">
        <f t="shared" si="150"/>
        <v>n/a</v>
      </c>
      <c r="M213" s="165" t="str">
        <f t="shared" si="150"/>
        <v>n/a</v>
      </c>
      <c r="P213" s="74"/>
      <c r="AI213" s="12"/>
      <c r="AJ213" s="12"/>
      <c r="AK213" s="12"/>
      <c r="AL213" s="12"/>
      <c r="AM213" s="12"/>
      <c r="AN213" s="12"/>
    </row>
    <row r="214" spans="1:40">
      <c r="A214" s="25"/>
      <c r="B214" s="16" t="s">
        <v>234</v>
      </c>
      <c r="C214" s="221"/>
      <c r="D214" s="165" t="str">
        <f t="shared" ref="D214:M214" si="151">IF($AK$89="Clean Water / Sewage","n/a",VLOOKUP($AK$89,$AI$97:$AM$102,$AM$94,FALSE)*(D$91^VLOOKUP($AK$89,$AI$97:$AM$102,5,FALSE)))</f>
        <v>n/a</v>
      </c>
      <c r="E214" s="165" t="str">
        <f t="shared" si="151"/>
        <v>n/a</v>
      </c>
      <c r="F214" s="165" t="str">
        <f t="shared" si="151"/>
        <v>n/a</v>
      </c>
      <c r="G214" s="165" t="str">
        <f t="shared" si="151"/>
        <v>n/a</v>
      </c>
      <c r="H214" s="165" t="str">
        <f t="shared" si="151"/>
        <v>n/a</v>
      </c>
      <c r="I214" s="165" t="str">
        <f t="shared" si="151"/>
        <v>n/a</v>
      </c>
      <c r="J214" s="165" t="str">
        <f t="shared" si="151"/>
        <v>n/a</v>
      </c>
      <c r="K214" s="165" t="str">
        <f t="shared" si="151"/>
        <v>n/a</v>
      </c>
      <c r="L214" s="165" t="str">
        <f t="shared" si="151"/>
        <v>n/a</v>
      </c>
      <c r="M214" s="165" t="str">
        <f t="shared" si="151"/>
        <v>n/a</v>
      </c>
      <c r="P214" s="74"/>
      <c r="AI214" s="12"/>
      <c r="AJ214" s="12"/>
      <c r="AK214" s="12"/>
      <c r="AL214" s="12"/>
      <c r="AM214" s="12"/>
      <c r="AN214" s="12"/>
    </row>
    <row r="215" spans="1:40" ht="14.25">
      <c r="A215" s="25"/>
      <c r="B215" s="16" t="s">
        <v>225</v>
      </c>
      <c r="C215" s="221" t="s">
        <v>232</v>
      </c>
      <c r="D215" s="165" t="str">
        <f t="shared" ref="D215:M215" si="152">IF($AK$89="Clean Water / Sewage","n/a",VLOOKUP($AK$89,$AI$111:$AM$116,$AM$94,FALSE)*(D$91^VLOOKUP($AK$89,$AI$111:$AM$116,5,FALSE))*EXP(1848/(273+D210)-1848/283))</f>
        <v>n/a</v>
      </c>
      <c r="E215" s="165" t="str">
        <f t="shared" si="152"/>
        <v>n/a</v>
      </c>
      <c r="F215" s="165" t="str">
        <f t="shared" si="152"/>
        <v>n/a</v>
      </c>
      <c r="G215" s="165" t="str">
        <f t="shared" si="152"/>
        <v>n/a</v>
      </c>
      <c r="H215" s="165" t="str">
        <f t="shared" si="152"/>
        <v>n/a</v>
      </c>
      <c r="I215" s="165" t="str">
        <f t="shared" si="152"/>
        <v>n/a</v>
      </c>
      <c r="J215" s="165" t="str">
        <f t="shared" si="152"/>
        <v>n/a</v>
      </c>
      <c r="K215" s="165" t="str">
        <f t="shared" si="152"/>
        <v>n/a</v>
      </c>
      <c r="L215" s="165" t="str">
        <f t="shared" si="152"/>
        <v>n/a</v>
      </c>
      <c r="M215" s="165" t="str">
        <f t="shared" si="152"/>
        <v>n/a</v>
      </c>
      <c r="P215" s="74"/>
      <c r="AI215" s="12"/>
      <c r="AJ215" s="12"/>
      <c r="AK215" s="12"/>
      <c r="AL215" s="12"/>
      <c r="AM215" s="12"/>
      <c r="AN215" s="12"/>
    </row>
    <row r="216" spans="1:40">
      <c r="A216" s="25"/>
      <c r="B216" s="16" t="s">
        <v>236</v>
      </c>
      <c r="C216" s="221"/>
      <c r="D216" s="165" t="e">
        <f t="shared" ref="D216:M216" si="153">IF($AK89="Clean Water / Sewage",D211*D206/1000/D212,D$92*D211*D206/1000/D215)</f>
        <v>#VALUE!</v>
      </c>
      <c r="E216" s="165" t="e">
        <f t="shared" si="153"/>
        <v>#VALUE!</v>
      </c>
      <c r="F216" s="165" t="e">
        <f t="shared" si="153"/>
        <v>#VALUE!</v>
      </c>
      <c r="G216" s="165" t="e">
        <f t="shared" si="153"/>
        <v>#VALUE!</v>
      </c>
      <c r="H216" s="165" t="e">
        <f t="shared" si="153"/>
        <v>#VALUE!</v>
      </c>
      <c r="I216" s="165" t="e">
        <f t="shared" si="153"/>
        <v>#VALUE!</v>
      </c>
      <c r="J216" s="165" t="e">
        <f t="shared" si="153"/>
        <v>#VALUE!</v>
      </c>
      <c r="K216" s="165" t="e">
        <f t="shared" si="153"/>
        <v>#VALUE!</v>
      </c>
      <c r="L216" s="165" t="e">
        <f t="shared" si="153"/>
        <v>#VALUE!</v>
      </c>
      <c r="M216" s="165" t="e">
        <f t="shared" si="153"/>
        <v>#VALUE!</v>
      </c>
      <c r="P216" s="74"/>
      <c r="AD216" s="12"/>
      <c r="AE216" s="12"/>
      <c r="AF216" s="12"/>
      <c r="AG216" s="12"/>
      <c r="AH216" s="12"/>
      <c r="AI216" s="12"/>
      <c r="AJ216" s="12"/>
      <c r="AK216" s="12"/>
      <c r="AL216" s="12"/>
      <c r="AM216" s="12"/>
      <c r="AN216" s="12"/>
    </row>
    <row r="217" spans="1:40">
      <c r="A217" s="25"/>
      <c r="B217" s="16" t="s">
        <v>238</v>
      </c>
      <c r="C217" s="221"/>
      <c r="D217" s="165" t="str">
        <f>IF(D213="n/a",D213,D$92*D211*D206/1000/D213*(8*D211/(D206/1000))^(1-D214))</f>
        <v>n/a</v>
      </c>
      <c r="E217" s="165" t="str">
        <f t="shared" ref="E217:M217" si="154">IF(E213="n/a",E213,E$92*E211*E206/1000/E213*(8*E211/(E206/1000))^(1-E214))</f>
        <v>n/a</v>
      </c>
      <c r="F217" s="165" t="str">
        <f t="shared" si="154"/>
        <v>n/a</v>
      </c>
      <c r="G217" s="165" t="str">
        <f t="shared" si="154"/>
        <v>n/a</v>
      </c>
      <c r="H217" s="165" t="str">
        <f t="shared" si="154"/>
        <v>n/a</v>
      </c>
      <c r="I217" s="165" t="str">
        <f t="shared" si="154"/>
        <v>n/a</v>
      </c>
      <c r="J217" s="165" t="str">
        <f t="shared" si="154"/>
        <v>n/a</v>
      </c>
      <c r="K217" s="165" t="str">
        <f t="shared" si="154"/>
        <v>n/a</v>
      </c>
      <c r="L217" s="165" t="str">
        <f t="shared" si="154"/>
        <v>n/a</v>
      </c>
      <c r="M217" s="165" t="str">
        <f t="shared" si="154"/>
        <v>n/a</v>
      </c>
      <c r="P217" s="74"/>
      <c r="AD217" s="12"/>
      <c r="AE217" s="12"/>
      <c r="AF217" s="12"/>
      <c r="AG217" s="12"/>
      <c r="AH217" s="12"/>
      <c r="AI217" s="12"/>
      <c r="AJ217" s="12"/>
      <c r="AK217" s="12"/>
      <c r="AL217" s="12"/>
      <c r="AM217" s="12"/>
      <c r="AN217" s="12"/>
    </row>
    <row r="218" spans="1:40">
      <c r="A218" s="25"/>
      <c r="B218" s="16" t="s">
        <v>241</v>
      </c>
      <c r="C218" s="221"/>
      <c r="D218" s="165" t="e">
        <f t="shared" ref="D218:M218" si="155">0.25/(LOG(D207/1000/3.71/(D206/1000)+5.74/D216^0.9))^2/4</f>
        <v>#DIV/0!</v>
      </c>
      <c r="E218" s="165" t="e">
        <f t="shared" si="155"/>
        <v>#DIV/0!</v>
      </c>
      <c r="F218" s="166" t="e">
        <f t="shared" si="155"/>
        <v>#DIV/0!</v>
      </c>
      <c r="G218" s="166" t="e">
        <f t="shared" si="155"/>
        <v>#DIV/0!</v>
      </c>
      <c r="H218" s="166" t="e">
        <f t="shared" si="155"/>
        <v>#DIV/0!</v>
      </c>
      <c r="I218" s="166" t="e">
        <f t="shared" si="155"/>
        <v>#DIV/0!</v>
      </c>
      <c r="J218" s="166" t="e">
        <f t="shared" si="155"/>
        <v>#DIV/0!</v>
      </c>
      <c r="K218" s="166" t="e">
        <f t="shared" si="155"/>
        <v>#DIV/0!</v>
      </c>
      <c r="L218" s="166" t="e">
        <f t="shared" si="155"/>
        <v>#DIV/0!</v>
      </c>
      <c r="M218" s="166" t="e">
        <f t="shared" si="155"/>
        <v>#DIV/0!</v>
      </c>
      <c r="P218" s="74"/>
      <c r="AD218" s="12"/>
      <c r="AE218" s="12"/>
      <c r="AF218" s="12"/>
      <c r="AG218" s="12"/>
      <c r="AH218" s="12"/>
      <c r="AI218" s="12"/>
      <c r="AJ218" s="12"/>
      <c r="AK218" s="12"/>
      <c r="AL218" s="12"/>
      <c r="AM218" s="12"/>
      <c r="AN218" s="12"/>
    </row>
    <row r="219" spans="1:40">
      <c r="A219" s="25"/>
      <c r="B219" s="16" t="s">
        <v>243</v>
      </c>
      <c r="C219" s="221"/>
      <c r="D219" s="165" t="str">
        <f t="shared" ref="D219:M219" si="156">IF($AK$89="Clean Water / Sewage","n/a",16/D217)</f>
        <v>n/a</v>
      </c>
      <c r="E219" s="165" t="str">
        <f t="shared" si="156"/>
        <v>n/a</v>
      </c>
      <c r="F219" s="166" t="str">
        <f t="shared" si="156"/>
        <v>n/a</v>
      </c>
      <c r="G219" s="166" t="str">
        <f t="shared" si="156"/>
        <v>n/a</v>
      </c>
      <c r="H219" s="166" t="str">
        <f t="shared" si="156"/>
        <v>n/a</v>
      </c>
      <c r="I219" s="166" t="str">
        <f t="shared" si="156"/>
        <v>n/a</v>
      </c>
      <c r="J219" s="166" t="str">
        <f t="shared" si="156"/>
        <v>n/a</v>
      </c>
      <c r="K219" s="166" t="str">
        <f t="shared" si="156"/>
        <v>n/a</v>
      </c>
      <c r="L219" s="166" t="str">
        <f t="shared" si="156"/>
        <v>n/a</v>
      </c>
      <c r="M219" s="166" t="str">
        <f t="shared" si="156"/>
        <v>n/a</v>
      </c>
      <c r="P219" s="74"/>
      <c r="AD219" s="12"/>
      <c r="AE219" s="12"/>
      <c r="AF219" s="12"/>
      <c r="AG219" s="12"/>
      <c r="AH219" s="12"/>
      <c r="AI219" s="12"/>
      <c r="AJ219" s="12"/>
      <c r="AK219" s="12"/>
      <c r="AL219" s="12"/>
      <c r="AM219" s="12"/>
      <c r="AN219" s="12"/>
    </row>
    <row r="220" spans="1:40">
      <c r="A220" s="25"/>
      <c r="B220" s="16" t="s">
        <v>245</v>
      </c>
      <c r="C220" s="221"/>
      <c r="D220" s="165">
        <f t="shared" ref="D220:M220" si="157">IF(D206=0,0,IF($AK$89="Clean Water / Sewage",D218,IF(D217&lt;2300,D219,IF(D217&gt;4000,D218,IF(D219&gt;D218,D219,D218)))))</f>
        <v>0</v>
      </c>
      <c r="E220" s="165">
        <f t="shared" si="157"/>
        <v>0</v>
      </c>
      <c r="F220" s="166">
        <f t="shared" si="157"/>
        <v>0</v>
      </c>
      <c r="G220" s="166">
        <f t="shared" si="157"/>
        <v>0</v>
      </c>
      <c r="H220" s="166">
        <f t="shared" si="157"/>
        <v>0</v>
      </c>
      <c r="I220" s="166">
        <f t="shared" si="157"/>
        <v>0</v>
      </c>
      <c r="J220" s="166">
        <f t="shared" si="157"/>
        <v>0</v>
      </c>
      <c r="K220" s="166">
        <f t="shared" si="157"/>
        <v>0</v>
      </c>
      <c r="L220" s="166">
        <f t="shared" si="157"/>
        <v>0</v>
      </c>
      <c r="M220" s="166">
        <f t="shared" si="157"/>
        <v>0</v>
      </c>
      <c r="P220" s="74"/>
      <c r="AD220" s="12"/>
      <c r="AE220" s="12"/>
      <c r="AF220" s="12"/>
      <c r="AG220" s="12"/>
      <c r="AH220" s="12"/>
      <c r="AI220" s="12"/>
      <c r="AJ220" s="12"/>
      <c r="AK220" s="12"/>
      <c r="AL220" s="12"/>
      <c r="AM220" s="12"/>
      <c r="AN220" s="12"/>
    </row>
    <row r="221" spans="1:40">
      <c r="A221" s="25"/>
      <c r="B221" s="16" t="s">
        <v>246</v>
      </c>
      <c r="C221" s="221"/>
      <c r="D221" s="165" t="str">
        <f t="shared" ref="D221:M221" si="158">IF($AK$89="Clean Water / Sewage","n/a",1+2000/D217)</f>
        <v>n/a</v>
      </c>
      <c r="E221" s="165" t="str">
        <f t="shared" si="158"/>
        <v>n/a</v>
      </c>
      <c r="F221" s="166" t="str">
        <f t="shared" si="158"/>
        <v>n/a</v>
      </c>
      <c r="G221" s="166" t="str">
        <f t="shared" si="158"/>
        <v>n/a</v>
      </c>
      <c r="H221" s="166" t="str">
        <f t="shared" si="158"/>
        <v>n/a</v>
      </c>
      <c r="I221" s="166" t="str">
        <f t="shared" si="158"/>
        <v>n/a</v>
      </c>
      <c r="J221" s="166" t="str">
        <f t="shared" si="158"/>
        <v>n/a</v>
      </c>
      <c r="K221" s="166" t="str">
        <f t="shared" si="158"/>
        <v>n/a</v>
      </c>
      <c r="L221" s="166" t="str">
        <f t="shared" si="158"/>
        <v>n/a</v>
      </c>
      <c r="M221" s="166" t="str">
        <f t="shared" si="158"/>
        <v>n/a</v>
      </c>
      <c r="P221" s="74"/>
      <c r="AD221" s="12"/>
      <c r="AE221" s="12"/>
      <c r="AF221" s="12"/>
      <c r="AG221" s="12"/>
      <c r="AH221" s="12"/>
      <c r="AI221" s="12"/>
      <c r="AJ221" s="12"/>
      <c r="AK221" s="12"/>
      <c r="AL221" s="12"/>
      <c r="AM221" s="12"/>
      <c r="AN221" s="12"/>
    </row>
    <row r="222" spans="1:40">
      <c r="A222" s="25"/>
      <c r="B222" s="16" t="s">
        <v>248</v>
      </c>
      <c r="C222" s="221" t="s">
        <v>89</v>
      </c>
      <c r="D222" s="165">
        <f t="shared" ref="D222:M222" si="159">IF(D206=0,0,2*D220*D208/(D206/1000)*D211^2/9.81+IF($AK$89="Clean Water / Sewage",D209*D211^2/2/9.81,D221*D209*D211^2/2/9.81))</f>
        <v>0</v>
      </c>
      <c r="E222" s="165">
        <f t="shared" si="159"/>
        <v>0</v>
      </c>
      <c r="F222" s="166">
        <f t="shared" si="159"/>
        <v>0</v>
      </c>
      <c r="G222" s="166">
        <f t="shared" si="159"/>
        <v>0</v>
      </c>
      <c r="H222" s="166">
        <f t="shared" si="159"/>
        <v>0</v>
      </c>
      <c r="I222" s="166">
        <f t="shared" si="159"/>
        <v>0</v>
      </c>
      <c r="J222" s="166">
        <f t="shared" si="159"/>
        <v>0</v>
      </c>
      <c r="K222" s="166">
        <f t="shared" si="159"/>
        <v>0</v>
      </c>
      <c r="L222" s="166">
        <f t="shared" si="159"/>
        <v>0</v>
      </c>
      <c r="M222" s="166">
        <f t="shared" si="159"/>
        <v>0</v>
      </c>
      <c r="O222" s="166">
        <f>SUM(D222:N222)</f>
        <v>0</v>
      </c>
      <c r="P222" s="74"/>
      <c r="AD222" s="12"/>
      <c r="AE222" s="12"/>
      <c r="AF222" s="12"/>
      <c r="AG222" s="12"/>
      <c r="AH222" s="12"/>
      <c r="AI222" s="12"/>
      <c r="AJ222" s="12"/>
      <c r="AK222" s="12"/>
      <c r="AL222" s="12"/>
      <c r="AM222" s="12"/>
      <c r="AN222" s="12"/>
    </row>
    <row r="223" spans="1:40">
      <c r="A223" s="25"/>
      <c r="B223" s="16" t="s">
        <v>248</v>
      </c>
      <c r="C223" s="221" t="s">
        <v>250</v>
      </c>
      <c r="D223" s="165">
        <f>D222*D$92*9.81/100000</f>
        <v>0</v>
      </c>
      <c r="E223" s="165">
        <f t="shared" ref="E223:M223" si="160">E222*E$92*9.81/100000</f>
        <v>0</v>
      </c>
      <c r="F223" s="165">
        <f t="shared" si="160"/>
        <v>0</v>
      </c>
      <c r="G223" s="165">
        <f t="shared" si="160"/>
        <v>0</v>
      </c>
      <c r="H223" s="165">
        <f t="shared" si="160"/>
        <v>0</v>
      </c>
      <c r="I223" s="165">
        <f t="shared" si="160"/>
        <v>0</v>
      </c>
      <c r="J223" s="165">
        <f t="shared" si="160"/>
        <v>0</v>
      </c>
      <c r="K223" s="165">
        <f t="shared" si="160"/>
        <v>0</v>
      </c>
      <c r="L223" s="165">
        <f t="shared" si="160"/>
        <v>0</v>
      </c>
      <c r="M223" s="165">
        <f t="shared" si="160"/>
        <v>0</v>
      </c>
      <c r="O223" s="166">
        <f>SUM(D223:N223)</f>
        <v>0</v>
      </c>
      <c r="P223" s="74"/>
      <c r="AD223" s="12"/>
      <c r="AE223" s="12"/>
      <c r="AF223" s="12"/>
      <c r="AG223" s="12"/>
      <c r="AH223" s="12"/>
      <c r="AI223" s="12"/>
      <c r="AJ223" s="12"/>
      <c r="AK223" s="12"/>
      <c r="AL223" s="12"/>
      <c r="AM223" s="12"/>
      <c r="AN223" s="12"/>
    </row>
    <row r="224" spans="1:40">
      <c r="A224" s="25"/>
      <c r="P224" s="74"/>
      <c r="AD224" s="12"/>
      <c r="AE224" s="12"/>
      <c r="AF224" s="12"/>
      <c r="AG224" s="12"/>
      <c r="AH224" s="12"/>
      <c r="AI224" s="12"/>
      <c r="AJ224" s="12"/>
      <c r="AK224" s="12"/>
      <c r="AL224" s="12"/>
      <c r="AM224" s="12"/>
      <c r="AN224" s="12"/>
    </row>
    <row r="225" spans="1:40">
      <c r="A225" s="25"/>
      <c r="B225" s="16" t="s">
        <v>215</v>
      </c>
      <c r="C225" s="221" t="s">
        <v>53</v>
      </c>
      <c r="D225" s="165">
        <f>C58</f>
        <v>0</v>
      </c>
      <c r="P225" s="74"/>
      <c r="AI225" s="12"/>
      <c r="AJ225" s="12"/>
      <c r="AK225" s="12"/>
      <c r="AL225" s="12"/>
      <c r="AM225" s="12"/>
      <c r="AN225" s="12"/>
    </row>
    <row r="226" spans="1:40">
      <c r="A226" s="25"/>
      <c r="B226" s="16" t="s">
        <v>217</v>
      </c>
      <c r="C226" s="221" t="s">
        <v>87</v>
      </c>
      <c r="D226" s="165">
        <f t="shared" ref="D226:M226" si="161">D$18</f>
        <v>0</v>
      </c>
      <c r="E226" s="165">
        <f t="shared" si="161"/>
        <v>0</v>
      </c>
      <c r="F226" s="166">
        <f t="shared" si="161"/>
        <v>0</v>
      </c>
      <c r="G226" s="166">
        <f t="shared" si="161"/>
        <v>0</v>
      </c>
      <c r="H226" s="166">
        <f t="shared" si="161"/>
        <v>0</v>
      </c>
      <c r="I226" s="166">
        <f t="shared" si="161"/>
        <v>0</v>
      </c>
      <c r="J226" s="166">
        <f t="shared" si="161"/>
        <v>0</v>
      </c>
      <c r="K226" s="166">
        <f t="shared" si="161"/>
        <v>0</v>
      </c>
      <c r="L226" s="166">
        <f t="shared" si="161"/>
        <v>0</v>
      </c>
      <c r="M226" s="166">
        <f t="shared" si="161"/>
        <v>0</v>
      </c>
      <c r="P226" s="74"/>
      <c r="AI226" s="12"/>
      <c r="AJ226" s="12"/>
      <c r="AK226" s="12"/>
      <c r="AL226" s="12"/>
      <c r="AM226" s="12"/>
      <c r="AN226" s="12"/>
    </row>
    <row r="227" spans="1:40">
      <c r="A227" s="25"/>
      <c r="B227" s="16" t="s">
        <v>218</v>
      </c>
      <c r="C227" s="221" t="s">
        <v>87</v>
      </c>
      <c r="D227" s="165">
        <f t="shared" ref="D227:M227" si="162">D$20</f>
        <v>0</v>
      </c>
      <c r="E227" s="165">
        <f t="shared" si="162"/>
        <v>0</v>
      </c>
      <c r="F227" s="166">
        <f t="shared" si="162"/>
        <v>0</v>
      </c>
      <c r="G227" s="166">
        <f t="shared" si="162"/>
        <v>0</v>
      </c>
      <c r="H227" s="166">
        <f t="shared" si="162"/>
        <v>0</v>
      </c>
      <c r="I227" s="166">
        <f t="shared" si="162"/>
        <v>0</v>
      </c>
      <c r="J227" s="166">
        <f t="shared" si="162"/>
        <v>0</v>
      </c>
      <c r="K227" s="166">
        <f t="shared" si="162"/>
        <v>0</v>
      </c>
      <c r="L227" s="166">
        <f t="shared" si="162"/>
        <v>0</v>
      </c>
      <c r="M227" s="166">
        <f t="shared" si="162"/>
        <v>0</v>
      </c>
      <c r="P227" s="74"/>
      <c r="AI227" s="12"/>
      <c r="AJ227" s="12"/>
      <c r="AK227" s="12"/>
      <c r="AL227" s="12"/>
      <c r="AM227" s="12"/>
      <c r="AN227" s="12"/>
    </row>
    <row r="228" spans="1:40">
      <c r="A228" s="25"/>
      <c r="B228" s="16" t="s">
        <v>220</v>
      </c>
      <c r="C228" s="221" t="s">
        <v>87</v>
      </c>
      <c r="D228" s="165">
        <f t="shared" ref="D228:M228" si="163">D$19</f>
        <v>0</v>
      </c>
      <c r="E228" s="165">
        <f t="shared" si="163"/>
        <v>0</v>
      </c>
      <c r="F228" s="166">
        <f t="shared" si="163"/>
        <v>0</v>
      </c>
      <c r="G228" s="166">
        <f t="shared" si="163"/>
        <v>0</v>
      </c>
      <c r="H228" s="166">
        <f t="shared" si="163"/>
        <v>0</v>
      </c>
      <c r="I228" s="166">
        <f t="shared" si="163"/>
        <v>0</v>
      </c>
      <c r="J228" s="166">
        <f t="shared" si="163"/>
        <v>0</v>
      </c>
      <c r="K228" s="166">
        <f t="shared" si="163"/>
        <v>0</v>
      </c>
      <c r="L228" s="166">
        <f t="shared" si="163"/>
        <v>0</v>
      </c>
      <c r="M228" s="166">
        <f t="shared" si="163"/>
        <v>0</v>
      </c>
      <c r="P228" s="74"/>
      <c r="AI228" s="12"/>
      <c r="AJ228" s="12"/>
      <c r="AK228" s="12"/>
      <c r="AL228" s="12"/>
      <c r="AM228" s="12"/>
      <c r="AN228" s="12"/>
    </row>
    <row r="229" spans="1:40">
      <c r="A229" s="25"/>
      <c r="B229" s="16" t="s">
        <v>221</v>
      </c>
      <c r="C229" s="221"/>
      <c r="D229" s="165">
        <f t="shared" ref="D229:M229" si="164">D$44</f>
        <v>0</v>
      </c>
      <c r="E229" s="165">
        <f t="shared" si="164"/>
        <v>0</v>
      </c>
      <c r="F229" s="166">
        <f t="shared" si="164"/>
        <v>0</v>
      </c>
      <c r="G229" s="166">
        <f t="shared" si="164"/>
        <v>0</v>
      </c>
      <c r="H229" s="166">
        <f t="shared" si="164"/>
        <v>0</v>
      </c>
      <c r="I229" s="166">
        <f t="shared" si="164"/>
        <v>0</v>
      </c>
      <c r="J229" s="166">
        <f t="shared" si="164"/>
        <v>0</v>
      </c>
      <c r="K229" s="166">
        <f t="shared" si="164"/>
        <v>0</v>
      </c>
      <c r="L229" s="166">
        <f t="shared" si="164"/>
        <v>0</v>
      </c>
      <c r="M229" s="166">
        <f t="shared" si="164"/>
        <v>0</v>
      </c>
      <c r="P229" s="74"/>
      <c r="AI229" s="12"/>
      <c r="AJ229" s="12"/>
      <c r="AK229" s="12"/>
      <c r="AL229" s="12"/>
      <c r="AM229" s="12"/>
      <c r="AN229" s="12"/>
    </row>
    <row r="230" spans="1:40">
      <c r="A230" s="25"/>
      <c r="B230" s="16" t="s">
        <v>91</v>
      </c>
      <c r="C230" s="221" t="s">
        <v>223</v>
      </c>
      <c r="D230" s="165">
        <f t="shared" ref="D230:M230" si="165">D$21</f>
        <v>0</v>
      </c>
      <c r="E230" s="165">
        <f t="shared" si="165"/>
        <v>0</v>
      </c>
      <c r="F230" s="166">
        <f t="shared" si="165"/>
        <v>0</v>
      </c>
      <c r="G230" s="166">
        <f t="shared" si="165"/>
        <v>0</v>
      </c>
      <c r="H230" s="166">
        <f t="shared" si="165"/>
        <v>0</v>
      </c>
      <c r="I230" s="166">
        <f t="shared" si="165"/>
        <v>0</v>
      </c>
      <c r="J230" s="166">
        <f t="shared" si="165"/>
        <v>0</v>
      </c>
      <c r="K230" s="166">
        <f t="shared" si="165"/>
        <v>0</v>
      </c>
      <c r="L230" s="166">
        <f t="shared" si="165"/>
        <v>0</v>
      </c>
      <c r="M230" s="166">
        <f t="shared" si="165"/>
        <v>0</v>
      </c>
      <c r="P230" s="74"/>
      <c r="AI230" s="12"/>
      <c r="AJ230" s="12"/>
      <c r="AK230" s="12"/>
      <c r="AL230" s="12"/>
      <c r="AM230" s="12"/>
      <c r="AN230" s="12"/>
    </row>
    <row r="231" spans="1:40">
      <c r="A231" s="25"/>
      <c r="B231" s="16" t="s">
        <v>226</v>
      </c>
      <c r="C231" s="221" t="s">
        <v>94</v>
      </c>
      <c r="D231" s="165" t="e">
        <f t="shared" ref="D231:M231" si="166">D$171*$D225/$D$165</f>
        <v>#VALUE!</v>
      </c>
      <c r="E231" s="165" t="e">
        <f t="shared" si="166"/>
        <v>#VALUE!</v>
      </c>
      <c r="F231" s="166" t="e">
        <f t="shared" si="166"/>
        <v>#VALUE!</v>
      </c>
      <c r="G231" s="166" t="e">
        <f t="shared" si="166"/>
        <v>#VALUE!</v>
      </c>
      <c r="H231" s="166" t="e">
        <f t="shared" si="166"/>
        <v>#VALUE!</v>
      </c>
      <c r="I231" s="166" t="e">
        <f t="shared" si="166"/>
        <v>#VALUE!</v>
      </c>
      <c r="J231" s="166" t="e">
        <f t="shared" si="166"/>
        <v>#VALUE!</v>
      </c>
      <c r="K231" s="166" t="e">
        <f t="shared" si="166"/>
        <v>#VALUE!</v>
      </c>
      <c r="L231" s="166" t="e">
        <f t="shared" si="166"/>
        <v>#VALUE!</v>
      </c>
      <c r="M231" s="166" t="e">
        <f t="shared" si="166"/>
        <v>#VALUE!</v>
      </c>
      <c r="P231" s="74"/>
      <c r="W231" s="12"/>
      <c r="AI231" s="12"/>
      <c r="AJ231" s="12"/>
      <c r="AK231" s="12"/>
      <c r="AL231" s="12"/>
      <c r="AM231" s="12"/>
      <c r="AN231" s="12"/>
    </row>
    <row r="232" spans="1:40" ht="14.25">
      <c r="A232" s="25"/>
      <c r="B232" s="16" t="s">
        <v>228</v>
      </c>
      <c r="C232" s="221" t="s">
        <v>229</v>
      </c>
      <c r="D232" s="165">
        <f t="shared" ref="D232:M232" si="167">IF(D$21="",0.000001,VLOOKUP(D230,$AQ$98:$AX$198,4,FALSE)/VLOOKUP(D230,$AQ$98:$AX$198,5,FALSE)/1000000)</f>
        <v>9.9999999999999995E-7</v>
      </c>
      <c r="E232" s="165">
        <f t="shared" si="167"/>
        <v>9.9999999999999995E-7</v>
      </c>
      <c r="F232" s="165">
        <f t="shared" si="167"/>
        <v>9.9999999999999995E-7</v>
      </c>
      <c r="G232" s="165">
        <f t="shared" si="167"/>
        <v>9.9999999999999995E-7</v>
      </c>
      <c r="H232" s="165">
        <f t="shared" si="167"/>
        <v>9.9999999999999995E-7</v>
      </c>
      <c r="I232" s="165">
        <f t="shared" si="167"/>
        <v>9.9999999999999995E-7</v>
      </c>
      <c r="J232" s="165">
        <f t="shared" si="167"/>
        <v>9.9999999999999995E-7</v>
      </c>
      <c r="K232" s="165">
        <f t="shared" si="167"/>
        <v>9.9999999999999995E-7</v>
      </c>
      <c r="L232" s="165">
        <f t="shared" si="167"/>
        <v>9.9999999999999995E-7</v>
      </c>
      <c r="M232" s="165">
        <f t="shared" si="167"/>
        <v>9.9999999999999995E-7</v>
      </c>
      <c r="P232" s="74"/>
      <c r="W232" s="12"/>
      <c r="AI232" s="12"/>
      <c r="AJ232" s="12"/>
      <c r="AK232" s="12"/>
      <c r="AL232" s="12"/>
      <c r="AM232" s="12"/>
      <c r="AN232" s="12"/>
    </row>
    <row r="233" spans="1:40" ht="14.25">
      <c r="A233" s="25"/>
      <c r="B233" s="16" t="s">
        <v>231</v>
      </c>
      <c r="C233" s="221" t="s">
        <v>232</v>
      </c>
      <c r="D233" s="165" t="str">
        <f t="shared" ref="D233:M233" si="168">IF($AK$89="Clean Water / Sewage","n/a",VLOOKUP($AK$89,$AI$104:$AM$109,$AM$94,FALSE)*(D$91^VLOOKUP($AK$89,$AI$104:$AM$109,5,FALSE))*EXP(1848/(273+D230)-1848/283))</f>
        <v>n/a</v>
      </c>
      <c r="E233" s="165" t="str">
        <f t="shared" si="168"/>
        <v>n/a</v>
      </c>
      <c r="F233" s="165" t="str">
        <f t="shared" si="168"/>
        <v>n/a</v>
      </c>
      <c r="G233" s="165" t="str">
        <f t="shared" si="168"/>
        <v>n/a</v>
      </c>
      <c r="H233" s="165" t="str">
        <f t="shared" si="168"/>
        <v>n/a</v>
      </c>
      <c r="I233" s="165" t="str">
        <f t="shared" si="168"/>
        <v>n/a</v>
      </c>
      <c r="J233" s="165" t="str">
        <f t="shared" si="168"/>
        <v>n/a</v>
      </c>
      <c r="K233" s="165" t="str">
        <f t="shared" si="168"/>
        <v>n/a</v>
      </c>
      <c r="L233" s="165" t="str">
        <f t="shared" si="168"/>
        <v>n/a</v>
      </c>
      <c r="M233" s="165" t="str">
        <f t="shared" si="168"/>
        <v>n/a</v>
      </c>
      <c r="P233" s="74"/>
      <c r="W233" s="12"/>
      <c r="AI233" s="12"/>
      <c r="AJ233" s="12"/>
      <c r="AK233" s="12"/>
      <c r="AL233" s="12"/>
      <c r="AM233" s="12"/>
      <c r="AN233" s="12"/>
    </row>
    <row r="234" spans="1:40">
      <c r="A234" s="25"/>
      <c r="B234" s="16" t="s">
        <v>234</v>
      </c>
      <c r="C234" s="221"/>
      <c r="D234" s="165" t="str">
        <f t="shared" ref="D234:M234" si="169">IF($AK$89="Clean Water / Sewage","n/a",VLOOKUP($AK$89,$AI$97:$AM$102,$AM$94,FALSE)*(D$91^VLOOKUP($AK$89,$AI$97:$AM$102,5,FALSE)))</f>
        <v>n/a</v>
      </c>
      <c r="E234" s="165" t="str">
        <f t="shared" si="169"/>
        <v>n/a</v>
      </c>
      <c r="F234" s="165" t="str">
        <f t="shared" si="169"/>
        <v>n/a</v>
      </c>
      <c r="G234" s="165" t="str">
        <f t="shared" si="169"/>
        <v>n/a</v>
      </c>
      <c r="H234" s="165" t="str">
        <f t="shared" si="169"/>
        <v>n/a</v>
      </c>
      <c r="I234" s="165" t="str">
        <f t="shared" si="169"/>
        <v>n/a</v>
      </c>
      <c r="J234" s="165" t="str">
        <f t="shared" si="169"/>
        <v>n/a</v>
      </c>
      <c r="K234" s="165" t="str">
        <f t="shared" si="169"/>
        <v>n/a</v>
      </c>
      <c r="L234" s="165" t="str">
        <f t="shared" si="169"/>
        <v>n/a</v>
      </c>
      <c r="M234" s="165" t="str">
        <f t="shared" si="169"/>
        <v>n/a</v>
      </c>
      <c r="P234" s="74"/>
      <c r="W234" s="12"/>
      <c r="AI234" s="12"/>
      <c r="AJ234" s="12"/>
      <c r="AK234" s="12"/>
      <c r="AL234" s="12"/>
      <c r="AM234" s="12"/>
      <c r="AN234" s="12"/>
    </row>
    <row r="235" spans="1:40" ht="14.25">
      <c r="A235" s="25"/>
      <c r="B235" s="16" t="s">
        <v>225</v>
      </c>
      <c r="C235" s="221" t="s">
        <v>232</v>
      </c>
      <c r="D235" s="165" t="str">
        <f t="shared" ref="D235:M235" si="170">IF($AK$89="Clean Water / Sewage","n/a",VLOOKUP($AK$89,$AI$111:$AM$116,$AM$94,FALSE)*(D$91^VLOOKUP($AK$89,$AI$111:$AM$116,5,FALSE))*EXP(1848/(273+D230)-1848/283))</f>
        <v>n/a</v>
      </c>
      <c r="E235" s="165" t="str">
        <f t="shared" si="170"/>
        <v>n/a</v>
      </c>
      <c r="F235" s="165" t="str">
        <f t="shared" si="170"/>
        <v>n/a</v>
      </c>
      <c r="G235" s="165" t="str">
        <f t="shared" si="170"/>
        <v>n/a</v>
      </c>
      <c r="H235" s="165" t="str">
        <f t="shared" si="170"/>
        <v>n/a</v>
      </c>
      <c r="I235" s="165" t="str">
        <f t="shared" si="170"/>
        <v>n/a</v>
      </c>
      <c r="J235" s="165" t="str">
        <f t="shared" si="170"/>
        <v>n/a</v>
      </c>
      <c r="K235" s="165" t="str">
        <f t="shared" si="170"/>
        <v>n/a</v>
      </c>
      <c r="L235" s="165" t="str">
        <f t="shared" si="170"/>
        <v>n/a</v>
      </c>
      <c r="M235" s="165" t="str">
        <f t="shared" si="170"/>
        <v>n/a</v>
      </c>
      <c r="P235" s="74"/>
      <c r="W235" s="12"/>
      <c r="AI235" s="12"/>
      <c r="AJ235" s="12"/>
      <c r="AK235" s="12"/>
      <c r="AL235" s="12"/>
      <c r="AM235" s="12"/>
      <c r="AN235" s="12"/>
    </row>
    <row r="236" spans="1:40">
      <c r="A236" s="25"/>
      <c r="B236" s="16" t="s">
        <v>236</v>
      </c>
      <c r="C236" s="221"/>
      <c r="D236" s="165" t="e">
        <f t="shared" ref="D236:M236" si="171">IF($AK89="Clean Water / Sewage",D231*D226/1000/D232,D$92*D231*D226/1000/D235)</f>
        <v>#VALUE!</v>
      </c>
      <c r="E236" s="165" t="e">
        <f t="shared" si="171"/>
        <v>#VALUE!</v>
      </c>
      <c r="F236" s="165" t="e">
        <f t="shared" si="171"/>
        <v>#VALUE!</v>
      </c>
      <c r="G236" s="165" t="e">
        <f t="shared" si="171"/>
        <v>#VALUE!</v>
      </c>
      <c r="H236" s="165" t="e">
        <f t="shared" si="171"/>
        <v>#VALUE!</v>
      </c>
      <c r="I236" s="165" t="e">
        <f t="shared" si="171"/>
        <v>#VALUE!</v>
      </c>
      <c r="J236" s="165" t="e">
        <f t="shared" si="171"/>
        <v>#VALUE!</v>
      </c>
      <c r="K236" s="165" t="e">
        <f t="shared" si="171"/>
        <v>#VALUE!</v>
      </c>
      <c r="L236" s="165" t="e">
        <f t="shared" si="171"/>
        <v>#VALUE!</v>
      </c>
      <c r="M236" s="165" t="e">
        <f t="shared" si="171"/>
        <v>#VALUE!</v>
      </c>
      <c r="P236" s="74"/>
      <c r="W236" s="12"/>
      <c r="AI236" s="12"/>
      <c r="AJ236" s="12"/>
      <c r="AK236" s="12"/>
      <c r="AL236" s="12"/>
      <c r="AM236" s="12"/>
      <c r="AN236" s="12"/>
    </row>
    <row r="237" spans="1:40">
      <c r="A237" s="25"/>
      <c r="B237" s="16" t="s">
        <v>238</v>
      </c>
      <c r="C237" s="221"/>
      <c r="D237" s="165" t="str">
        <f>IF(D233="n/a",D233,D$92*D231*D226/1000/D233*(8*D231/(D226/1000))^(1-D234))</f>
        <v>n/a</v>
      </c>
      <c r="E237" s="165" t="str">
        <f t="shared" ref="E237:M237" si="172">IF(E233="n/a",E233,E$92*E231*E226/1000/E233*(8*E231/(E226/1000))^(1-E234))</f>
        <v>n/a</v>
      </c>
      <c r="F237" s="165" t="str">
        <f t="shared" si="172"/>
        <v>n/a</v>
      </c>
      <c r="G237" s="165" t="str">
        <f t="shared" si="172"/>
        <v>n/a</v>
      </c>
      <c r="H237" s="165" t="str">
        <f t="shared" si="172"/>
        <v>n/a</v>
      </c>
      <c r="I237" s="165" t="str">
        <f t="shared" si="172"/>
        <v>n/a</v>
      </c>
      <c r="J237" s="165" t="str">
        <f t="shared" si="172"/>
        <v>n/a</v>
      </c>
      <c r="K237" s="165" t="str">
        <f t="shared" si="172"/>
        <v>n/a</v>
      </c>
      <c r="L237" s="165" t="str">
        <f t="shared" si="172"/>
        <v>n/a</v>
      </c>
      <c r="M237" s="165" t="str">
        <f t="shared" si="172"/>
        <v>n/a</v>
      </c>
      <c r="P237" s="74"/>
      <c r="W237" s="12"/>
      <c r="AI237" s="12"/>
      <c r="AJ237" s="12"/>
      <c r="AK237" s="12"/>
      <c r="AL237" s="12"/>
      <c r="AM237" s="12"/>
      <c r="AN237" s="12"/>
    </row>
    <row r="238" spans="1:40">
      <c r="A238" s="25"/>
      <c r="B238" s="16" t="s">
        <v>241</v>
      </c>
      <c r="C238" s="221"/>
      <c r="D238" s="165" t="e">
        <f t="shared" ref="D238:M238" si="173">0.25/(LOG(D227/1000/3.71/(D226/1000)+5.74/D236^0.9))^2/4</f>
        <v>#DIV/0!</v>
      </c>
      <c r="E238" s="165" t="e">
        <f t="shared" si="173"/>
        <v>#DIV/0!</v>
      </c>
      <c r="F238" s="166" t="e">
        <f t="shared" si="173"/>
        <v>#DIV/0!</v>
      </c>
      <c r="G238" s="166" t="e">
        <f t="shared" si="173"/>
        <v>#DIV/0!</v>
      </c>
      <c r="H238" s="166" t="e">
        <f t="shared" si="173"/>
        <v>#DIV/0!</v>
      </c>
      <c r="I238" s="166" t="e">
        <f t="shared" si="173"/>
        <v>#DIV/0!</v>
      </c>
      <c r="J238" s="166" t="e">
        <f t="shared" si="173"/>
        <v>#DIV/0!</v>
      </c>
      <c r="K238" s="166" t="e">
        <f t="shared" si="173"/>
        <v>#DIV/0!</v>
      </c>
      <c r="L238" s="166" t="e">
        <f t="shared" si="173"/>
        <v>#DIV/0!</v>
      </c>
      <c r="M238" s="166" t="e">
        <f t="shared" si="173"/>
        <v>#DIV/0!</v>
      </c>
      <c r="P238" s="74"/>
      <c r="W238" s="12"/>
      <c r="AI238" s="12"/>
      <c r="AJ238" s="12"/>
      <c r="AK238" s="12"/>
      <c r="AL238" s="12"/>
      <c r="AM238" s="12"/>
      <c r="AN238" s="12"/>
    </row>
    <row r="239" spans="1:40">
      <c r="A239" s="25"/>
      <c r="B239" s="16" t="s">
        <v>243</v>
      </c>
      <c r="C239" s="221"/>
      <c r="D239" s="165" t="str">
        <f t="shared" ref="D239:M239" si="174">IF($AK$89="Clean Water / Sewage","n/a",16/D237)</f>
        <v>n/a</v>
      </c>
      <c r="E239" s="165" t="str">
        <f t="shared" si="174"/>
        <v>n/a</v>
      </c>
      <c r="F239" s="166" t="str">
        <f t="shared" si="174"/>
        <v>n/a</v>
      </c>
      <c r="G239" s="166" t="str">
        <f t="shared" si="174"/>
        <v>n/a</v>
      </c>
      <c r="H239" s="166" t="str">
        <f t="shared" si="174"/>
        <v>n/a</v>
      </c>
      <c r="I239" s="166" t="str">
        <f t="shared" si="174"/>
        <v>n/a</v>
      </c>
      <c r="J239" s="166" t="str">
        <f t="shared" si="174"/>
        <v>n/a</v>
      </c>
      <c r="K239" s="166" t="str">
        <f t="shared" si="174"/>
        <v>n/a</v>
      </c>
      <c r="L239" s="166" t="str">
        <f t="shared" si="174"/>
        <v>n/a</v>
      </c>
      <c r="M239" s="166" t="str">
        <f t="shared" si="174"/>
        <v>n/a</v>
      </c>
      <c r="P239" s="74"/>
      <c r="W239" s="12"/>
      <c r="AI239" s="12"/>
      <c r="AJ239" s="12"/>
      <c r="AK239" s="12"/>
      <c r="AL239" s="12"/>
      <c r="AM239" s="12"/>
      <c r="AN239" s="12"/>
    </row>
    <row r="240" spans="1:40">
      <c r="A240" s="25"/>
      <c r="B240" s="16" t="s">
        <v>245</v>
      </c>
      <c r="C240" s="221"/>
      <c r="D240" s="165">
        <f t="shared" ref="D240:M240" si="175">IF(D226=0,0,IF($AK$89="Clean Water / Sewage",D238,IF(D237&lt;2300,D239,IF(D237&gt;4000,D238,IF(D239&gt;D238,D239,D238)))))</f>
        <v>0</v>
      </c>
      <c r="E240" s="165">
        <f t="shared" si="175"/>
        <v>0</v>
      </c>
      <c r="F240" s="166">
        <f t="shared" si="175"/>
        <v>0</v>
      </c>
      <c r="G240" s="166">
        <f t="shared" si="175"/>
        <v>0</v>
      </c>
      <c r="H240" s="166">
        <f t="shared" si="175"/>
        <v>0</v>
      </c>
      <c r="I240" s="166">
        <f t="shared" si="175"/>
        <v>0</v>
      </c>
      <c r="J240" s="166">
        <f t="shared" si="175"/>
        <v>0</v>
      </c>
      <c r="K240" s="166">
        <f t="shared" si="175"/>
        <v>0</v>
      </c>
      <c r="L240" s="166">
        <f t="shared" si="175"/>
        <v>0</v>
      </c>
      <c r="M240" s="166">
        <f t="shared" si="175"/>
        <v>0</v>
      </c>
      <c r="P240" s="74"/>
      <c r="AI240" s="12"/>
      <c r="AJ240" s="12"/>
      <c r="AK240" s="12"/>
      <c r="AL240" s="12"/>
      <c r="AM240" s="12"/>
      <c r="AN240" s="12"/>
    </row>
    <row r="241" spans="1:40">
      <c r="A241" s="25"/>
      <c r="B241" s="16" t="s">
        <v>246</v>
      </c>
      <c r="C241" s="221"/>
      <c r="D241" s="165" t="str">
        <f t="shared" ref="D241:M241" si="176">IF($AK$89="Clean Water / Sewage","n/a",1+2000/D237)</f>
        <v>n/a</v>
      </c>
      <c r="E241" s="165" t="str">
        <f t="shared" si="176"/>
        <v>n/a</v>
      </c>
      <c r="F241" s="166" t="str">
        <f t="shared" si="176"/>
        <v>n/a</v>
      </c>
      <c r="G241" s="166" t="str">
        <f t="shared" si="176"/>
        <v>n/a</v>
      </c>
      <c r="H241" s="166" t="str">
        <f t="shared" si="176"/>
        <v>n/a</v>
      </c>
      <c r="I241" s="166" t="str">
        <f t="shared" si="176"/>
        <v>n/a</v>
      </c>
      <c r="J241" s="166" t="str">
        <f t="shared" si="176"/>
        <v>n/a</v>
      </c>
      <c r="K241" s="166" t="str">
        <f t="shared" si="176"/>
        <v>n/a</v>
      </c>
      <c r="L241" s="166" t="str">
        <f t="shared" si="176"/>
        <v>n/a</v>
      </c>
      <c r="M241" s="166" t="str">
        <f t="shared" si="176"/>
        <v>n/a</v>
      </c>
      <c r="P241" s="74"/>
      <c r="AI241" s="12"/>
      <c r="AJ241" s="12"/>
      <c r="AK241" s="12"/>
      <c r="AL241" s="12"/>
      <c r="AM241" s="12"/>
      <c r="AN241" s="12"/>
    </row>
    <row r="242" spans="1:40">
      <c r="A242" s="25"/>
      <c r="B242" s="16" t="s">
        <v>248</v>
      </c>
      <c r="C242" s="221" t="s">
        <v>89</v>
      </c>
      <c r="D242" s="165">
        <f t="shared" ref="D242:M242" si="177">IF(D226=0,0,2*D240*D228/(D226/1000)*D231^2/9.81+IF($AK$89="Clean Water / Sewage",D229*D231^2/2/9.81,D241*D229*D231^2/2/9.81))</f>
        <v>0</v>
      </c>
      <c r="E242" s="165">
        <f t="shared" si="177"/>
        <v>0</v>
      </c>
      <c r="F242" s="166">
        <f t="shared" si="177"/>
        <v>0</v>
      </c>
      <c r="G242" s="166">
        <f t="shared" si="177"/>
        <v>0</v>
      </c>
      <c r="H242" s="166">
        <f t="shared" si="177"/>
        <v>0</v>
      </c>
      <c r="I242" s="166">
        <f t="shared" si="177"/>
        <v>0</v>
      </c>
      <c r="J242" s="166">
        <f t="shared" si="177"/>
        <v>0</v>
      </c>
      <c r="K242" s="166">
        <f t="shared" si="177"/>
        <v>0</v>
      </c>
      <c r="L242" s="166">
        <f t="shared" si="177"/>
        <v>0</v>
      </c>
      <c r="M242" s="166">
        <f t="shared" si="177"/>
        <v>0</v>
      </c>
      <c r="O242" s="166">
        <f>SUM(D242:N242)</f>
        <v>0</v>
      </c>
      <c r="P242" s="74"/>
      <c r="AI242" s="12"/>
      <c r="AJ242" s="12"/>
      <c r="AK242" s="12"/>
      <c r="AL242" s="12"/>
      <c r="AM242" s="12"/>
      <c r="AN242" s="12"/>
    </row>
    <row r="243" spans="1:40">
      <c r="A243" s="25"/>
      <c r="B243" s="16" t="s">
        <v>248</v>
      </c>
      <c r="C243" s="221" t="s">
        <v>250</v>
      </c>
      <c r="D243" s="165">
        <f>D242*D$92*9.81/100000</f>
        <v>0</v>
      </c>
      <c r="E243" s="165">
        <f t="shared" ref="E243:M243" si="178">E242*E$92*9.81/100000</f>
        <v>0</v>
      </c>
      <c r="F243" s="165">
        <f t="shared" si="178"/>
        <v>0</v>
      </c>
      <c r="G243" s="165">
        <f t="shared" si="178"/>
        <v>0</v>
      </c>
      <c r="H243" s="165">
        <f t="shared" si="178"/>
        <v>0</v>
      </c>
      <c r="I243" s="165">
        <f t="shared" si="178"/>
        <v>0</v>
      </c>
      <c r="J243" s="165">
        <f t="shared" si="178"/>
        <v>0</v>
      </c>
      <c r="K243" s="165">
        <f t="shared" si="178"/>
        <v>0</v>
      </c>
      <c r="L243" s="165">
        <f t="shared" si="178"/>
        <v>0</v>
      </c>
      <c r="M243" s="165">
        <f t="shared" si="178"/>
        <v>0</v>
      </c>
      <c r="O243" s="166">
        <f>SUM(D243:N243)</f>
        <v>0</v>
      </c>
      <c r="P243" s="74"/>
      <c r="X243" s="12"/>
      <c r="AA243" s="12"/>
      <c r="AB243" s="12"/>
      <c r="AC243" s="12"/>
      <c r="AI243" s="12"/>
      <c r="AJ243" s="12"/>
      <c r="AK243" s="12"/>
      <c r="AL243" s="12"/>
      <c r="AM243" s="12"/>
      <c r="AN243" s="12"/>
    </row>
    <row r="244" spans="1:40" ht="12.75" thickBot="1">
      <c r="A244" s="84"/>
      <c r="B244" s="85"/>
      <c r="C244" s="111"/>
      <c r="D244" s="111"/>
      <c r="E244" s="111"/>
      <c r="F244" s="111"/>
      <c r="G244" s="111"/>
      <c r="H244" s="111"/>
      <c r="I244" s="111"/>
      <c r="J244" s="111"/>
      <c r="K244" s="111"/>
      <c r="L244" s="111"/>
      <c r="M244" s="111"/>
      <c r="N244" s="111"/>
      <c r="O244" s="85"/>
      <c r="P244" s="86"/>
      <c r="X244" s="12"/>
      <c r="AA244" s="12"/>
      <c r="AB244" s="12"/>
      <c r="AC244" s="12"/>
      <c r="AI244" s="12"/>
      <c r="AJ244" s="12"/>
      <c r="AK244" s="12"/>
      <c r="AL244" s="12"/>
      <c r="AM244" s="12"/>
      <c r="AN244" s="12"/>
    </row>
    <row r="245" spans="1:40">
      <c r="A245" s="68"/>
      <c r="B245" s="69"/>
      <c r="C245" s="106"/>
      <c r="D245" s="106"/>
      <c r="E245" s="106"/>
      <c r="F245" s="106"/>
      <c r="G245" s="106"/>
      <c r="H245" s="106"/>
      <c r="I245" s="106"/>
      <c r="J245" s="106"/>
      <c r="K245" s="106"/>
      <c r="L245" s="106"/>
      <c r="M245" s="106"/>
      <c r="N245" s="106"/>
      <c r="O245" s="69"/>
      <c r="P245" s="72"/>
      <c r="X245" s="12"/>
      <c r="AA245" s="12"/>
      <c r="AB245" s="12"/>
      <c r="AC245" s="12"/>
      <c r="AI245" s="12"/>
      <c r="AJ245" s="12"/>
      <c r="AK245" s="12"/>
      <c r="AL245" s="12"/>
      <c r="AM245" s="12"/>
      <c r="AN245" s="12"/>
    </row>
    <row r="246" spans="1:40">
      <c r="A246" s="25"/>
      <c r="B246" s="17" t="s">
        <v>261</v>
      </c>
      <c r="P246" s="74"/>
      <c r="X246" s="12"/>
      <c r="AA246" s="12"/>
      <c r="AB246" s="12"/>
      <c r="AC246" s="12"/>
      <c r="AI246" s="12"/>
      <c r="AJ246" s="12"/>
      <c r="AK246" s="12"/>
      <c r="AL246" s="12"/>
      <c r="AM246" s="12"/>
      <c r="AN246" s="12"/>
    </row>
    <row r="247" spans="1:40">
      <c r="A247" s="25"/>
      <c r="P247" s="74"/>
      <c r="X247" s="12"/>
      <c r="AA247" s="12"/>
      <c r="AB247" s="12"/>
      <c r="AC247" s="12"/>
      <c r="AI247" s="12"/>
      <c r="AJ247" s="12"/>
      <c r="AK247" s="12"/>
      <c r="AL247" s="12"/>
      <c r="AM247" s="12"/>
      <c r="AN247" s="12"/>
    </row>
    <row r="248" spans="1:40">
      <c r="A248" s="25"/>
      <c r="B248" s="16" t="s">
        <v>215</v>
      </c>
      <c r="C248" s="221" t="s">
        <v>53</v>
      </c>
      <c r="D248" s="202">
        <f>O19</f>
        <v>0</v>
      </c>
      <c r="P248" s="74"/>
      <c r="X248" s="12"/>
      <c r="AA248" s="12"/>
      <c r="AB248" s="12"/>
      <c r="AC248" s="12"/>
      <c r="AI248" s="12"/>
      <c r="AJ248" s="12"/>
      <c r="AK248" s="12"/>
      <c r="AL248" s="12"/>
      <c r="AM248" s="12"/>
      <c r="AN248" s="12"/>
    </row>
    <row r="249" spans="1:40">
      <c r="A249" s="25"/>
      <c r="B249" s="16" t="s">
        <v>217</v>
      </c>
      <c r="C249" s="221" t="s">
        <v>87</v>
      </c>
      <c r="D249" s="166">
        <f t="shared" ref="D249:M249" si="179">D$18</f>
        <v>0</v>
      </c>
      <c r="E249" s="166">
        <f t="shared" si="179"/>
        <v>0</v>
      </c>
      <c r="F249" s="166">
        <f t="shared" si="179"/>
        <v>0</v>
      </c>
      <c r="G249" s="166">
        <f t="shared" si="179"/>
        <v>0</v>
      </c>
      <c r="H249" s="166">
        <f t="shared" si="179"/>
        <v>0</v>
      </c>
      <c r="I249" s="166">
        <f t="shared" si="179"/>
        <v>0</v>
      </c>
      <c r="J249" s="166">
        <f t="shared" si="179"/>
        <v>0</v>
      </c>
      <c r="K249" s="166">
        <f t="shared" si="179"/>
        <v>0</v>
      </c>
      <c r="L249" s="166">
        <f t="shared" si="179"/>
        <v>0</v>
      </c>
      <c r="M249" s="166">
        <f t="shared" si="179"/>
        <v>0</v>
      </c>
      <c r="P249" s="74"/>
      <c r="X249" s="12"/>
      <c r="AA249" s="12"/>
      <c r="AB249" s="12"/>
      <c r="AC249" s="12"/>
      <c r="AI249" s="12"/>
      <c r="AJ249" s="12"/>
      <c r="AK249" s="12"/>
      <c r="AL249" s="12"/>
      <c r="AM249" s="12"/>
      <c r="AN249" s="12"/>
    </row>
    <row r="250" spans="1:40">
      <c r="A250" s="25"/>
      <c r="B250" s="16" t="s">
        <v>218</v>
      </c>
      <c r="C250" s="221" t="s">
        <v>87</v>
      </c>
      <c r="D250" s="166">
        <f t="shared" ref="D250:M250" si="180">D$20</f>
        <v>0</v>
      </c>
      <c r="E250" s="166">
        <f t="shared" si="180"/>
        <v>0</v>
      </c>
      <c r="F250" s="166">
        <f t="shared" si="180"/>
        <v>0</v>
      </c>
      <c r="G250" s="166">
        <f t="shared" si="180"/>
        <v>0</v>
      </c>
      <c r="H250" s="166">
        <f t="shared" si="180"/>
        <v>0</v>
      </c>
      <c r="I250" s="166">
        <f t="shared" si="180"/>
        <v>0</v>
      </c>
      <c r="J250" s="166">
        <f t="shared" si="180"/>
        <v>0</v>
      </c>
      <c r="K250" s="166">
        <f t="shared" si="180"/>
        <v>0</v>
      </c>
      <c r="L250" s="166">
        <f t="shared" si="180"/>
        <v>0</v>
      </c>
      <c r="M250" s="166">
        <f t="shared" si="180"/>
        <v>0</v>
      </c>
      <c r="P250" s="74"/>
      <c r="X250" s="12"/>
      <c r="AA250" s="12"/>
      <c r="AB250" s="12"/>
      <c r="AC250" s="12"/>
      <c r="AI250" s="12"/>
      <c r="AJ250" s="12"/>
      <c r="AK250" s="12"/>
      <c r="AL250" s="12"/>
      <c r="AM250" s="12"/>
      <c r="AN250" s="12"/>
    </row>
    <row r="251" spans="1:40">
      <c r="A251" s="25"/>
      <c r="B251" s="16" t="s">
        <v>220</v>
      </c>
      <c r="C251" s="221" t="s">
        <v>87</v>
      </c>
      <c r="D251" s="166">
        <f t="shared" ref="D251:M251" si="181">D$19</f>
        <v>0</v>
      </c>
      <c r="E251" s="166">
        <f t="shared" si="181"/>
        <v>0</v>
      </c>
      <c r="F251" s="166">
        <f t="shared" si="181"/>
        <v>0</v>
      </c>
      <c r="G251" s="166">
        <f t="shared" si="181"/>
        <v>0</v>
      </c>
      <c r="H251" s="166">
        <f t="shared" si="181"/>
        <v>0</v>
      </c>
      <c r="I251" s="166">
        <f t="shared" si="181"/>
        <v>0</v>
      </c>
      <c r="J251" s="166">
        <f t="shared" si="181"/>
        <v>0</v>
      </c>
      <c r="K251" s="166">
        <f t="shared" si="181"/>
        <v>0</v>
      </c>
      <c r="L251" s="166">
        <f t="shared" si="181"/>
        <v>0</v>
      </c>
      <c r="M251" s="166">
        <f t="shared" si="181"/>
        <v>0</v>
      </c>
      <c r="P251" s="74"/>
      <c r="X251" s="12"/>
      <c r="AA251" s="12"/>
      <c r="AB251" s="12"/>
      <c r="AC251" s="12"/>
      <c r="AI251" s="12"/>
      <c r="AJ251" s="12"/>
      <c r="AK251" s="12"/>
      <c r="AL251" s="12"/>
      <c r="AM251" s="12"/>
      <c r="AN251" s="12"/>
    </row>
    <row r="252" spans="1:40">
      <c r="A252" s="25"/>
      <c r="B252" s="16" t="s">
        <v>221</v>
      </c>
      <c r="C252" s="221"/>
      <c r="D252" s="166">
        <f t="shared" ref="D252:M252" si="182">D$44</f>
        <v>0</v>
      </c>
      <c r="E252" s="166">
        <f t="shared" si="182"/>
        <v>0</v>
      </c>
      <c r="F252" s="166">
        <f t="shared" si="182"/>
        <v>0</v>
      </c>
      <c r="G252" s="166">
        <f t="shared" si="182"/>
        <v>0</v>
      </c>
      <c r="H252" s="166">
        <f t="shared" si="182"/>
        <v>0</v>
      </c>
      <c r="I252" s="166">
        <f t="shared" si="182"/>
        <v>0</v>
      </c>
      <c r="J252" s="166">
        <f t="shared" si="182"/>
        <v>0</v>
      </c>
      <c r="K252" s="166">
        <f t="shared" si="182"/>
        <v>0</v>
      </c>
      <c r="L252" s="166">
        <f t="shared" si="182"/>
        <v>0</v>
      </c>
      <c r="M252" s="166">
        <f t="shared" si="182"/>
        <v>0</v>
      </c>
      <c r="P252" s="74"/>
      <c r="AI252" s="12"/>
      <c r="AJ252" s="12"/>
      <c r="AK252" s="12"/>
      <c r="AL252" s="12"/>
      <c r="AM252" s="12"/>
      <c r="AN252" s="12"/>
    </row>
    <row r="253" spans="1:40">
      <c r="A253" s="25"/>
      <c r="B253" s="16" t="s">
        <v>91</v>
      </c>
      <c r="C253" s="221" t="s">
        <v>223</v>
      </c>
      <c r="D253" s="166">
        <f t="shared" ref="D253:M253" si="183">D$21</f>
        <v>0</v>
      </c>
      <c r="E253" s="166">
        <f t="shared" si="183"/>
        <v>0</v>
      </c>
      <c r="F253" s="166">
        <f t="shared" si="183"/>
        <v>0</v>
      </c>
      <c r="G253" s="166">
        <f t="shared" si="183"/>
        <v>0</v>
      </c>
      <c r="H253" s="166">
        <f t="shared" si="183"/>
        <v>0</v>
      </c>
      <c r="I253" s="166">
        <f t="shared" si="183"/>
        <v>0</v>
      </c>
      <c r="J253" s="166">
        <f t="shared" si="183"/>
        <v>0</v>
      </c>
      <c r="K253" s="166">
        <f t="shared" si="183"/>
        <v>0</v>
      </c>
      <c r="L253" s="166">
        <f t="shared" si="183"/>
        <v>0</v>
      </c>
      <c r="M253" s="166">
        <f t="shared" si="183"/>
        <v>0</v>
      </c>
      <c r="P253" s="74"/>
      <c r="AI253" s="12"/>
      <c r="AJ253" s="12"/>
      <c r="AK253" s="12"/>
      <c r="AL253" s="12"/>
      <c r="AM253" s="12"/>
      <c r="AN253" s="12"/>
    </row>
    <row r="254" spans="1:40">
      <c r="A254" s="25"/>
      <c r="B254" s="16" t="s">
        <v>226</v>
      </c>
      <c r="C254" s="221" t="s">
        <v>94</v>
      </c>
      <c r="D254" s="166" t="e">
        <f t="shared" ref="D254:M254" si="184">($D248/1000)/(PI()*(D249/1000)^2/4)</f>
        <v>#DIV/0!</v>
      </c>
      <c r="E254" s="166" t="e">
        <f t="shared" si="184"/>
        <v>#DIV/0!</v>
      </c>
      <c r="F254" s="166" t="e">
        <f t="shared" si="184"/>
        <v>#DIV/0!</v>
      </c>
      <c r="G254" s="166" t="e">
        <f t="shared" si="184"/>
        <v>#DIV/0!</v>
      </c>
      <c r="H254" s="166" t="e">
        <f t="shared" si="184"/>
        <v>#DIV/0!</v>
      </c>
      <c r="I254" s="166" t="e">
        <f t="shared" si="184"/>
        <v>#DIV/0!</v>
      </c>
      <c r="J254" s="166" t="e">
        <f t="shared" si="184"/>
        <v>#DIV/0!</v>
      </c>
      <c r="K254" s="166" t="e">
        <f t="shared" si="184"/>
        <v>#DIV/0!</v>
      </c>
      <c r="L254" s="166" t="e">
        <f t="shared" si="184"/>
        <v>#DIV/0!</v>
      </c>
      <c r="M254" s="166" t="e">
        <f t="shared" si="184"/>
        <v>#DIV/0!</v>
      </c>
      <c r="P254" s="74"/>
      <c r="AI254" s="12"/>
      <c r="AJ254" s="12"/>
      <c r="AK254" s="12"/>
      <c r="AL254" s="12"/>
      <c r="AM254" s="12"/>
      <c r="AN254" s="12"/>
    </row>
    <row r="255" spans="1:40" ht="14.25">
      <c r="A255" s="25"/>
      <c r="B255" s="16" t="s">
        <v>228</v>
      </c>
      <c r="C255" s="221" t="s">
        <v>229</v>
      </c>
      <c r="D255" s="165">
        <f t="shared" ref="D255:M255" si="185">IF(D$21="",0.000001,VLOOKUP(D253,$AQ$98:$AX$198,4,FALSE)/VLOOKUP(D253,$AQ$98:$AX$198,5,FALSE)/1000000)</f>
        <v>9.9999999999999995E-7</v>
      </c>
      <c r="E255" s="165">
        <f t="shared" si="185"/>
        <v>9.9999999999999995E-7</v>
      </c>
      <c r="F255" s="165">
        <f t="shared" si="185"/>
        <v>9.9999999999999995E-7</v>
      </c>
      <c r="G255" s="165">
        <f t="shared" si="185"/>
        <v>9.9999999999999995E-7</v>
      </c>
      <c r="H255" s="165">
        <f t="shared" si="185"/>
        <v>9.9999999999999995E-7</v>
      </c>
      <c r="I255" s="165">
        <f t="shared" si="185"/>
        <v>9.9999999999999995E-7</v>
      </c>
      <c r="J255" s="165">
        <f t="shared" si="185"/>
        <v>9.9999999999999995E-7</v>
      </c>
      <c r="K255" s="165">
        <f t="shared" si="185"/>
        <v>9.9999999999999995E-7</v>
      </c>
      <c r="L255" s="165">
        <f t="shared" si="185"/>
        <v>9.9999999999999995E-7</v>
      </c>
      <c r="M255" s="165">
        <f t="shared" si="185"/>
        <v>9.9999999999999995E-7</v>
      </c>
      <c r="P255" s="74"/>
      <c r="AI255" s="12"/>
      <c r="AJ255" s="12"/>
      <c r="AK255" s="12"/>
      <c r="AL255" s="12"/>
      <c r="AM255" s="12"/>
      <c r="AN255" s="12"/>
    </row>
    <row r="256" spans="1:40" ht="14.25">
      <c r="A256" s="25"/>
      <c r="B256" s="16" t="s">
        <v>231</v>
      </c>
      <c r="C256" s="221" t="s">
        <v>232</v>
      </c>
      <c r="D256" s="166" t="str">
        <f t="shared" ref="D256:M256" si="186">IF($AK$89="Clean Water / Sewage","n/a",VLOOKUP($AK$89,$AI$104:$AM$109,$AM$94,FALSE)*(D$91^VLOOKUP($AK$89,$AI$104:$AM$109,5,FALSE))*EXP(1848/(273+D253)-1848/283))</f>
        <v>n/a</v>
      </c>
      <c r="E256" s="166" t="str">
        <f t="shared" si="186"/>
        <v>n/a</v>
      </c>
      <c r="F256" s="166" t="str">
        <f t="shared" si="186"/>
        <v>n/a</v>
      </c>
      <c r="G256" s="166" t="str">
        <f t="shared" si="186"/>
        <v>n/a</v>
      </c>
      <c r="H256" s="166" t="str">
        <f t="shared" si="186"/>
        <v>n/a</v>
      </c>
      <c r="I256" s="166" t="str">
        <f t="shared" si="186"/>
        <v>n/a</v>
      </c>
      <c r="J256" s="166" t="str">
        <f t="shared" si="186"/>
        <v>n/a</v>
      </c>
      <c r="K256" s="166" t="str">
        <f t="shared" si="186"/>
        <v>n/a</v>
      </c>
      <c r="L256" s="166" t="str">
        <f t="shared" si="186"/>
        <v>n/a</v>
      </c>
      <c r="M256" s="166" t="str">
        <f t="shared" si="186"/>
        <v>n/a</v>
      </c>
      <c r="P256" s="74"/>
      <c r="AI256" s="12"/>
      <c r="AJ256" s="12"/>
      <c r="AK256" s="12"/>
      <c r="AL256" s="12"/>
      <c r="AM256" s="12"/>
      <c r="AN256" s="12"/>
    </row>
    <row r="257" spans="1:40">
      <c r="A257" s="25"/>
      <c r="B257" s="16" t="s">
        <v>234</v>
      </c>
      <c r="C257" s="221"/>
      <c r="D257" s="166" t="str">
        <f t="shared" ref="D257:M257" si="187">IF($AK$89="Clean Water / Sewage","n/a",VLOOKUP($AK$89,$AI$97:$AM$102,$AM$94,FALSE)*(D$91^VLOOKUP($AK$89,$AI$97:$AM$102,5,FALSE)))</f>
        <v>n/a</v>
      </c>
      <c r="E257" s="166" t="str">
        <f t="shared" si="187"/>
        <v>n/a</v>
      </c>
      <c r="F257" s="166" t="str">
        <f t="shared" si="187"/>
        <v>n/a</v>
      </c>
      <c r="G257" s="166" t="str">
        <f t="shared" si="187"/>
        <v>n/a</v>
      </c>
      <c r="H257" s="166" t="str">
        <f t="shared" si="187"/>
        <v>n/a</v>
      </c>
      <c r="I257" s="166" t="str">
        <f t="shared" si="187"/>
        <v>n/a</v>
      </c>
      <c r="J257" s="166" t="str">
        <f t="shared" si="187"/>
        <v>n/a</v>
      </c>
      <c r="K257" s="166" t="str">
        <f t="shared" si="187"/>
        <v>n/a</v>
      </c>
      <c r="L257" s="166" t="str">
        <f t="shared" si="187"/>
        <v>n/a</v>
      </c>
      <c r="M257" s="166" t="str">
        <f t="shared" si="187"/>
        <v>n/a</v>
      </c>
      <c r="P257" s="74"/>
      <c r="AI257" s="12"/>
      <c r="AJ257" s="12"/>
      <c r="AK257" s="12"/>
      <c r="AL257" s="12"/>
      <c r="AM257" s="12"/>
      <c r="AN257" s="12"/>
    </row>
    <row r="258" spans="1:40" ht="14.25">
      <c r="A258" s="25"/>
      <c r="B258" s="16" t="s">
        <v>225</v>
      </c>
      <c r="C258" s="221" t="s">
        <v>232</v>
      </c>
      <c r="D258" s="166" t="str">
        <f t="shared" ref="D258:M258" si="188">IF($AK$89="Clean Water / Sewage","n/a",VLOOKUP($AK$89,$AI$111:$AM$116,$AM$94,FALSE)*(D$91^VLOOKUP($AK$89,$AI$111:$AM$116,5,FALSE))*EXP(1848/(273+D253)-1848/283))</f>
        <v>n/a</v>
      </c>
      <c r="E258" s="166" t="str">
        <f t="shared" si="188"/>
        <v>n/a</v>
      </c>
      <c r="F258" s="166" t="str">
        <f t="shared" si="188"/>
        <v>n/a</v>
      </c>
      <c r="G258" s="166" t="str">
        <f t="shared" si="188"/>
        <v>n/a</v>
      </c>
      <c r="H258" s="166" t="str">
        <f t="shared" si="188"/>
        <v>n/a</v>
      </c>
      <c r="I258" s="166" t="str">
        <f t="shared" si="188"/>
        <v>n/a</v>
      </c>
      <c r="J258" s="166" t="str">
        <f t="shared" si="188"/>
        <v>n/a</v>
      </c>
      <c r="K258" s="166" t="str">
        <f t="shared" si="188"/>
        <v>n/a</v>
      </c>
      <c r="L258" s="166" t="str">
        <f t="shared" si="188"/>
        <v>n/a</v>
      </c>
      <c r="M258" s="166" t="str">
        <f t="shared" si="188"/>
        <v>n/a</v>
      </c>
      <c r="P258" s="74"/>
      <c r="AI258" s="12"/>
      <c r="AJ258" s="12"/>
      <c r="AK258" s="12"/>
      <c r="AL258" s="12"/>
      <c r="AM258" s="12"/>
      <c r="AN258" s="12"/>
    </row>
    <row r="259" spans="1:40">
      <c r="A259" s="25"/>
      <c r="B259" s="16" t="s">
        <v>236</v>
      </c>
      <c r="C259" s="221"/>
      <c r="D259" s="166" t="e">
        <f t="shared" ref="D259:M259" si="189">IF($AK89="Clean Water / Sewage",D254*D249/1000/D255,D$92*D254*D249/1000/D258)</f>
        <v>#DIV/0!</v>
      </c>
      <c r="E259" s="166" t="e">
        <f t="shared" si="189"/>
        <v>#DIV/0!</v>
      </c>
      <c r="F259" s="166" t="e">
        <f t="shared" si="189"/>
        <v>#DIV/0!</v>
      </c>
      <c r="G259" s="166" t="e">
        <f t="shared" si="189"/>
        <v>#DIV/0!</v>
      </c>
      <c r="H259" s="166" t="e">
        <f t="shared" si="189"/>
        <v>#DIV/0!</v>
      </c>
      <c r="I259" s="166" t="e">
        <f t="shared" si="189"/>
        <v>#DIV/0!</v>
      </c>
      <c r="J259" s="166" t="e">
        <f t="shared" si="189"/>
        <v>#DIV/0!</v>
      </c>
      <c r="K259" s="166" t="e">
        <f t="shared" si="189"/>
        <v>#DIV/0!</v>
      </c>
      <c r="L259" s="166" t="e">
        <f t="shared" si="189"/>
        <v>#DIV/0!</v>
      </c>
      <c r="M259" s="166" t="e">
        <f t="shared" si="189"/>
        <v>#DIV/0!</v>
      </c>
      <c r="P259" s="74"/>
    </row>
    <row r="260" spans="1:40">
      <c r="A260" s="25"/>
      <c r="B260" s="16" t="s">
        <v>238</v>
      </c>
      <c r="C260" s="221"/>
      <c r="D260" s="166" t="str">
        <f>IF(D256="n/a",D256,D$92*D254*D249/1000/D256*(8*D254/(D249/1000))^(1-D257))</f>
        <v>n/a</v>
      </c>
      <c r="E260" s="166" t="str">
        <f t="shared" ref="E260:M260" si="190">IF(E256="n/a",E256,E$92*E254*E249/1000/E256*(8*E254/(E249/1000))^(1-E257))</f>
        <v>n/a</v>
      </c>
      <c r="F260" s="166" t="str">
        <f t="shared" si="190"/>
        <v>n/a</v>
      </c>
      <c r="G260" s="166" t="str">
        <f t="shared" si="190"/>
        <v>n/a</v>
      </c>
      <c r="H260" s="166" t="str">
        <f t="shared" si="190"/>
        <v>n/a</v>
      </c>
      <c r="I260" s="166" t="str">
        <f t="shared" si="190"/>
        <v>n/a</v>
      </c>
      <c r="J260" s="166" t="str">
        <f t="shared" si="190"/>
        <v>n/a</v>
      </c>
      <c r="K260" s="166" t="str">
        <f t="shared" si="190"/>
        <v>n/a</v>
      </c>
      <c r="L260" s="166" t="str">
        <f t="shared" si="190"/>
        <v>n/a</v>
      </c>
      <c r="M260" s="166" t="str">
        <f t="shared" si="190"/>
        <v>n/a</v>
      </c>
      <c r="P260" s="74"/>
    </row>
    <row r="261" spans="1:40">
      <c r="A261" s="25"/>
      <c r="B261" s="16" t="s">
        <v>241</v>
      </c>
      <c r="C261" s="221"/>
      <c r="D261" s="166" t="e">
        <f t="shared" ref="D261:M261" si="191">0.25/(LOG(D250/1000/3.71/(D249/1000)+5.74/D259^0.9))^2/4</f>
        <v>#DIV/0!</v>
      </c>
      <c r="E261" s="166" t="e">
        <f t="shared" si="191"/>
        <v>#DIV/0!</v>
      </c>
      <c r="F261" s="166" t="e">
        <f t="shared" si="191"/>
        <v>#DIV/0!</v>
      </c>
      <c r="G261" s="166" t="e">
        <f t="shared" si="191"/>
        <v>#DIV/0!</v>
      </c>
      <c r="H261" s="166" t="e">
        <f t="shared" si="191"/>
        <v>#DIV/0!</v>
      </c>
      <c r="I261" s="166" t="e">
        <f t="shared" si="191"/>
        <v>#DIV/0!</v>
      </c>
      <c r="J261" s="166" t="e">
        <f t="shared" si="191"/>
        <v>#DIV/0!</v>
      </c>
      <c r="K261" s="166" t="e">
        <f t="shared" si="191"/>
        <v>#DIV/0!</v>
      </c>
      <c r="L261" s="166" t="e">
        <f t="shared" si="191"/>
        <v>#DIV/0!</v>
      </c>
      <c r="M261" s="166" t="e">
        <f t="shared" si="191"/>
        <v>#DIV/0!</v>
      </c>
      <c r="P261" s="74"/>
    </row>
    <row r="262" spans="1:40">
      <c r="A262" s="25"/>
      <c r="B262" s="16" t="s">
        <v>243</v>
      </c>
      <c r="C262" s="221"/>
      <c r="D262" s="166" t="str">
        <f t="shared" ref="D262:M262" si="192">IF($AK$89="Clean Water / Sewage","n/a",16/D260)</f>
        <v>n/a</v>
      </c>
      <c r="E262" s="166" t="str">
        <f t="shared" si="192"/>
        <v>n/a</v>
      </c>
      <c r="F262" s="166" t="str">
        <f t="shared" si="192"/>
        <v>n/a</v>
      </c>
      <c r="G262" s="166" t="str">
        <f t="shared" si="192"/>
        <v>n/a</v>
      </c>
      <c r="H262" s="166" t="str">
        <f t="shared" si="192"/>
        <v>n/a</v>
      </c>
      <c r="I262" s="166" t="str">
        <f t="shared" si="192"/>
        <v>n/a</v>
      </c>
      <c r="J262" s="166" t="str">
        <f t="shared" si="192"/>
        <v>n/a</v>
      </c>
      <c r="K262" s="166" t="str">
        <f t="shared" si="192"/>
        <v>n/a</v>
      </c>
      <c r="L262" s="166" t="str">
        <f t="shared" si="192"/>
        <v>n/a</v>
      </c>
      <c r="M262" s="166" t="str">
        <f t="shared" si="192"/>
        <v>n/a</v>
      </c>
      <c r="P262" s="74"/>
    </row>
    <row r="263" spans="1:40">
      <c r="A263" s="25"/>
      <c r="B263" s="16" t="s">
        <v>245</v>
      </c>
      <c r="C263" s="221"/>
      <c r="D263" s="166">
        <f t="shared" ref="D263:M263" si="193">IF(D249=0,0,IF($AK$89="Clean Water / Sewage",D261,IF(D260&lt;2300,D262,IF(D260&gt;4000,D261,IF(D262&gt;D261,D262,D261)))))</f>
        <v>0</v>
      </c>
      <c r="E263" s="166">
        <f t="shared" si="193"/>
        <v>0</v>
      </c>
      <c r="F263" s="166">
        <f t="shared" si="193"/>
        <v>0</v>
      </c>
      <c r="G263" s="166">
        <f t="shared" si="193"/>
        <v>0</v>
      </c>
      <c r="H263" s="166">
        <f t="shared" si="193"/>
        <v>0</v>
      </c>
      <c r="I263" s="166">
        <f t="shared" si="193"/>
        <v>0</v>
      </c>
      <c r="J263" s="166">
        <f t="shared" si="193"/>
        <v>0</v>
      </c>
      <c r="K263" s="166">
        <f t="shared" si="193"/>
        <v>0</v>
      </c>
      <c r="L263" s="166">
        <f t="shared" si="193"/>
        <v>0</v>
      </c>
      <c r="M263" s="166">
        <f t="shared" si="193"/>
        <v>0</v>
      </c>
      <c r="P263" s="74"/>
    </row>
    <row r="264" spans="1:40">
      <c r="A264" s="25"/>
      <c r="B264" s="16" t="s">
        <v>246</v>
      </c>
      <c r="C264" s="221"/>
      <c r="D264" s="166" t="str">
        <f t="shared" ref="D264:M264" si="194">IF($AK$89="Clean Water / Sewage","n/a",1+2000/D260)</f>
        <v>n/a</v>
      </c>
      <c r="E264" s="166" t="str">
        <f t="shared" si="194"/>
        <v>n/a</v>
      </c>
      <c r="F264" s="166" t="str">
        <f t="shared" si="194"/>
        <v>n/a</v>
      </c>
      <c r="G264" s="166" t="str">
        <f t="shared" si="194"/>
        <v>n/a</v>
      </c>
      <c r="H264" s="166" t="str">
        <f t="shared" si="194"/>
        <v>n/a</v>
      </c>
      <c r="I264" s="166" t="str">
        <f t="shared" si="194"/>
        <v>n/a</v>
      </c>
      <c r="J264" s="166" t="str">
        <f t="shared" si="194"/>
        <v>n/a</v>
      </c>
      <c r="K264" s="166" t="str">
        <f t="shared" si="194"/>
        <v>n/a</v>
      </c>
      <c r="L264" s="166" t="str">
        <f t="shared" si="194"/>
        <v>n/a</v>
      </c>
      <c r="M264" s="166" t="str">
        <f t="shared" si="194"/>
        <v>n/a</v>
      </c>
      <c r="P264" s="74"/>
    </row>
    <row r="265" spans="1:40">
      <c r="A265" s="25"/>
      <c r="B265" s="16" t="s">
        <v>248</v>
      </c>
      <c r="C265" s="221" t="s">
        <v>89</v>
      </c>
      <c r="D265" s="166">
        <f>IF(D249*D248=0,0,2*D263*D251/(D249/1000)*D254^2/9.81+IF($AK$89="Clean Water / Sewage",D252*D254^2/2/9.81,D264*D252*D254^2/2/9.81))</f>
        <v>0</v>
      </c>
      <c r="E265" s="166">
        <f>IF(E249*D248=0,0,2*E263*E251/(E249/1000)*E254^2/9.81+IF($AK$89="Clean Water / Sewage",E252*E254^2/2/9.81,E264*E252*E254^2/2/9.81))</f>
        <v>0</v>
      </c>
      <c r="F265" s="166">
        <f>IF(F249*D248=0,0,2*F263*F251/(F249/1000)*F254^2/9.81+IF($AK$89="Clean Water / Sewage",F252*F254^2/2/9.81,F264*F252*F254^2/2/9.81))</f>
        <v>0</v>
      </c>
      <c r="G265" s="166">
        <f>IF(G249*D248=0,0,2*G263*G251/(G249/1000)*G254^2/9.81+IF($AK$89="Clean Water / Sewage",G252*G254^2/2/9.81,G264*G252*G254^2/2/9.81))</f>
        <v>0</v>
      </c>
      <c r="H265" s="166">
        <f>IF(H249*D248=0,0,2*H263*H251/(H249/1000)*H254^2/9.81+IF($AK$89="Clean Water / Sewage",H252*H254^2/2/9.81,H264*H252*H254^2/2/9.81))</f>
        <v>0</v>
      </c>
      <c r="I265" s="166">
        <f>IF(I249*D248=0,0,2*I263*I251/(I249/1000)*I254^2/9.81+IF($AK$89="Clean Water / Sewage",I252*I254^2/2/9.81,I264*I252*I254^2/2/9.81))</f>
        <v>0</v>
      </c>
      <c r="J265" s="166">
        <f>IF(J249*E248=0,0,2*J263*J251/(J249/1000)*J254^2/9.81+IF($AK$89="Clean Water / Sewage",J252*J254^2/2/9.81,J264*J252*J254^2/2/9.81))</f>
        <v>0</v>
      </c>
      <c r="K265" s="166">
        <f>IF(K249*F248=0,0,2*K263*K251/(K249/1000)*K254^2/9.81+IF($AK$89="Clean Water / Sewage",K252*K254^2/2/9.81,K264*K252*K254^2/2/9.81))</f>
        <v>0</v>
      </c>
      <c r="L265" s="166">
        <f>IF(L249*G248=0,0,2*L263*L251/(L249/1000)*L254^2/9.81+IF($AK$89="Clean Water / Sewage",L252*L254^2/2/9.81,L264*L252*L254^2/2/9.81))</f>
        <v>0</v>
      </c>
      <c r="M265" s="166">
        <f>IF(M249*H248=0,0,2*M263*M251/(M249/1000)*M254^2/9.81+IF($AK$89="Clean Water / Sewage",M252*M254^2/2/9.81,M264*M252*M254^2/2/9.81))</f>
        <v>0</v>
      </c>
      <c r="P265" s="74"/>
    </row>
    <row r="266" spans="1:40">
      <c r="A266" s="25"/>
      <c r="B266" s="16" t="s">
        <v>248</v>
      </c>
      <c r="C266" s="221" t="s">
        <v>250</v>
      </c>
      <c r="D266" s="166">
        <f>D265*D$92*9.81/100000</f>
        <v>0</v>
      </c>
      <c r="E266" s="166">
        <f t="shared" ref="E266:M266" si="195">E265*E$92*9.81/100000</f>
        <v>0</v>
      </c>
      <c r="F266" s="166">
        <f t="shared" si="195"/>
        <v>0</v>
      </c>
      <c r="G266" s="166">
        <f t="shared" si="195"/>
        <v>0</v>
      </c>
      <c r="H266" s="166">
        <f t="shared" si="195"/>
        <v>0</v>
      </c>
      <c r="I266" s="166">
        <f t="shared" si="195"/>
        <v>0</v>
      </c>
      <c r="J266" s="166">
        <f t="shared" si="195"/>
        <v>0</v>
      </c>
      <c r="K266" s="166">
        <f t="shared" si="195"/>
        <v>0</v>
      </c>
      <c r="L266" s="166">
        <f t="shared" si="195"/>
        <v>0</v>
      </c>
      <c r="M266" s="166">
        <f t="shared" si="195"/>
        <v>0</v>
      </c>
      <c r="P266" s="74"/>
    </row>
    <row r="267" spans="1:40">
      <c r="A267" s="25"/>
      <c r="P267" s="74"/>
    </row>
    <row r="268" spans="1:40">
      <c r="A268" s="25"/>
      <c r="B268" s="16" t="s">
        <v>215</v>
      </c>
      <c r="C268" s="221" t="s">
        <v>53</v>
      </c>
      <c r="D268" s="202">
        <f>O20</f>
        <v>0</v>
      </c>
      <c r="P268" s="74"/>
    </row>
    <row r="269" spans="1:40">
      <c r="A269" s="25"/>
      <c r="B269" s="16" t="s">
        <v>217</v>
      </c>
      <c r="C269" s="221" t="s">
        <v>87</v>
      </c>
      <c r="D269" s="166">
        <f t="shared" ref="D269:M269" si="196">D$18</f>
        <v>0</v>
      </c>
      <c r="E269" s="166">
        <f t="shared" si="196"/>
        <v>0</v>
      </c>
      <c r="F269" s="166">
        <f t="shared" si="196"/>
        <v>0</v>
      </c>
      <c r="G269" s="166">
        <f t="shared" si="196"/>
        <v>0</v>
      </c>
      <c r="H269" s="166">
        <f t="shared" si="196"/>
        <v>0</v>
      </c>
      <c r="I269" s="166">
        <f t="shared" si="196"/>
        <v>0</v>
      </c>
      <c r="J269" s="166">
        <f t="shared" si="196"/>
        <v>0</v>
      </c>
      <c r="K269" s="166">
        <f t="shared" si="196"/>
        <v>0</v>
      </c>
      <c r="L269" s="166">
        <f t="shared" si="196"/>
        <v>0</v>
      </c>
      <c r="M269" s="166">
        <f t="shared" si="196"/>
        <v>0</v>
      </c>
      <c r="P269" s="74"/>
    </row>
    <row r="270" spans="1:40">
      <c r="A270" s="25"/>
      <c r="B270" s="16" t="s">
        <v>218</v>
      </c>
      <c r="C270" s="221" t="s">
        <v>87</v>
      </c>
      <c r="D270" s="166">
        <f t="shared" ref="D270:M270" si="197">D$20</f>
        <v>0</v>
      </c>
      <c r="E270" s="166">
        <f t="shared" si="197"/>
        <v>0</v>
      </c>
      <c r="F270" s="166">
        <f t="shared" si="197"/>
        <v>0</v>
      </c>
      <c r="G270" s="166">
        <f t="shared" si="197"/>
        <v>0</v>
      </c>
      <c r="H270" s="166">
        <f t="shared" si="197"/>
        <v>0</v>
      </c>
      <c r="I270" s="166">
        <f t="shared" si="197"/>
        <v>0</v>
      </c>
      <c r="J270" s="166">
        <f t="shared" si="197"/>
        <v>0</v>
      </c>
      <c r="K270" s="166">
        <f t="shared" si="197"/>
        <v>0</v>
      </c>
      <c r="L270" s="166">
        <f t="shared" si="197"/>
        <v>0</v>
      </c>
      <c r="M270" s="166">
        <f t="shared" si="197"/>
        <v>0</v>
      </c>
      <c r="P270" s="74"/>
    </row>
    <row r="271" spans="1:40">
      <c r="A271" s="25"/>
      <c r="B271" s="16" t="s">
        <v>220</v>
      </c>
      <c r="C271" s="221" t="s">
        <v>87</v>
      </c>
      <c r="D271" s="166">
        <f t="shared" ref="D271:M271" si="198">D$19</f>
        <v>0</v>
      </c>
      <c r="E271" s="166">
        <f t="shared" si="198"/>
        <v>0</v>
      </c>
      <c r="F271" s="166">
        <f t="shared" si="198"/>
        <v>0</v>
      </c>
      <c r="G271" s="166">
        <f t="shared" si="198"/>
        <v>0</v>
      </c>
      <c r="H271" s="166">
        <f t="shared" si="198"/>
        <v>0</v>
      </c>
      <c r="I271" s="166">
        <f t="shared" si="198"/>
        <v>0</v>
      </c>
      <c r="J271" s="166">
        <f t="shared" si="198"/>
        <v>0</v>
      </c>
      <c r="K271" s="166">
        <f t="shared" si="198"/>
        <v>0</v>
      </c>
      <c r="L271" s="166">
        <f t="shared" si="198"/>
        <v>0</v>
      </c>
      <c r="M271" s="166">
        <f t="shared" si="198"/>
        <v>0</v>
      </c>
      <c r="P271" s="74"/>
    </row>
    <row r="272" spans="1:40">
      <c r="A272" s="25"/>
      <c r="B272" s="16" t="s">
        <v>221</v>
      </c>
      <c r="C272" s="221"/>
      <c r="D272" s="166">
        <f t="shared" ref="D272:M272" si="199">D$44</f>
        <v>0</v>
      </c>
      <c r="E272" s="166">
        <f t="shared" si="199"/>
        <v>0</v>
      </c>
      <c r="F272" s="166">
        <f t="shared" si="199"/>
        <v>0</v>
      </c>
      <c r="G272" s="166">
        <f t="shared" si="199"/>
        <v>0</v>
      </c>
      <c r="H272" s="166">
        <f t="shared" si="199"/>
        <v>0</v>
      </c>
      <c r="I272" s="166">
        <f t="shared" si="199"/>
        <v>0</v>
      </c>
      <c r="J272" s="166">
        <f t="shared" si="199"/>
        <v>0</v>
      </c>
      <c r="K272" s="166">
        <f t="shared" si="199"/>
        <v>0</v>
      </c>
      <c r="L272" s="166">
        <f t="shared" si="199"/>
        <v>0</v>
      </c>
      <c r="M272" s="166">
        <f t="shared" si="199"/>
        <v>0</v>
      </c>
      <c r="P272" s="74"/>
    </row>
    <row r="273" spans="1:20">
      <c r="A273" s="25"/>
      <c r="B273" s="16" t="s">
        <v>91</v>
      </c>
      <c r="C273" s="221" t="s">
        <v>223</v>
      </c>
      <c r="D273" s="166">
        <f t="shared" ref="D273:M273" si="200">D$21</f>
        <v>0</v>
      </c>
      <c r="E273" s="166">
        <f>E$21</f>
        <v>0</v>
      </c>
      <c r="F273" s="166">
        <f>F$21</f>
        <v>0</v>
      </c>
      <c r="G273" s="166">
        <f>G$21</f>
        <v>0</v>
      </c>
      <c r="H273" s="166">
        <f t="shared" si="200"/>
        <v>0</v>
      </c>
      <c r="I273" s="166">
        <f t="shared" si="200"/>
        <v>0</v>
      </c>
      <c r="J273" s="166">
        <f t="shared" si="200"/>
        <v>0</v>
      </c>
      <c r="K273" s="166">
        <f t="shared" si="200"/>
        <v>0</v>
      </c>
      <c r="L273" s="166">
        <f t="shared" si="200"/>
        <v>0</v>
      </c>
      <c r="M273" s="166">
        <f t="shared" si="200"/>
        <v>0</v>
      </c>
      <c r="P273" s="74"/>
    </row>
    <row r="274" spans="1:20">
      <c r="A274" s="25"/>
      <c r="B274" s="16" t="s">
        <v>226</v>
      </c>
      <c r="C274" s="221" t="s">
        <v>94</v>
      </c>
      <c r="D274" s="166" t="e">
        <f t="shared" ref="D274:M274" si="201">($D268/1000)/(PI()*(D269/1000)^2/4)</f>
        <v>#DIV/0!</v>
      </c>
      <c r="E274" s="166" t="e">
        <f t="shared" si="201"/>
        <v>#DIV/0!</v>
      </c>
      <c r="F274" s="166" t="e">
        <f t="shared" si="201"/>
        <v>#DIV/0!</v>
      </c>
      <c r="G274" s="166" t="e">
        <f t="shared" si="201"/>
        <v>#DIV/0!</v>
      </c>
      <c r="H274" s="166" t="e">
        <f t="shared" si="201"/>
        <v>#DIV/0!</v>
      </c>
      <c r="I274" s="166" t="e">
        <f t="shared" si="201"/>
        <v>#DIV/0!</v>
      </c>
      <c r="J274" s="166" t="e">
        <f t="shared" si="201"/>
        <v>#DIV/0!</v>
      </c>
      <c r="K274" s="166" t="e">
        <f t="shared" si="201"/>
        <v>#DIV/0!</v>
      </c>
      <c r="L274" s="166" t="e">
        <f t="shared" si="201"/>
        <v>#DIV/0!</v>
      </c>
      <c r="M274" s="166" t="e">
        <f t="shared" si="201"/>
        <v>#DIV/0!</v>
      </c>
      <c r="P274" s="74"/>
    </row>
    <row r="275" spans="1:20" ht="14.25">
      <c r="A275" s="25"/>
      <c r="B275" s="16" t="s">
        <v>228</v>
      </c>
      <c r="C275" s="221" t="s">
        <v>229</v>
      </c>
      <c r="D275" s="165">
        <f t="shared" ref="D275:M275" si="202">IF(D$21="",0.000001,VLOOKUP(D273,$AQ$98:$AX$198,4,FALSE)/VLOOKUP(D273,$AQ$98:$AX$198,5,FALSE)/1000000)</f>
        <v>9.9999999999999995E-7</v>
      </c>
      <c r="E275" s="165">
        <f t="shared" si="202"/>
        <v>9.9999999999999995E-7</v>
      </c>
      <c r="F275" s="165">
        <f t="shared" si="202"/>
        <v>9.9999999999999995E-7</v>
      </c>
      <c r="G275" s="165">
        <f t="shared" si="202"/>
        <v>9.9999999999999995E-7</v>
      </c>
      <c r="H275" s="165">
        <f t="shared" si="202"/>
        <v>9.9999999999999995E-7</v>
      </c>
      <c r="I275" s="165">
        <f t="shared" si="202"/>
        <v>9.9999999999999995E-7</v>
      </c>
      <c r="J275" s="165">
        <f t="shared" si="202"/>
        <v>9.9999999999999995E-7</v>
      </c>
      <c r="K275" s="165">
        <f t="shared" si="202"/>
        <v>9.9999999999999995E-7</v>
      </c>
      <c r="L275" s="165">
        <f t="shared" si="202"/>
        <v>9.9999999999999995E-7</v>
      </c>
      <c r="M275" s="165">
        <f t="shared" si="202"/>
        <v>9.9999999999999995E-7</v>
      </c>
      <c r="P275" s="74"/>
    </row>
    <row r="276" spans="1:20" ht="14.25">
      <c r="A276" s="25"/>
      <c r="B276" s="16" t="s">
        <v>231</v>
      </c>
      <c r="C276" s="221" t="s">
        <v>232</v>
      </c>
      <c r="D276" s="166" t="str">
        <f t="shared" ref="D276:M276" si="203">IF($AK$89="Clean Water / Sewage","n/a",VLOOKUP($AK$89,$AI$104:$AM$109,$AM$94,FALSE)*(D$91^VLOOKUP($AK$89,$AI$104:$AM$109,5,FALSE))*EXP(1848/(273+D273)-1848/283))</f>
        <v>n/a</v>
      </c>
      <c r="E276" s="166" t="str">
        <f t="shared" si="203"/>
        <v>n/a</v>
      </c>
      <c r="F276" s="166" t="str">
        <f t="shared" si="203"/>
        <v>n/a</v>
      </c>
      <c r="G276" s="166" t="str">
        <f t="shared" si="203"/>
        <v>n/a</v>
      </c>
      <c r="H276" s="166" t="str">
        <f t="shared" si="203"/>
        <v>n/a</v>
      </c>
      <c r="I276" s="166" t="str">
        <f t="shared" si="203"/>
        <v>n/a</v>
      </c>
      <c r="J276" s="166" t="str">
        <f t="shared" si="203"/>
        <v>n/a</v>
      </c>
      <c r="K276" s="166" t="str">
        <f t="shared" si="203"/>
        <v>n/a</v>
      </c>
      <c r="L276" s="166" t="str">
        <f t="shared" si="203"/>
        <v>n/a</v>
      </c>
      <c r="M276" s="166" t="str">
        <f t="shared" si="203"/>
        <v>n/a</v>
      </c>
      <c r="P276" s="74"/>
    </row>
    <row r="277" spans="1:20">
      <c r="A277" s="25"/>
      <c r="B277" s="16" t="s">
        <v>234</v>
      </c>
      <c r="C277" s="221"/>
      <c r="D277" s="166" t="str">
        <f t="shared" ref="D277:M277" si="204">IF($AK$89="Clean Water / Sewage","n/a",VLOOKUP($AK$89,$AI$97:$AM$102,$AM$94,FALSE)*(D$91^VLOOKUP($AK$89,$AI$97:$AM$102,5,FALSE)))</f>
        <v>n/a</v>
      </c>
      <c r="E277" s="166" t="str">
        <f t="shared" si="204"/>
        <v>n/a</v>
      </c>
      <c r="F277" s="166" t="str">
        <f t="shared" si="204"/>
        <v>n/a</v>
      </c>
      <c r="G277" s="166" t="str">
        <f t="shared" si="204"/>
        <v>n/a</v>
      </c>
      <c r="H277" s="166" t="str">
        <f t="shared" si="204"/>
        <v>n/a</v>
      </c>
      <c r="I277" s="166" t="str">
        <f t="shared" si="204"/>
        <v>n/a</v>
      </c>
      <c r="J277" s="166" t="str">
        <f t="shared" si="204"/>
        <v>n/a</v>
      </c>
      <c r="K277" s="166" t="str">
        <f t="shared" si="204"/>
        <v>n/a</v>
      </c>
      <c r="L277" s="166" t="str">
        <f t="shared" si="204"/>
        <v>n/a</v>
      </c>
      <c r="M277" s="166" t="str">
        <f t="shared" si="204"/>
        <v>n/a</v>
      </c>
      <c r="P277" s="74"/>
    </row>
    <row r="278" spans="1:20" ht="14.25">
      <c r="A278" s="25"/>
      <c r="B278" s="16" t="s">
        <v>225</v>
      </c>
      <c r="C278" s="221" t="s">
        <v>232</v>
      </c>
      <c r="D278" s="166" t="str">
        <f t="shared" ref="D278:M278" si="205">IF($AK$89="Clean Water / Sewage","n/a",VLOOKUP($AK$89,$AI$111:$AM$116,$AM$94,FALSE)*(D$91^VLOOKUP($AK$89,$AI$111:$AM$116,5,FALSE))*EXP(1848/(273+D273)-1848/283))</f>
        <v>n/a</v>
      </c>
      <c r="E278" s="166" t="str">
        <f t="shared" si="205"/>
        <v>n/a</v>
      </c>
      <c r="F278" s="166" t="str">
        <f t="shared" si="205"/>
        <v>n/a</v>
      </c>
      <c r="G278" s="166" t="str">
        <f t="shared" si="205"/>
        <v>n/a</v>
      </c>
      <c r="H278" s="166" t="str">
        <f t="shared" si="205"/>
        <v>n/a</v>
      </c>
      <c r="I278" s="166" t="str">
        <f t="shared" si="205"/>
        <v>n/a</v>
      </c>
      <c r="J278" s="166" t="str">
        <f t="shared" si="205"/>
        <v>n/a</v>
      </c>
      <c r="K278" s="166" t="str">
        <f t="shared" si="205"/>
        <v>n/a</v>
      </c>
      <c r="L278" s="166" t="str">
        <f t="shared" si="205"/>
        <v>n/a</v>
      </c>
      <c r="M278" s="166" t="str">
        <f t="shared" si="205"/>
        <v>n/a</v>
      </c>
      <c r="P278" s="74"/>
    </row>
    <row r="279" spans="1:20">
      <c r="A279" s="25"/>
      <c r="B279" s="16" t="s">
        <v>236</v>
      </c>
      <c r="C279" s="221"/>
      <c r="D279" s="166" t="e">
        <f t="shared" ref="D279:M279" si="206">IF($AK89="Clean Water / Sewage",D274*D269/1000/D275,D$92*D274*D269/1000/D278)</f>
        <v>#DIV/0!</v>
      </c>
      <c r="E279" s="166" t="e">
        <f t="shared" si="206"/>
        <v>#DIV/0!</v>
      </c>
      <c r="F279" s="166" t="e">
        <f t="shared" si="206"/>
        <v>#DIV/0!</v>
      </c>
      <c r="G279" s="166" t="e">
        <f t="shared" si="206"/>
        <v>#DIV/0!</v>
      </c>
      <c r="H279" s="166" t="e">
        <f t="shared" si="206"/>
        <v>#DIV/0!</v>
      </c>
      <c r="I279" s="166" t="e">
        <f t="shared" si="206"/>
        <v>#DIV/0!</v>
      </c>
      <c r="J279" s="166" t="e">
        <f t="shared" si="206"/>
        <v>#DIV/0!</v>
      </c>
      <c r="K279" s="166" t="e">
        <f t="shared" si="206"/>
        <v>#DIV/0!</v>
      </c>
      <c r="L279" s="166" t="e">
        <f t="shared" si="206"/>
        <v>#DIV/0!</v>
      </c>
      <c r="M279" s="166" t="e">
        <f t="shared" si="206"/>
        <v>#DIV/0!</v>
      </c>
      <c r="P279" s="74"/>
    </row>
    <row r="280" spans="1:20">
      <c r="A280" s="25"/>
      <c r="B280" s="16" t="s">
        <v>238</v>
      </c>
      <c r="C280" s="221"/>
      <c r="D280" s="166" t="str">
        <f>IF(D276="n/a",D276,D$92*D274*D269/1000/D276*(8*D274/(D269/1000))^(1-D277))</f>
        <v>n/a</v>
      </c>
      <c r="E280" s="166" t="str">
        <f t="shared" ref="E280:M280" si="207">IF(E276="n/a",E276,E$92*E274*E269/1000/E276*(8*E274/(E269/1000))^(1-E277))</f>
        <v>n/a</v>
      </c>
      <c r="F280" s="166" t="str">
        <f t="shared" si="207"/>
        <v>n/a</v>
      </c>
      <c r="G280" s="166" t="str">
        <f t="shared" si="207"/>
        <v>n/a</v>
      </c>
      <c r="H280" s="166" t="str">
        <f t="shared" si="207"/>
        <v>n/a</v>
      </c>
      <c r="I280" s="166" t="str">
        <f t="shared" si="207"/>
        <v>n/a</v>
      </c>
      <c r="J280" s="166" t="str">
        <f t="shared" si="207"/>
        <v>n/a</v>
      </c>
      <c r="K280" s="166" t="str">
        <f t="shared" si="207"/>
        <v>n/a</v>
      </c>
      <c r="L280" s="166" t="str">
        <f t="shared" si="207"/>
        <v>n/a</v>
      </c>
      <c r="M280" s="166" t="str">
        <f t="shared" si="207"/>
        <v>n/a</v>
      </c>
      <c r="P280" s="74"/>
    </row>
    <row r="281" spans="1:20">
      <c r="A281" s="25"/>
      <c r="B281" s="16" t="s">
        <v>241</v>
      </c>
      <c r="C281" s="221"/>
      <c r="D281" s="166" t="e">
        <f t="shared" ref="D281:M281" si="208">0.25/(LOG(D270/1000/3.71/(D269/1000)+5.74/D279^0.9))^2/4</f>
        <v>#DIV/0!</v>
      </c>
      <c r="E281" s="166" t="e">
        <f t="shared" si="208"/>
        <v>#DIV/0!</v>
      </c>
      <c r="F281" s="166" t="e">
        <f t="shared" si="208"/>
        <v>#DIV/0!</v>
      </c>
      <c r="G281" s="166" t="e">
        <f t="shared" si="208"/>
        <v>#DIV/0!</v>
      </c>
      <c r="H281" s="166" t="e">
        <f t="shared" si="208"/>
        <v>#DIV/0!</v>
      </c>
      <c r="I281" s="166" t="e">
        <f t="shared" si="208"/>
        <v>#DIV/0!</v>
      </c>
      <c r="J281" s="166" t="e">
        <f t="shared" si="208"/>
        <v>#DIV/0!</v>
      </c>
      <c r="K281" s="166" t="e">
        <f t="shared" si="208"/>
        <v>#DIV/0!</v>
      </c>
      <c r="L281" s="166" t="e">
        <f t="shared" si="208"/>
        <v>#DIV/0!</v>
      </c>
      <c r="M281" s="166" t="e">
        <f t="shared" si="208"/>
        <v>#DIV/0!</v>
      </c>
      <c r="P281" s="74"/>
    </row>
    <row r="282" spans="1:20">
      <c r="A282" s="25"/>
      <c r="B282" s="16" t="s">
        <v>243</v>
      </c>
      <c r="C282" s="221"/>
      <c r="D282" s="166" t="str">
        <f t="shared" ref="D282:M282" si="209">IF($AK$89="Clean Water / Sewage","n/a",16/D280)</f>
        <v>n/a</v>
      </c>
      <c r="E282" s="166" t="str">
        <f t="shared" si="209"/>
        <v>n/a</v>
      </c>
      <c r="F282" s="166" t="str">
        <f t="shared" si="209"/>
        <v>n/a</v>
      </c>
      <c r="G282" s="166" t="str">
        <f t="shared" si="209"/>
        <v>n/a</v>
      </c>
      <c r="H282" s="166" t="str">
        <f t="shared" si="209"/>
        <v>n/a</v>
      </c>
      <c r="I282" s="166" t="str">
        <f t="shared" si="209"/>
        <v>n/a</v>
      </c>
      <c r="J282" s="166" t="str">
        <f t="shared" si="209"/>
        <v>n/a</v>
      </c>
      <c r="K282" s="166" t="str">
        <f t="shared" si="209"/>
        <v>n/a</v>
      </c>
      <c r="L282" s="166" t="str">
        <f t="shared" si="209"/>
        <v>n/a</v>
      </c>
      <c r="M282" s="166" t="str">
        <f t="shared" si="209"/>
        <v>n/a</v>
      </c>
      <c r="P282" s="74"/>
    </row>
    <row r="283" spans="1:20">
      <c r="A283" s="25"/>
      <c r="B283" s="16" t="s">
        <v>245</v>
      </c>
      <c r="C283" s="221"/>
      <c r="D283" s="166">
        <f t="shared" ref="D283:M283" si="210">IF(D269=0,0,IF($AK$89="Clean Water / Sewage",D281,IF(D280&lt;2300,D282,IF(D280&gt;4000,D281,IF(D282&gt;D281,D282,D281)))))</f>
        <v>0</v>
      </c>
      <c r="E283" s="166">
        <f t="shared" si="210"/>
        <v>0</v>
      </c>
      <c r="F283" s="166">
        <f t="shared" si="210"/>
        <v>0</v>
      </c>
      <c r="G283" s="166">
        <f t="shared" si="210"/>
        <v>0</v>
      </c>
      <c r="H283" s="166">
        <f t="shared" si="210"/>
        <v>0</v>
      </c>
      <c r="I283" s="166">
        <f t="shared" si="210"/>
        <v>0</v>
      </c>
      <c r="J283" s="166">
        <f t="shared" si="210"/>
        <v>0</v>
      </c>
      <c r="K283" s="166">
        <f t="shared" si="210"/>
        <v>0</v>
      </c>
      <c r="L283" s="166">
        <f t="shared" si="210"/>
        <v>0</v>
      </c>
      <c r="M283" s="166">
        <f t="shared" si="210"/>
        <v>0</v>
      </c>
      <c r="P283" s="74"/>
    </row>
    <row r="284" spans="1:20">
      <c r="A284" s="25"/>
      <c r="B284" s="16" t="s">
        <v>246</v>
      </c>
      <c r="C284" s="221"/>
      <c r="D284" s="166" t="str">
        <f t="shared" ref="D284:M284" si="211">IF($AK$89="Clean Water / Sewage","n/a",1+2000/D280)</f>
        <v>n/a</v>
      </c>
      <c r="E284" s="166" t="str">
        <f t="shared" si="211"/>
        <v>n/a</v>
      </c>
      <c r="F284" s="166" t="str">
        <f t="shared" si="211"/>
        <v>n/a</v>
      </c>
      <c r="G284" s="166" t="str">
        <f t="shared" si="211"/>
        <v>n/a</v>
      </c>
      <c r="H284" s="166" t="str">
        <f t="shared" si="211"/>
        <v>n/a</v>
      </c>
      <c r="I284" s="166" t="str">
        <f t="shared" si="211"/>
        <v>n/a</v>
      </c>
      <c r="J284" s="166" t="str">
        <f t="shared" si="211"/>
        <v>n/a</v>
      </c>
      <c r="K284" s="166" t="str">
        <f t="shared" si="211"/>
        <v>n/a</v>
      </c>
      <c r="L284" s="166" t="str">
        <f t="shared" si="211"/>
        <v>n/a</v>
      </c>
      <c r="M284" s="166" t="str">
        <f t="shared" si="211"/>
        <v>n/a</v>
      </c>
      <c r="P284" s="74"/>
    </row>
    <row r="285" spans="1:20">
      <c r="A285" s="25"/>
      <c r="B285" s="16" t="s">
        <v>248</v>
      </c>
      <c r="C285" s="221" t="s">
        <v>89</v>
      </c>
      <c r="D285" s="166">
        <f>IF(D269*D268=0,0,2*D283*D271/(D269/1000)*D274^2/9.81+IF($AK$89="Clean Water / Sewage",D272*D274^2/2/9.81,D284*D272*D274^2/2/9.81))</f>
        <v>0</v>
      </c>
      <c r="E285" s="166">
        <f t="shared" ref="E285:M285" si="212">IF(E269=0,0,2*E283*E271/(E269/1000)*E274^2/9.81+IF($AK$89="Clean Water / Sewage",E272*E274^2/2/9.81,E284*E272*E274^2/2/9.81))</f>
        <v>0</v>
      </c>
      <c r="F285" s="166">
        <f t="shared" si="212"/>
        <v>0</v>
      </c>
      <c r="G285" s="166">
        <f t="shared" si="212"/>
        <v>0</v>
      </c>
      <c r="H285" s="166">
        <f t="shared" si="212"/>
        <v>0</v>
      </c>
      <c r="I285" s="166">
        <f t="shared" si="212"/>
        <v>0</v>
      </c>
      <c r="J285" s="166">
        <f t="shared" si="212"/>
        <v>0</v>
      </c>
      <c r="K285" s="166">
        <f t="shared" si="212"/>
        <v>0</v>
      </c>
      <c r="L285" s="166">
        <f t="shared" si="212"/>
        <v>0</v>
      </c>
      <c r="M285" s="166">
        <f t="shared" si="212"/>
        <v>0</v>
      </c>
      <c r="P285" s="74"/>
    </row>
    <row r="286" spans="1:20">
      <c r="A286" s="25"/>
      <c r="B286" s="16" t="s">
        <v>248</v>
      </c>
      <c r="C286" s="221" t="s">
        <v>250</v>
      </c>
      <c r="D286" s="166">
        <f>D285*D$92*9.81/100000</f>
        <v>0</v>
      </c>
      <c r="E286" s="166">
        <f t="shared" ref="E286:M286" si="213">E285*E$92*9.81/100000</f>
        <v>0</v>
      </c>
      <c r="F286" s="166">
        <f t="shared" si="213"/>
        <v>0</v>
      </c>
      <c r="G286" s="166">
        <f t="shared" si="213"/>
        <v>0</v>
      </c>
      <c r="H286" s="166">
        <f t="shared" si="213"/>
        <v>0</v>
      </c>
      <c r="I286" s="166">
        <f t="shared" si="213"/>
        <v>0</v>
      </c>
      <c r="J286" s="166">
        <f t="shared" si="213"/>
        <v>0</v>
      </c>
      <c r="K286" s="166">
        <f t="shared" si="213"/>
        <v>0</v>
      </c>
      <c r="L286" s="166">
        <f t="shared" si="213"/>
        <v>0</v>
      </c>
      <c r="M286" s="166">
        <f t="shared" si="213"/>
        <v>0</v>
      </c>
      <c r="P286" s="74"/>
      <c r="S286" s="221"/>
      <c r="T286" s="221"/>
    </row>
    <row r="287" spans="1:20">
      <c r="A287" s="25"/>
      <c r="P287" s="74"/>
    </row>
    <row r="288" spans="1:20">
      <c r="A288" s="25"/>
      <c r="B288" s="16" t="s">
        <v>215</v>
      </c>
      <c r="C288" s="221" t="s">
        <v>53</v>
      </c>
      <c r="D288" s="202">
        <f>O21</f>
        <v>0</v>
      </c>
      <c r="P288" s="74"/>
    </row>
    <row r="289" spans="1:16">
      <c r="A289" s="25"/>
      <c r="B289" s="16" t="s">
        <v>217</v>
      </c>
      <c r="C289" s="221" t="s">
        <v>87</v>
      </c>
      <c r="D289" s="166">
        <f t="shared" ref="D289:M289" si="214">D$18</f>
        <v>0</v>
      </c>
      <c r="E289" s="166">
        <f t="shared" si="214"/>
        <v>0</v>
      </c>
      <c r="F289" s="166">
        <f t="shared" si="214"/>
        <v>0</v>
      </c>
      <c r="G289" s="166">
        <f t="shared" si="214"/>
        <v>0</v>
      </c>
      <c r="H289" s="166">
        <f t="shared" si="214"/>
        <v>0</v>
      </c>
      <c r="I289" s="166">
        <f t="shared" si="214"/>
        <v>0</v>
      </c>
      <c r="J289" s="166">
        <f t="shared" si="214"/>
        <v>0</v>
      </c>
      <c r="K289" s="166">
        <f t="shared" si="214"/>
        <v>0</v>
      </c>
      <c r="L289" s="166">
        <f t="shared" si="214"/>
        <v>0</v>
      </c>
      <c r="M289" s="166">
        <f t="shared" si="214"/>
        <v>0</v>
      </c>
      <c r="P289" s="74"/>
    </row>
    <row r="290" spans="1:16">
      <c r="A290" s="25"/>
      <c r="B290" s="16" t="s">
        <v>218</v>
      </c>
      <c r="C290" s="221" t="s">
        <v>87</v>
      </c>
      <c r="D290" s="166">
        <f t="shared" ref="D290:M290" si="215">D$20</f>
        <v>0</v>
      </c>
      <c r="E290" s="166">
        <f t="shared" si="215"/>
        <v>0</v>
      </c>
      <c r="F290" s="166">
        <f t="shared" si="215"/>
        <v>0</v>
      </c>
      <c r="G290" s="166">
        <f t="shared" si="215"/>
        <v>0</v>
      </c>
      <c r="H290" s="166">
        <f t="shared" si="215"/>
        <v>0</v>
      </c>
      <c r="I290" s="166">
        <f t="shared" si="215"/>
        <v>0</v>
      </c>
      <c r="J290" s="166">
        <f t="shared" si="215"/>
        <v>0</v>
      </c>
      <c r="K290" s="166">
        <f t="shared" si="215"/>
        <v>0</v>
      </c>
      <c r="L290" s="166">
        <f t="shared" si="215"/>
        <v>0</v>
      </c>
      <c r="M290" s="166">
        <f t="shared" si="215"/>
        <v>0</v>
      </c>
      <c r="P290" s="74"/>
    </row>
    <row r="291" spans="1:16">
      <c r="A291" s="25"/>
      <c r="B291" s="16" t="s">
        <v>220</v>
      </c>
      <c r="C291" s="221" t="s">
        <v>87</v>
      </c>
      <c r="D291" s="166">
        <f t="shared" ref="D291:M291" si="216">D$19</f>
        <v>0</v>
      </c>
      <c r="E291" s="166">
        <f t="shared" si="216"/>
        <v>0</v>
      </c>
      <c r="F291" s="166">
        <f t="shared" si="216"/>
        <v>0</v>
      </c>
      <c r="G291" s="166">
        <f t="shared" si="216"/>
        <v>0</v>
      </c>
      <c r="H291" s="166">
        <f t="shared" si="216"/>
        <v>0</v>
      </c>
      <c r="I291" s="166">
        <f t="shared" si="216"/>
        <v>0</v>
      </c>
      <c r="J291" s="166">
        <f t="shared" si="216"/>
        <v>0</v>
      </c>
      <c r="K291" s="166">
        <f t="shared" si="216"/>
        <v>0</v>
      </c>
      <c r="L291" s="166">
        <f t="shared" si="216"/>
        <v>0</v>
      </c>
      <c r="M291" s="166">
        <f t="shared" si="216"/>
        <v>0</v>
      </c>
      <c r="P291" s="74"/>
    </row>
    <row r="292" spans="1:16">
      <c r="A292" s="25"/>
      <c r="B292" s="16" t="s">
        <v>221</v>
      </c>
      <c r="C292" s="221"/>
      <c r="D292" s="166">
        <f t="shared" ref="D292:M292" si="217">D$44</f>
        <v>0</v>
      </c>
      <c r="E292" s="166">
        <f t="shared" si="217"/>
        <v>0</v>
      </c>
      <c r="F292" s="166">
        <f t="shared" si="217"/>
        <v>0</v>
      </c>
      <c r="G292" s="166">
        <f t="shared" si="217"/>
        <v>0</v>
      </c>
      <c r="H292" s="166">
        <f t="shared" si="217"/>
        <v>0</v>
      </c>
      <c r="I292" s="166">
        <f t="shared" si="217"/>
        <v>0</v>
      </c>
      <c r="J292" s="166">
        <f t="shared" si="217"/>
        <v>0</v>
      </c>
      <c r="K292" s="166">
        <f t="shared" si="217"/>
        <v>0</v>
      </c>
      <c r="L292" s="166">
        <f t="shared" si="217"/>
        <v>0</v>
      </c>
      <c r="M292" s="166">
        <f t="shared" si="217"/>
        <v>0</v>
      </c>
      <c r="P292" s="74"/>
    </row>
    <row r="293" spans="1:16">
      <c r="A293" s="25"/>
      <c r="B293" s="16" t="s">
        <v>91</v>
      </c>
      <c r="C293" s="221" t="s">
        <v>223</v>
      </c>
      <c r="D293" s="166">
        <f t="shared" ref="D293:M293" si="218">D$21</f>
        <v>0</v>
      </c>
      <c r="E293" s="166">
        <f t="shared" si="218"/>
        <v>0</v>
      </c>
      <c r="F293" s="166">
        <f t="shared" si="218"/>
        <v>0</v>
      </c>
      <c r="G293" s="166">
        <f t="shared" si="218"/>
        <v>0</v>
      </c>
      <c r="H293" s="166">
        <f t="shared" si="218"/>
        <v>0</v>
      </c>
      <c r="I293" s="166">
        <f t="shared" si="218"/>
        <v>0</v>
      </c>
      <c r="J293" s="166">
        <f t="shared" si="218"/>
        <v>0</v>
      </c>
      <c r="K293" s="166">
        <f t="shared" si="218"/>
        <v>0</v>
      </c>
      <c r="L293" s="166">
        <f t="shared" si="218"/>
        <v>0</v>
      </c>
      <c r="M293" s="166">
        <f t="shared" si="218"/>
        <v>0</v>
      </c>
      <c r="P293" s="74"/>
    </row>
    <row r="294" spans="1:16">
      <c r="A294" s="25"/>
      <c r="B294" s="16" t="s">
        <v>226</v>
      </c>
      <c r="C294" s="221" t="s">
        <v>94</v>
      </c>
      <c r="D294" s="166" t="e">
        <f t="shared" ref="D294:M294" si="219">($D288/1000)/(PI()*(D289/1000)^2/4)</f>
        <v>#DIV/0!</v>
      </c>
      <c r="E294" s="166" t="e">
        <f t="shared" si="219"/>
        <v>#DIV/0!</v>
      </c>
      <c r="F294" s="166" t="e">
        <f t="shared" si="219"/>
        <v>#DIV/0!</v>
      </c>
      <c r="G294" s="166" t="e">
        <f t="shared" si="219"/>
        <v>#DIV/0!</v>
      </c>
      <c r="H294" s="166" t="e">
        <f t="shared" si="219"/>
        <v>#DIV/0!</v>
      </c>
      <c r="I294" s="166" t="e">
        <f t="shared" si="219"/>
        <v>#DIV/0!</v>
      </c>
      <c r="J294" s="166" t="e">
        <f t="shared" si="219"/>
        <v>#DIV/0!</v>
      </c>
      <c r="K294" s="166" t="e">
        <f t="shared" si="219"/>
        <v>#DIV/0!</v>
      </c>
      <c r="L294" s="166" t="e">
        <f t="shared" si="219"/>
        <v>#DIV/0!</v>
      </c>
      <c r="M294" s="166" t="e">
        <f t="shared" si="219"/>
        <v>#DIV/0!</v>
      </c>
      <c r="P294" s="74"/>
    </row>
    <row r="295" spans="1:16" ht="14.25">
      <c r="A295" s="25"/>
      <c r="B295" s="16" t="s">
        <v>228</v>
      </c>
      <c r="C295" s="221" t="s">
        <v>229</v>
      </c>
      <c r="D295" s="165">
        <f t="shared" ref="D295:M295" si="220">IF(D$21="",0.000001,VLOOKUP(D293,$AQ$98:$AX$198,4,FALSE)/VLOOKUP(D293,$AQ$98:$AX$198,5,FALSE)/1000000)</f>
        <v>9.9999999999999995E-7</v>
      </c>
      <c r="E295" s="165">
        <f t="shared" si="220"/>
        <v>9.9999999999999995E-7</v>
      </c>
      <c r="F295" s="165">
        <f t="shared" si="220"/>
        <v>9.9999999999999995E-7</v>
      </c>
      <c r="G295" s="165">
        <f t="shared" si="220"/>
        <v>9.9999999999999995E-7</v>
      </c>
      <c r="H295" s="165">
        <f t="shared" si="220"/>
        <v>9.9999999999999995E-7</v>
      </c>
      <c r="I295" s="165">
        <f t="shared" si="220"/>
        <v>9.9999999999999995E-7</v>
      </c>
      <c r="J295" s="165">
        <f t="shared" si="220"/>
        <v>9.9999999999999995E-7</v>
      </c>
      <c r="K295" s="165">
        <f t="shared" si="220"/>
        <v>9.9999999999999995E-7</v>
      </c>
      <c r="L295" s="165">
        <f t="shared" si="220"/>
        <v>9.9999999999999995E-7</v>
      </c>
      <c r="M295" s="165">
        <f t="shared" si="220"/>
        <v>9.9999999999999995E-7</v>
      </c>
      <c r="P295" s="74"/>
    </row>
    <row r="296" spans="1:16" ht="14.25">
      <c r="A296" s="25"/>
      <c r="B296" s="16" t="s">
        <v>231</v>
      </c>
      <c r="C296" s="221" t="s">
        <v>232</v>
      </c>
      <c r="D296" s="166" t="str">
        <f t="shared" ref="D296:M296" si="221">IF($AK$89="Clean Water / Sewage","n/a",VLOOKUP($AK$89,$AI$104:$AM$109,$AM$94,FALSE)*(D$91^VLOOKUP($AK$89,$AI$104:$AM$109,5,FALSE))*EXP(1848/(273+D293)-1848/283))</f>
        <v>n/a</v>
      </c>
      <c r="E296" s="166" t="str">
        <f t="shared" si="221"/>
        <v>n/a</v>
      </c>
      <c r="F296" s="166" t="str">
        <f t="shared" si="221"/>
        <v>n/a</v>
      </c>
      <c r="G296" s="166" t="str">
        <f t="shared" si="221"/>
        <v>n/a</v>
      </c>
      <c r="H296" s="166" t="str">
        <f t="shared" si="221"/>
        <v>n/a</v>
      </c>
      <c r="I296" s="166" t="str">
        <f t="shared" si="221"/>
        <v>n/a</v>
      </c>
      <c r="J296" s="166" t="str">
        <f t="shared" si="221"/>
        <v>n/a</v>
      </c>
      <c r="K296" s="166" t="str">
        <f t="shared" si="221"/>
        <v>n/a</v>
      </c>
      <c r="L296" s="166" t="str">
        <f t="shared" si="221"/>
        <v>n/a</v>
      </c>
      <c r="M296" s="166" t="str">
        <f t="shared" si="221"/>
        <v>n/a</v>
      </c>
      <c r="P296" s="74"/>
    </row>
    <row r="297" spans="1:16">
      <c r="A297" s="25"/>
      <c r="B297" s="16" t="s">
        <v>234</v>
      </c>
      <c r="C297" s="221"/>
      <c r="D297" s="166" t="str">
        <f t="shared" ref="D297:M297" si="222">IF($AK$89="Clean Water / Sewage","n/a",VLOOKUP($AK$89,$AI$97:$AM$102,$AM$94,FALSE)*(D$91^VLOOKUP($AK$89,$AI$97:$AM$102,5,FALSE)))</f>
        <v>n/a</v>
      </c>
      <c r="E297" s="166" t="str">
        <f t="shared" si="222"/>
        <v>n/a</v>
      </c>
      <c r="F297" s="166" t="str">
        <f t="shared" si="222"/>
        <v>n/a</v>
      </c>
      <c r="G297" s="166" t="str">
        <f t="shared" si="222"/>
        <v>n/a</v>
      </c>
      <c r="H297" s="166" t="str">
        <f t="shared" si="222"/>
        <v>n/a</v>
      </c>
      <c r="I297" s="166" t="str">
        <f t="shared" si="222"/>
        <v>n/a</v>
      </c>
      <c r="J297" s="166" t="str">
        <f t="shared" si="222"/>
        <v>n/a</v>
      </c>
      <c r="K297" s="166" t="str">
        <f t="shared" si="222"/>
        <v>n/a</v>
      </c>
      <c r="L297" s="166" t="str">
        <f t="shared" si="222"/>
        <v>n/a</v>
      </c>
      <c r="M297" s="166" t="str">
        <f t="shared" si="222"/>
        <v>n/a</v>
      </c>
      <c r="P297" s="74"/>
    </row>
    <row r="298" spans="1:16" ht="14.25">
      <c r="A298" s="25"/>
      <c r="B298" s="16" t="s">
        <v>225</v>
      </c>
      <c r="C298" s="221" t="s">
        <v>232</v>
      </c>
      <c r="D298" s="166" t="str">
        <f t="shared" ref="D298:M298" si="223">IF($AK$89="Clean Water / Sewage","n/a",VLOOKUP($AK$89,$AI$111:$AM$116,$AM$94,FALSE)*(D$91^VLOOKUP($AK$89,$AI$111:$AM$116,5,FALSE))*EXP(1848/(273+D293)-1848/283))</f>
        <v>n/a</v>
      </c>
      <c r="E298" s="166" t="str">
        <f t="shared" si="223"/>
        <v>n/a</v>
      </c>
      <c r="F298" s="166" t="str">
        <f t="shared" si="223"/>
        <v>n/a</v>
      </c>
      <c r="G298" s="166" t="str">
        <f t="shared" si="223"/>
        <v>n/a</v>
      </c>
      <c r="H298" s="166" t="str">
        <f t="shared" si="223"/>
        <v>n/a</v>
      </c>
      <c r="I298" s="166" t="str">
        <f t="shared" si="223"/>
        <v>n/a</v>
      </c>
      <c r="J298" s="166" t="str">
        <f t="shared" si="223"/>
        <v>n/a</v>
      </c>
      <c r="K298" s="166" t="str">
        <f t="shared" si="223"/>
        <v>n/a</v>
      </c>
      <c r="L298" s="166" t="str">
        <f t="shared" si="223"/>
        <v>n/a</v>
      </c>
      <c r="M298" s="166" t="str">
        <f t="shared" si="223"/>
        <v>n/a</v>
      </c>
      <c r="P298" s="74"/>
    </row>
    <row r="299" spans="1:16">
      <c r="A299" s="25"/>
      <c r="B299" s="16" t="s">
        <v>236</v>
      </c>
      <c r="C299" s="221"/>
      <c r="D299" s="166" t="e">
        <f t="shared" ref="D299:M299" si="224">IF($AK89="Clean Water / Sewage",D294*D289/1000/D295,D$92*D294*D289/1000/D298)</f>
        <v>#DIV/0!</v>
      </c>
      <c r="E299" s="166" t="e">
        <f t="shared" si="224"/>
        <v>#DIV/0!</v>
      </c>
      <c r="F299" s="166" t="e">
        <f t="shared" si="224"/>
        <v>#DIV/0!</v>
      </c>
      <c r="G299" s="166" t="e">
        <f t="shared" si="224"/>
        <v>#DIV/0!</v>
      </c>
      <c r="H299" s="166" t="e">
        <f t="shared" si="224"/>
        <v>#DIV/0!</v>
      </c>
      <c r="I299" s="166" t="e">
        <f t="shared" si="224"/>
        <v>#DIV/0!</v>
      </c>
      <c r="J299" s="166" t="e">
        <f t="shared" si="224"/>
        <v>#DIV/0!</v>
      </c>
      <c r="K299" s="166" t="e">
        <f t="shared" si="224"/>
        <v>#DIV/0!</v>
      </c>
      <c r="L299" s="166" t="e">
        <f t="shared" si="224"/>
        <v>#DIV/0!</v>
      </c>
      <c r="M299" s="166" t="e">
        <f t="shared" si="224"/>
        <v>#DIV/0!</v>
      </c>
      <c r="P299" s="74"/>
    </row>
    <row r="300" spans="1:16">
      <c r="A300" s="25"/>
      <c r="B300" s="16" t="s">
        <v>238</v>
      </c>
      <c r="C300" s="221"/>
      <c r="D300" s="166" t="str">
        <f>IF(D296="n/a",D296,D$92*D294*D289/1000/D296*(8*D294/(D289/1000))^(1-D297))</f>
        <v>n/a</v>
      </c>
      <c r="E300" s="166" t="str">
        <f t="shared" ref="E300:M300" si="225">IF(E296="n/a",E296,E$92*E294*E289/1000/E296*(8*E294/(E289/1000))^(1-E297))</f>
        <v>n/a</v>
      </c>
      <c r="F300" s="166" t="str">
        <f t="shared" si="225"/>
        <v>n/a</v>
      </c>
      <c r="G300" s="166" t="str">
        <f t="shared" si="225"/>
        <v>n/a</v>
      </c>
      <c r="H300" s="166" t="str">
        <f t="shared" si="225"/>
        <v>n/a</v>
      </c>
      <c r="I300" s="166" t="str">
        <f t="shared" si="225"/>
        <v>n/a</v>
      </c>
      <c r="J300" s="166" t="str">
        <f t="shared" si="225"/>
        <v>n/a</v>
      </c>
      <c r="K300" s="166" t="str">
        <f t="shared" si="225"/>
        <v>n/a</v>
      </c>
      <c r="L300" s="166" t="str">
        <f t="shared" si="225"/>
        <v>n/a</v>
      </c>
      <c r="M300" s="166" t="str">
        <f t="shared" si="225"/>
        <v>n/a</v>
      </c>
      <c r="P300" s="74"/>
    </row>
    <row r="301" spans="1:16">
      <c r="A301" s="25"/>
      <c r="B301" s="16" t="s">
        <v>241</v>
      </c>
      <c r="C301" s="221"/>
      <c r="D301" s="166" t="e">
        <f t="shared" ref="D301:M301" si="226">0.25/(LOG(D290/1000/3.71/(D289/1000)+5.74/D299^0.9))^2/4</f>
        <v>#DIV/0!</v>
      </c>
      <c r="E301" s="166" t="e">
        <f t="shared" si="226"/>
        <v>#DIV/0!</v>
      </c>
      <c r="F301" s="166" t="e">
        <f t="shared" si="226"/>
        <v>#DIV/0!</v>
      </c>
      <c r="G301" s="166" t="e">
        <f t="shared" si="226"/>
        <v>#DIV/0!</v>
      </c>
      <c r="H301" s="166" t="e">
        <f t="shared" si="226"/>
        <v>#DIV/0!</v>
      </c>
      <c r="I301" s="166" t="e">
        <f t="shared" si="226"/>
        <v>#DIV/0!</v>
      </c>
      <c r="J301" s="166" t="e">
        <f t="shared" si="226"/>
        <v>#DIV/0!</v>
      </c>
      <c r="K301" s="166" t="e">
        <f t="shared" si="226"/>
        <v>#DIV/0!</v>
      </c>
      <c r="L301" s="166" t="e">
        <f t="shared" si="226"/>
        <v>#DIV/0!</v>
      </c>
      <c r="M301" s="166" t="e">
        <f t="shared" si="226"/>
        <v>#DIV/0!</v>
      </c>
      <c r="P301" s="74"/>
    </row>
    <row r="302" spans="1:16">
      <c r="A302" s="25"/>
      <c r="B302" s="16" t="s">
        <v>243</v>
      </c>
      <c r="C302" s="221"/>
      <c r="D302" s="166" t="str">
        <f t="shared" ref="D302:M302" si="227">IF($AK$89="Clean Water / Sewage","n/a",16/D300)</f>
        <v>n/a</v>
      </c>
      <c r="E302" s="166" t="str">
        <f t="shared" si="227"/>
        <v>n/a</v>
      </c>
      <c r="F302" s="166" t="str">
        <f t="shared" si="227"/>
        <v>n/a</v>
      </c>
      <c r="G302" s="166" t="str">
        <f t="shared" si="227"/>
        <v>n/a</v>
      </c>
      <c r="H302" s="166" t="str">
        <f t="shared" si="227"/>
        <v>n/a</v>
      </c>
      <c r="I302" s="166" t="str">
        <f t="shared" si="227"/>
        <v>n/a</v>
      </c>
      <c r="J302" s="166" t="str">
        <f t="shared" si="227"/>
        <v>n/a</v>
      </c>
      <c r="K302" s="166" t="str">
        <f t="shared" si="227"/>
        <v>n/a</v>
      </c>
      <c r="L302" s="166" t="str">
        <f t="shared" si="227"/>
        <v>n/a</v>
      </c>
      <c r="M302" s="166" t="str">
        <f t="shared" si="227"/>
        <v>n/a</v>
      </c>
      <c r="P302" s="74"/>
    </row>
    <row r="303" spans="1:16">
      <c r="A303" s="25"/>
      <c r="B303" s="16" t="s">
        <v>245</v>
      </c>
      <c r="C303" s="221"/>
      <c r="D303" s="166">
        <f t="shared" ref="D303:M303" si="228">IF(D289=0,0,IF($AK$89="Clean Water / Sewage",D301,IF(D300&lt;2300,D302,IF(D300&gt;4000,D301,IF(D302&gt;D301,D302,D301)))))</f>
        <v>0</v>
      </c>
      <c r="E303" s="166">
        <f t="shared" si="228"/>
        <v>0</v>
      </c>
      <c r="F303" s="166">
        <f t="shared" si="228"/>
        <v>0</v>
      </c>
      <c r="G303" s="166">
        <f t="shared" si="228"/>
        <v>0</v>
      </c>
      <c r="H303" s="166">
        <f t="shared" si="228"/>
        <v>0</v>
      </c>
      <c r="I303" s="166">
        <f t="shared" si="228"/>
        <v>0</v>
      </c>
      <c r="J303" s="166">
        <f t="shared" si="228"/>
        <v>0</v>
      </c>
      <c r="K303" s="166">
        <f t="shared" si="228"/>
        <v>0</v>
      </c>
      <c r="L303" s="166">
        <f t="shared" si="228"/>
        <v>0</v>
      </c>
      <c r="M303" s="166">
        <f t="shared" si="228"/>
        <v>0</v>
      </c>
      <c r="P303" s="74"/>
    </row>
    <row r="304" spans="1:16">
      <c r="A304" s="25"/>
      <c r="B304" s="16" t="s">
        <v>246</v>
      </c>
      <c r="C304" s="221"/>
      <c r="D304" s="166" t="str">
        <f t="shared" ref="D304:M304" si="229">IF($AK$89="Clean Water / Sewage","n/a",1+2000/D300)</f>
        <v>n/a</v>
      </c>
      <c r="E304" s="166" t="str">
        <f t="shared" si="229"/>
        <v>n/a</v>
      </c>
      <c r="F304" s="166" t="str">
        <f t="shared" si="229"/>
        <v>n/a</v>
      </c>
      <c r="G304" s="166" t="str">
        <f t="shared" si="229"/>
        <v>n/a</v>
      </c>
      <c r="H304" s="166" t="str">
        <f t="shared" si="229"/>
        <v>n/a</v>
      </c>
      <c r="I304" s="166" t="str">
        <f t="shared" si="229"/>
        <v>n/a</v>
      </c>
      <c r="J304" s="166" t="str">
        <f t="shared" si="229"/>
        <v>n/a</v>
      </c>
      <c r="K304" s="166" t="str">
        <f t="shared" si="229"/>
        <v>n/a</v>
      </c>
      <c r="L304" s="166" t="str">
        <f t="shared" si="229"/>
        <v>n/a</v>
      </c>
      <c r="M304" s="166" t="str">
        <f t="shared" si="229"/>
        <v>n/a</v>
      </c>
      <c r="P304" s="74"/>
    </row>
    <row r="305" spans="1:16">
      <c r="A305" s="25"/>
      <c r="B305" s="16" t="s">
        <v>248</v>
      </c>
      <c r="C305" s="221" t="s">
        <v>89</v>
      </c>
      <c r="D305" s="166">
        <f>IF(D289*D288=0,0,2*D303*D291/(D289/1000)*D294^2/9.81+IF($AK$89="Clean Water / Sewage",D292*D294^2/2/9.81,D304*D292*D294^2/2/9.81))</f>
        <v>0</v>
      </c>
      <c r="E305" s="166">
        <f t="shared" ref="E305:M305" si="230">IF(E289=0,0,2*E303*E291/(E289/1000)*E294^2/9.81+IF($AK$89="Clean Water / Sewage",E292*E294^2/2/9.81,E304*E292*E294^2/2/9.81))</f>
        <v>0</v>
      </c>
      <c r="F305" s="166">
        <f t="shared" si="230"/>
        <v>0</v>
      </c>
      <c r="G305" s="166">
        <f t="shared" si="230"/>
        <v>0</v>
      </c>
      <c r="H305" s="166">
        <f t="shared" si="230"/>
        <v>0</v>
      </c>
      <c r="I305" s="166">
        <f t="shared" si="230"/>
        <v>0</v>
      </c>
      <c r="J305" s="166">
        <f t="shared" si="230"/>
        <v>0</v>
      </c>
      <c r="K305" s="166">
        <f t="shared" si="230"/>
        <v>0</v>
      </c>
      <c r="L305" s="166">
        <f t="shared" si="230"/>
        <v>0</v>
      </c>
      <c r="M305" s="166">
        <f t="shared" si="230"/>
        <v>0</v>
      </c>
      <c r="P305" s="74"/>
    </row>
    <row r="306" spans="1:16">
      <c r="A306" s="25"/>
      <c r="B306" s="16" t="s">
        <v>248</v>
      </c>
      <c r="C306" s="221" t="s">
        <v>250</v>
      </c>
      <c r="D306" s="166">
        <f>D305*D$92*9.81/100000</f>
        <v>0</v>
      </c>
      <c r="E306" s="166">
        <f t="shared" ref="E306:M306" si="231">E305*E$92*9.81/100000</f>
        <v>0</v>
      </c>
      <c r="F306" s="166">
        <f t="shared" si="231"/>
        <v>0</v>
      </c>
      <c r="G306" s="166">
        <f t="shared" si="231"/>
        <v>0</v>
      </c>
      <c r="H306" s="166">
        <f t="shared" si="231"/>
        <v>0</v>
      </c>
      <c r="I306" s="166">
        <f t="shared" si="231"/>
        <v>0</v>
      </c>
      <c r="J306" s="166">
        <f t="shared" si="231"/>
        <v>0</v>
      </c>
      <c r="K306" s="166">
        <f t="shared" si="231"/>
        <v>0</v>
      </c>
      <c r="L306" s="166">
        <f t="shared" si="231"/>
        <v>0</v>
      </c>
      <c r="M306" s="166">
        <f t="shared" si="231"/>
        <v>0</v>
      </c>
      <c r="P306" s="74"/>
    </row>
    <row r="307" spans="1:16">
      <c r="A307" s="25"/>
      <c r="N307" s="12"/>
      <c r="P307" s="74"/>
    </row>
    <row r="308" spans="1:16">
      <c r="A308" s="25"/>
      <c r="B308" s="16" t="s">
        <v>215</v>
      </c>
      <c r="C308" s="221" t="s">
        <v>53</v>
      </c>
      <c r="D308" s="202">
        <f>O22</f>
        <v>0</v>
      </c>
      <c r="P308" s="74"/>
    </row>
    <row r="309" spans="1:16">
      <c r="A309" s="25"/>
      <c r="B309" s="16" t="s">
        <v>217</v>
      </c>
      <c r="C309" s="221" t="s">
        <v>87</v>
      </c>
      <c r="D309" s="166">
        <f t="shared" ref="D309:M309" si="232">D$18</f>
        <v>0</v>
      </c>
      <c r="E309" s="166">
        <f t="shared" si="232"/>
        <v>0</v>
      </c>
      <c r="F309" s="166">
        <f t="shared" si="232"/>
        <v>0</v>
      </c>
      <c r="G309" s="166">
        <f t="shared" si="232"/>
        <v>0</v>
      </c>
      <c r="H309" s="166">
        <f t="shared" si="232"/>
        <v>0</v>
      </c>
      <c r="I309" s="166">
        <f t="shared" si="232"/>
        <v>0</v>
      </c>
      <c r="J309" s="166">
        <f t="shared" si="232"/>
        <v>0</v>
      </c>
      <c r="K309" s="166">
        <f t="shared" si="232"/>
        <v>0</v>
      </c>
      <c r="L309" s="166">
        <f t="shared" si="232"/>
        <v>0</v>
      </c>
      <c r="M309" s="166">
        <f t="shared" si="232"/>
        <v>0</v>
      </c>
      <c r="P309" s="74"/>
    </row>
    <row r="310" spans="1:16">
      <c r="A310" s="25"/>
      <c r="B310" s="16" t="s">
        <v>218</v>
      </c>
      <c r="C310" s="221" t="s">
        <v>87</v>
      </c>
      <c r="D310" s="166">
        <f t="shared" ref="D310:M310" si="233">D$20</f>
        <v>0</v>
      </c>
      <c r="E310" s="166">
        <f t="shared" si="233"/>
        <v>0</v>
      </c>
      <c r="F310" s="166">
        <f t="shared" si="233"/>
        <v>0</v>
      </c>
      <c r="G310" s="166">
        <f t="shared" si="233"/>
        <v>0</v>
      </c>
      <c r="H310" s="166">
        <f t="shared" si="233"/>
        <v>0</v>
      </c>
      <c r="I310" s="166">
        <f t="shared" si="233"/>
        <v>0</v>
      </c>
      <c r="J310" s="166">
        <f t="shared" si="233"/>
        <v>0</v>
      </c>
      <c r="K310" s="166">
        <f t="shared" si="233"/>
        <v>0</v>
      </c>
      <c r="L310" s="166">
        <f t="shared" si="233"/>
        <v>0</v>
      </c>
      <c r="M310" s="166">
        <f t="shared" si="233"/>
        <v>0</v>
      </c>
      <c r="P310" s="74"/>
    </row>
    <row r="311" spans="1:16">
      <c r="A311" s="25"/>
      <c r="B311" s="16" t="s">
        <v>220</v>
      </c>
      <c r="C311" s="221" t="s">
        <v>87</v>
      </c>
      <c r="D311" s="166">
        <f t="shared" ref="D311:M311" si="234">D$19</f>
        <v>0</v>
      </c>
      <c r="E311" s="166">
        <f t="shared" si="234"/>
        <v>0</v>
      </c>
      <c r="F311" s="166">
        <f t="shared" si="234"/>
        <v>0</v>
      </c>
      <c r="G311" s="166">
        <f t="shared" si="234"/>
        <v>0</v>
      </c>
      <c r="H311" s="166">
        <f t="shared" si="234"/>
        <v>0</v>
      </c>
      <c r="I311" s="166">
        <f t="shared" si="234"/>
        <v>0</v>
      </c>
      <c r="J311" s="166">
        <f t="shared" si="234"/>
        <v>0</v>
      </c>
      <c r="K311" s="166">
        <f t="shared" si="234"/>
        <v>0</v>
      </c>
      <c r="L311" s="166">
        <f t="shared" si="234"/>
        <v>0</v>
      </c>
      <c r="M311" s="166">
        <f t="shared" si="234"/>
        <v>0</v>
      </c>
      <c r="P311" s="74"/>
    </row>
    <row r="312" spans="1:16">
      <c r="A312" s="25"/>
      <c r="B312" s="16" t="s">
        <v>221</v>
      </c>
      <c r="C312" s="221"/>
      <c r="D312" s="166">
        <f t="shared" ref="D312:M312" si="235">D$44</f>
        <v>0</v>
      </c>
      <c r="E312" s="166">
        <f t="shared" si="235"/>
        <v>0</v>
      </c>
      <c r="F312" s="166">
        <f t="shared" si="235"/>
        <v>0</v>
      </c>
      <c r="G312" s="166">
        <f t="shared" si="235"/>
        <v>0</v>
      </c>
      <c r="H312" s="166">
        <f t="shared" si="235"/>
        <v>0</v>
      </c>
      <c r="I312" s="166">
        <f t="shared" si="235"/>
        <v>0</v>
      </c>
      <c r="J312" s="166">
        <f t="shared" si="235"/>
        <v>0</v>
      </c>
      <c r="K312" s="166">
        <f t="shared" si="235"/>
        <v>0</v>
      </c>
      <c r="L312" s="166">
        <f t="shared" si="235"/>
        <v>0</v>
      </c>
      <c r="M312" s="166">
        <f t="shared" si="235"/>
        <v>0</v>
      </c>
      <c r="P312" s="74"/>
    </row>
    <row r="313" spans="1:16">
      <c r="A313" s="25"/>
      <c r="B313" s="16" t="s">
        <v>91</v>
      </c>
      <c r="C313" s="221" t="s">
        <v>223</v>
      </c>
      <c r="D313" s="166">
        <f t="shared" ref="D313:M313" si="236">D$21</f>
        <v>0</v>
      </c>
      <c r="E313" s="166">
        <f t="shared" si="236"/>
        <v>0</v>
      </c>
      <c r="F313" s="166">
        <f t="shared" si="236"/>
        <v>0</v>
      </c>
      <c r="G313" s="166">
        <f t="shared" si="236"/>
        <v>0</v>
      </c>
      <c r="H313" s="166">
        <f t="shared" si="236"/>
        <v>0</v>
      </c>
      <c r="I313" s="166">
        <f t="shared" si="236"/>
        <v>0</v>
      </c>
      <c r="J313" s="166">
        <f t="shared" si="236"/>
        <v>0</v>
      </c>
      <c r="K313" s="166">
        <f t="shared" si="236"/>
        <v>0</v>
      </c>
      <c r="L313" s="166">
        <f t="shared" si="236"/>
        <v>0</v>
      </c>
      <c r="M313" s="166">
        <f t="shared" si="236"/>
        <v>0</v>
      </c>
      <c r="P313" s="74"/>
    </row>
    <row r="314" spans="1:16">
      <c r="A314" s="25"/>
      <c r="B314" s="16" t="s">
        <v>226</v>
      </c>
      <c r="C314" s="221" t="s">
        <v>94</v>
      </c>
      <c r="D314" s="166" t="e">
        <f t="shared" ref="D314:M314" si="237">($D308/1000)/(PI()*(D309/1000)^2/4)</f>
        <v>#DIV/0!</v>
      </c>
      <c r="E314" s="166" t="e">
        <f t="shared" si="237"/>
        <v>#DIV/0!</v>
      </c>
      <c r="F314" s="166" t="e">
        <f t="shared" si="237"/>
        <v>#DIV/0!</v>
      </c>
      <c r="G314" s="166" t="e">
        <f t="shared" si="237"/>
        <v>#DIV/0!</v>
      </c>
      <c r="H314" s="166" t="e">
        <f t="shared" si="237"/>
        <v>#DIV/0!</v>
      </c>
      <c r="I314" s="166" t="e">
        <f t="shared" si="237"/>
        <v>#DIV/0!</v>
      </c>
      <c r="J314" s="166" t="e">
        <f t="shared" si="237"/>
        <v>#DIV/0!</v>
      </c>
      <c r="K314" s="166" t="e">
        <f t="shared" si="237"/>
        <v>#DIV/0!</v>
      </c>
      <c r="L314" s="166" t="e">
        <f t="shared" si="237"/>
        <v>#DIV/0!</v>
      </c>
      <c r="M314" s="166" t="e">
        <f t="shared" si="237"/>
        <v>#DIV/0!</v>
      </c>
      <c r="P314" s="74"/>
    </row>
    <row r="315" spans="1:16" ht="14.25">
      <c r="A315" s="25"/>
      <c r="B315" s="16" t="s">
        <v>228</v>
      </c>
      <c r="C315" s="221" t="s">
        <v>229</v>
      </c>
      <c r="D315" s="165">
        <f t="shared" ref="D315:M315" si="238">IF(D$21="",0.000001,VLOOKUP(D313,$AQ$98:$AX$198,4,FALSE)/VLOOKUP(D313,$AQ$98:$AX$198,5,FALSE)/1000000)</f>
        <v>9.9999999999999995E-7</v>
      </c>
      <c r="E315" s="165">
        <f t="shared" si="238"/>
        <v>9.9999999999999995E-7</v>
      </c>
      <c r="F315" s="165">
        <f t="shared" si="238"/>
        <v>9.9999999999999995E-7</v>
      </c>
      <c r="G315" s="165">
        <f t="shared" si="238"/>
        <v>9.9999999999999995E-7</v>
      </c>
      <c r="H315" s="165">
        <f t="shared" si="238"/>
        <v>9.9999999999999995E-7</v>
      </c>
      <c r="I315" s="165">
        <f t="shared" si="238"/>
        <v>9.9999999999999995E-7</v>
      </c>
      <c r="J315" s="165">
        <f t="shared" si="238"/>
        <v>9.9999999999999995E-7</v>
      </c>
      <c r="K315" s="165">
        <f t="shared" si="238"/>
        <v>9.9999999999999995E-7</v>
      </c>
      <c r="L315" s="165">
        <f t="shared" si="238"/>
        <v>9.9999999999999995E-7</v>
      </c>
      <c r="M315" s="165">
        <f t="shared" si="238"/>
        <v>9.9999999999999995E-7</v>
      </c>
      <c r="P315" s="74"/>
    </row>
    <row r="316" spans="1:16" ht="14.25">
      <c r="A316" s="25"/>
      <c r="B316" s="16" t="s">
        <v>231</v>
      </c>
      <c r="C316" s="221" t="s">
        <v>232</v>
      </c>
      <c r="D316" s="166" t="str">
        <f t="shared" ref="D316:M316" si="239">IF($AK$89="Clean Water / Sewage","n/a",VLOOKUP($AK$89,$AI$104:$AM$109,$AM$94,FALSE)*(D$91^VLOOKUP($AK$89,$AI$104:$AM$109,5,FALSE))*EXP(1848/(273+D313)-1848/283))</f>
        <v>n/a</v>
      </c>
      <c r="E316" s="166" t="str">
        <f t="shared" si="239"/>
        <v>n/a</v>
      </c>
      <c r="F316" s="166" t="str">
        <f t="shared" si="239"/>
        <v>n/a</v>
      </c>
      <c r="G316" s="166" t="str">
        <f t="shared" si="239"/>
        <v>n/a</v>
      </c>
      <c r="H316" s="166" t="str">
        <f t="shared" si="239"/>
        <v>n/a</v>
      </c>
      <c r="I316" s="166" t="str">
        <f t="shared" si="239"/>
        <v>n/a</v>
      </c>
      <c r="J316" s="166" t="str">
        <f t="shared" si="239"/>
        <v>n/a</v>
      </c>
      <c r="K316" s="166" t="str">
        <f t="shared" si="239"/>
        <v>n/a</v>
      </c>
      <c r="L316" s="166" t="str">
        <f t="shared" si="239"/>
        <v>n/a</v>
      </c>
      <c r="M316" s="166" t="str">
        <f t="shared" si="239"/>
        <v>n/a</v>
      </c>
      <c r="P316" s="74"/>
    </row>
    <row r="317" spans="1:16">
      <c r="A317" s="25"/>
      <c r="B317" s="16" t="s">
        <v>234</v>
      </c>
      <c r="C317" s="221"/>
      <c r="D317" s="166" t="str">
        <f t="shared" ref="D317:M317" si="240">IF($AK$89="Clean Water / Sewage","n/a",VLOOKUP($AK$89,$AI$97:$AM$102,$AM$94,FALSE)*(D$91^VLOOKUP($AK$89,$AI$97:$AM$102,5,FALSE)))</f>
        <v>n/a</v>
      </c>
      <c r="E317" s="166" t="str">
        <f t="shared" si="240"/>
        <v>n/a</v>
      </c>
      <c r="F317" s="166" t="str">
        <f t="shared" si="240"/>
        <v>n/a</v>
      </c>
      <c r="G317" s="166" t="str">
        <f t="shared" si="240"/>
        <v>n/a</v>
      </c>
      <c r="H317" s="166" t="str">
        <f t="shared" si="240"/>
        <v>n/a</v>
      </c>
      <c r="I317" s="166" t="str">
        <f t="shared" si="240"/>
        <v>n/a</v>
      </c>
      <c r="J317" s="166" t="str">
        <f t="shared" si="240"/>
        <v>n/a</v>
      </c>
      <c r="K317" s="166" t="str">
        <f t="shared" si="240"/>
        <v>n/a</v>
      </c>
      <c r="L317" s="166" t="str">
        <f t="shared" si="240"/>
        <v>n/a</v>
      </c>
      <c r="M317" s="166" t="str">
        <f t="shared" si="240"/>
        <v>n/a</v>
      </c>
      <c r="P317" s="74"/>
    </row>
    <row r="318" spans="1:16" ht="14.25">
      <c r="A318" s="25"/>
      <c r="B318" s="16" t="s">
        <v>225</v>
      </c>
      <c r="C318" s="221" t="s">
        <v>232</v>
      </c>
      <c r="D318" s="166" t="str">
        <f t="shared" ref="D318:M318" si="241">IF($AK$89="Clean Water / Sewage","n/a",VLOOKUP($AK$89,$AI$111:$AM$116,$AM$94,FALSE)*(D$91^VLOOKUP($AK$89,$AI$111:$AM$116,5,FALSE))*EXP(1848/(273+D313)-1848/283))</f>
        <v>n/a</v>
      </c>
      <c r="E318" s="166" t="str">
        <f t="shared" si="241"/>
        <v>n/a</v>
      </c>
      <c r="F318" s="166" t="str">
        <f t="shared" si="241"/>
        <v>n/a</v>
      </c>
      <c r="G318" s="166" t="str">
        <f t="shared" si="241"/>
        <v>n/a</v>
      </c>
      <c r="H318" s="166" t="str">
        <f t="shared" si="241"/>
        <v>n/a</v>
      </c>
      <c r="I318" s="166" t="str">
        <f t="shared" si="241"/>
        <v>n/a</v>
      </c>
      <c r="J318" s="166" t="str">
        <f t="shared" si="241"/>
        <v>n/a</v>
      </c>
      <c r="K318" s="166" t="str">
        <f t="shared" si="241"/>
        <v>n/a</v>
      </c>
      <c r="L318" s="166" t="str">
        <f t="shared" si="241"/>
        <v>n/a</v>
      </c>
      <c r="M318" s="166" t="str">
        <f t="shared" si="241"/>
        <v>n/a</v>
      </c>
      <c r="P318" s="74"/>
    </row>
    <row r="319" spans="1:16">
      <c r="A319" s="25"/>
      <c r="B319" s="16" t="s">
        <v>236</v>
      </c>
      <c r="C319" s="221"/>
      <c r="D319" s="166" t="e">
        <f t="shared" ref="D319:M319" si="242">IF($AK89="Clean Water / Sewage",D314*D309/1000/D315,D$92*D314*D309/1000/D318)</f>
        <v>#DIV/0!</v>
      </c>
      <c r="E319" s="166" t="e">
        <f t="shared" si="242"/>
        <v>#DIV/0!</v>
      </c>
      <c r="F319" s="166" t="e">
        <f t="shared" si="242"/>
        <v>#DIV/0!</v>
      </c>
      <c r="G319" s="166" t="e">
        <f t="shared" si="242"/>
        <v>#DIV/0!</v>
      </c>
      <c r="H319" s="166" t="e">
        <f t="shared" si="242"/>
        <v>#DIV/0!</v>
      </c>
      <c r="I319" s="166" t="e">
        <f t="shared" si="242"/>
        <v>#DIV/0!</v>
      </c>
      <c r="J319" s="166" t="e">
        <f t="shared" si="242"/>
        <v>#DIV/0!</v>
      </c>
      <c r="K319" s="166" t="e">
        <f t="shared" si="242"/>
        <v>#DIV/0!</v>
      </c>
      <c r="L319" s="166" t="e">
        <f t="shared" si="242"/>
        <v>#DIV/0!</v>
      </c>
      <c r="M319" s="166" t="e">
        <f t="shared" si="242"/>
        <v>#DIV/0!</v>
      </c>
      <c r="P319" s="74"/>
    </row>
    <row r="320" spans="1:16">
      <c r="A320" s="25"/>
      <c r="B320" s="16" t="s">
        <v>238</v>
      </c>
      <c r="C320" s="221"/>
      <c r="D320" s="166" t="str">
        <f>IF(D316="n/a",D316,D$92*D314*D309/1000/D316*(8*D314/(D309/1000))^(1-D317))</f>
        <v>n/a</v>
      </c>
      <c r="E320" s="166" t="str">
        <f t="shared" ref="E320:M320" si="243">IF(E316="n/a",E316,E$92*E314*E309/1000/E316*(8*E314/(E309/1000))^(1-E317))</f>
        <v>n/a</v>
      </c>
      <c r="F320" s="166" t="str">
        <f t="shared" si="243"/>
        <v>n/a</v>
      </c>
      <c r="G320" s="166" t="str">
        <f t="shared" si="243"/>
        <v>n/a</v>
      </c>
      <c r="H320" s="166" t="str">
        <f t="shared" si="243"/>
        <v>n/a</v>
      </c>
      <c r="I320" s="166" t="str">
        <f t="shared" si="243"/>
        <v>n/a</v>
      </c>
      <c r="J320" s="166" t="str">
        <f t="shared" si="243"/>
        <v>n/a</v>
      </c>
      <c r="K320" s="166" t="str">
        <f t="shared" si="243"/>
        <v>n/a</v>
      </c>
      <c r="L320" s="166" t="str">
        <f t="shared" si="243"/>
        <v>n/a</v>
      </c>
      <c r="M320" s="166" t="str">
        <f t="shared" si="243"/>
        <v>n/a</v>
      </c>
      <c r="P320" s="74"/>
    </row>
    <row r="321" spans="1:16">
      <c r="A321" s="25"/>
      <c r="B321" s="16" t="s">
        <v>241</v>
      </c>
      <c r="C321" s="221"/>
      <c r="D321" s="166" t="e">
        <f t="shared" ref="D321:M321" si="244">0.25/(LOG(D310/1000/3.71/(D309/1000)+5.74/D319^0.9))^2/4</f>
        <v>#DIV/0!</v>
      </c>
      <c r="E321" s="166" t="e">
        <f t="shared" si="244"/>
        <v>#DIV/0!</v>
      </c>
      <c r="F321" s="166" t="e">
        <f t="shared" si="244"/>
        <v>#DIV/0!</v>
      </c>
      <c r="G321" s="166" t="e">
        <f t="shared" si="244"/>
        <v>#DIV/0!</v>
      </c>
      <c r="H321" s="166" t="e">
        <f t="shared" si="244"/>
        <v>#DIV/0!</v>
      </c>
      <c r="I321" s="166" t="e">
        <f t="shared" si="244"/>
        <v>#DIV/0!</v>
      </c>
      <c r="J321" s="166" t="e">
        <f t="shared" si="244"/>
        <v>#DIV/0!</v>
      </c>
      <c r="K321" s="166" t="e">
        <f t="shared" si="244"/>
        <v>#DIV/0!</v>
      </c>
      <c r="L321" s="166" t="e">
        <f t="shared" si="244"/>
        <v>#DIV/0!</v>
      </c>
      <c r="M321" s="166" t="e">
        <f t="shared" si="244"/>
        <v>#DIV/0!</v>
      </c>
      <c r="P321" s="74"/>
    </row>
    <row r="322" spans="1:16">
      <c r="A322" s="25"/>
      <c r="B322" s="16" t="s">
        <v>243</v>
      </c>
      <c r="C322" s="221"/>
      <c r="D322" s="166" t="str">
        <f t="shared" ref="D322:M322" si="245">IF($AK$89="Clean Water / Sewage","n/a",16/D320)</f>
        <v>n/a</v>
      </c>
      <c r="E322" s="166" t="str">
        <f t="shared" si="245"/>
        <v>n/a</v>
      </c>
      <c r="F322" s="166" t="str">
        <f t="shared" si="245"/>
        <v>n/a</v>
      </c>
      <c r="G322" s="166" t="str">
        <f t="shared" si="245"/>
        <v>n/a</v>
      </c>
      <c r="H322" s="166" t="str">
        <f t="shared" si="245"/>
        <v>n/a</v>
      </c>
      <c r="I322" s="166" t="str">
        <f t="shared" si="245"/>
        <v>n/a</v>
      </c>
      <c r="J322" s="166" t="str">
        <f t="shared" si="245"/>
        <v>n/a</v>
      </c>
      <c r="K322" s="166" t="str">
        <f t="shared" si="245"/>
        <v>n/a</v>
      </c>
      <c r="L322" s="166" t="str">
        <f t="shared" si="245"/>
        <v>n/a</v>
      </c>
      <c r="M322" s="166" t="str">
        <f t="shared" si="245"/>
        <v>n/a</v>
      </c>
      <c r="P322" s="74"/>
    </row>
    <row r="323" spans="1:16">
      <c r="A323" s="25"/>
      <c r="B323" s="16" t="s">
        <v>245</v>
      </c>
      <c r="C323" s="221"/>
      <c r="D323" s="166">
        <f t="shared" ref="D323:M323" si="246">IF(D309=0,0,IF($AK$89="Clean Water / Sewage",D321,IF(D320&lt;2300,D322,IF(D320&gt;4000,D321,IF(D322&gt;D321,D322,D321)))))</f>
        <v>0</v>
      </c>
      <c r="E323" s="166">
        <f t="shared" si="246"/>
        <v>0</v>
      </c>
      <c r="F323" s="166">
        <f t="shared" si="246"/>
        <v>0</v>
      </c>
      <c r="G323" s="166">
        <f t="shared" si="246"/>
        <v>0</v>
      </c>
      <c r="H323" s="166">
        <f t="shared" si="246"/>
        <v>0</v>
      </c>
      <c r="I323" s="166">
        <f t="shared" si="246"/>
        <v>0</v>
      </c>
      <c r="J323" s="166">
        <f t="shared" si="246"/>
        <v>0</v>
      </c>
      <c r="K323" s="166">
        <f t="shared" si="246"/>
        <v>0</v>
      </c>
      <c r="L323" s="166">
        <f t="shared" si="246"/>
        <v>0</v>
      </c>
      <c r="M323" s="166">
        <f t="shared" si="246"/>
        <v>0</v>
      </c>
      <c r="P323" s="74"/>
    </row>
    <row r="324" spans="1:16">
      <c r="A324" s="25"/>
      <c r="B324" s="16" t="s">
        <v>246</v>
      </c>
      <c r="C324" s="221"/>
      <c r="D324" s="166" t="str">
        <f t="shared" ref="D324:M324" si="247">IF($AK$89="Clean Water / Sewage","n/a",1+2000/D320)</f>
        <v>n/a</v>
      </c>
      <c r="E324" s="166" t="str">
        <f t="shared" si="247"/>
        <v>n/a</v>
      </c>
      <c r="F324" s="166" t="str">
        <f t="shared" si="247"/>
        <v>n/a</v>
      </c>
      <c r="G324" s="166" t="str">
        <f t="shared" si="247"/>
        <v>n/a</v>
      </c>
      <c r="H324" s="166" t="str">
        <f t="shared" si="247"/>
        <v>n/a</v>
      </c>
      <c r="I324" s="166" t="str">
        <f t="shared" si="247"/>
        <v>n/a</v>
      </c>
      <c r="J324" s="166" t="str">
        <f t="shared" si="247"/>
        <v>n/a</v>
      </c>
      <c r="K324" s="166" t="str">
        <f t="shared" si="247"/>
        <v>n/a</v>
      </c>
      <c r="L324" s="166" t="str">
        <f t="shared" si="247"/>
        <v>n/a</v>
      </c>
      <c r="M324" s="166" t="str">
        <f t="shared" si="247"/>
        <v>n/a</v>
      </c>
      <c r="P324" s="74"/>
    </row>
    <row r="325" spans="1:16">
      <c r="A325" s="25"/>
      <c r="B325" s="16" t="s">
        <v>248</v>
      </c>
      <c r="C325" s="221" t="s">
        <v>89</v>
      </c>
      <c r="D325" s="166">
        <f>IF(D309*D308=0,0,2*D323*D311/(D309/1000)*D314^2/9.81+IF($AK$89="Clean Water / Sewage",D312*D314^2/2/9.81,D324*D312*D314^2/2/9.81))</f>
        <v>0</v>
      </c>
      <c r="E325" s="166">
        <f t="shared" ref="E325:M325" si="248">IF(E309=0,0,2*E323*E311/(E309/1000)*E314^2/9.81+IF($AK$89="Clean Water / Sewage",E312*E314^2/2/9.81,E324*E312*E314^2/2/9.81))</f>
        <v>0</v>
      </c>
      <c r="F325" s="166">
        <f t="shared" si="248"/>
        <v>0</v>
      </c>
      <c r="G325" s="166">
        <f t="shared" si="248"/>
        <v>0</v>
      </c>
      <c r="H325" s="166">
        <f t="shared" si="248"/>
        <v>0</v>
      </c>
      <c r="I325" s="166">
        <f t="shared" si="248"/>
        <v>0</v>
      </c>
      <c r="J325" s="166">
        <f t="shared" si="248"/>
        <v>0</v>
      </c>
      <c r="K325" s="166">
        <f t="shared" si="248"/>
        <v>0</v>
      </c>
      <c r="L325" s="166">
        <f t="shared" si="248"/>
        <v>0</v>
      </c>
      <c r="M325" s="166">
        <f t="shared" si="248"/>
        <v>0</v>
      </c>
      <c r="P325" s="74"/>
    </row>
    <row r="326" spans="1:16">
      <c r="A326" s="25"/>
      <c r="B326" s="16" t="s">
        <v>248</v>
      </c>
      <c r="C326" s="221" t="s">
        <v>250</v>
      </c>
      <c r="D326" s="166">
        <f>D325*D$92*9.81/100000</f>
        <v>0</v>
      </c>
      <c r="E326" s="166">
        <f t="shared" ref="E326:M326" si="249">E325*E$92*9.81/100000</f>
        <v>0</v>
      </c>
      <c r="F326" s="166">
        <f t="shared" si="249"/>
        <v>0</v>
      </c>
      <c r="G326" s="166">
        <f t="shared" si="249"/>
        <v>0</v>
      </c>
      <c r="H326" s="166">
        <f t="shared" si="249"/>
        <v>0</v>
      </c>
      <c r="I326" s="166">
        <f t="shared" si="249"/>
        <v>0</v>
      </c>
      <c r="J326" s="166">
        <f t="shared" si="249"/>
        <v>0</v>
      </c>
      <c r="K326" s="166">
        <f t="shared" si="249"/>
        <v>0</v>
      </c>
      <c r="L326" s="166">
        <f t="shared" si="249"/>
        <v>0</v>
      </c>
      <c r="M326" s="166">
        <f t="shared" si="249"/>
        <v>0</v>
      </c>
      <c r="N326" s="12"/>
      <c r="P326" s="74"/>
    </row>
    <row r="327" spans="1:16">
      <c r="A327" s="25"/>
      <c r="P327" s="74"/>
    </row>
    <row r="328" spans="1:16">
      <c r="A328" s="25"/>
      <c r="B328" s="16" t="s">
        <v>215</v>
      </c>
      <c r="C328" s="221" t="s">
        <v>53</v>
      </c>
      <c r="D328" s="202">
        <f>O23</f>
        <v>0</v>
      </c>
      <c r="P328" s="74"/>
    </row>
    <row r="329" spans="1:16">
      <c r="A329" s="25"/>
      <c r="B329" s="16" t="s">
        <v>217</v>
      </c>
      <c r="C329" s="221" t="s">
        <v>87</v>
      </c>
      <c r="D329" s="166">
        <f t="shared" ref="D329:M329" si="250">D$18</f>
        <v>0</v>
      </c>
      <c r="E329" s="166">
        <f t="shared" si="250"/>
        <v>0</v>
      </c>
      <c r="F329" s="166">
        <f t="shared" si="250"/>
        <v>0</v>
      </c>
      <c r="G329" s="166">
        <f t="shared" si="250"/>
        <v>0</v>
      </c>
      <c r="H329" s="166">
        <f t="shared" si="250"/>
        <v>0</v>
      </c>
      <c r="I329" s="166">
        <f t="shared" si="250"/>
        <v>0</v>
      </c>
      <c r="J329" s="166">
        <f t="shared" si="250"/>
        <v>0</v>
      </c>
      <c r="K329" s="166">
        <f t="shared" si="250"/>
        <v>0</v>
      </c>
      <c r="L329" s="166">
        <f t="shared" si="250"/>
        <v>0</v>
      </c>
      <c r="M329" s="166">
        <f t="shared" si="250"/>
        <v>0</v>
      </c>
      <c r="P329" s="74"/>
    </row>
    <row r="330" spans="1:16">
      <c r="A330" s="25"/>
      <c r="B330" s="16" t="s">
        <v>218</v>
      </c>
      <c r="C330" s="221" t="s">
        <v>87</v>
      </c>
      <c r="D330" s="166">
        <f t="shared" ref="D330:M330" si="251">D$20</f>
        <v>0</v>
      </c>
      <c r="E330" s="166">
        <f t="shared" si="251"/>
        <v>0</v>
      </c>
      <c r="F330" s="166">
        <f t="shared" si="251"/>
        <v>0</v>
      </c>
      <c r="G330" s="166">
        <f t="shared" si="251"/>
        <v>0</v>
      </c>
      <c r="H330" s="166">
        <f t="shared" si="251"/>
        <v>0</v>
      </c>
      <c r="I330" s="166">
        <f t="shared" si="251"/>
        <v>0</v>
      </c>
      <c r="J330" s="166">
        <f t="shared" si="251"/>
        <v>0</v>
      </c>
      <c r="K330" s="166">
        <f t="shared" si="251"/>
        <v>0</v>
      </c>
      <c r="L330" s="166">
        <f t="shared" si="251"/>
        <v>0</v>
      </c>
      <c r="M330" s="166">
        <f t="shared" si="251"/>
        <v>0</v>
      </c>
      <c r="P330" s="74"/>
    </row>
    <row r="331" spans="1:16">
      <c r="A331" s="25"/>
      <c r="B331" s="16" t="s">
        <v>220</v>
      </c>
      <c r="C331" s="221" t="s">
        <v>87</v>
      </c>
      <c r="D331" s="166">
        <f t="shared" ref="D331:M331" si="252">D$19</f>
        <v>0</v>
      </c>
      <c r="E331" s="166">
        <f t="shared" si="252"/>
        <v>0</v>
      </c>
      <c r="F331" s="166">
        <f t="shared" si="252"/>
        <v>0</v>
      </c>
      <c r="G331" s="166">
        <f t="shared" si="252"/>
        <v>0</v>
      </c>
      <c r="H331" s="166">
        <f t="shared" si="252"/>
        <v>0</v>
      </c>
      <c r="I331" s="166">
        <f t="shared" si="252"/>
        <v>0</v>
      </c>
      <c r="J331" s="166">
        <f t="shared" si="252"/>
        <v>0</v>
      </c>
      <c r="K331" s="166">
        <f t="shared" si="252"/>
        <v>0</v>
      </c>
      <c r="L331" s="166">
        <f t="shared" si="252"/>
        <v>0</v>
      </c>
      <c r="M331" s="166">
        <f t="shared" si="252"/>
        <v>0</v>
      </c>
      <c r="P331" s="74"/>
    </row>
    <row r="332" spans="1:16">
      <c r="A332" s="25"/>
      <c r="B332" s="16" t="s">
        <v>221</v>
      </c>
      <c r="C332" s="221"/>
      <c r="D332" s="166">
        <f t="shared" ref="D332:M332" si="253">D$44</f>
        <v>0</v>
      </c>
      <c r="E332" s="166">
        <f t="shared" si="253"/>
        <v>0</v>
      </c>
      <c r="F332" s="166">
        <f t="shared" si="253"/>
        <v>0</v>
      </c>
      <c r="G332" s="166">
        <f t="shared" si="253"/>
        <v>0</v>
      </c>
      <c r="H332" s="166">
        <f t="shared" si="253"/>
        <v>0</v>
      </c>
      <c r="I332" s="166">
        <f t="shared" si="253"/>
        <v>0</v>
      </c>
      <c r="J332" s="166">
        <f t="shared" si="253"/>
        <v>0</v>
      </c>
      <c r="K332" s="166">
        <f t="shared" si="253"/>
        <v>0</v>
      </c>
      <c r="L332" s="166">
        <f t="shared" si="253"/>
        <v>0</v>
      </c>
      <c r="M332" s="166">
        <f t="shared" si="253"/>
        <v>0</v>
      </c>
      <c r="P332" s="74"/>
    </row>
    <row r="333" spans="1:16">
      <c r="A333" s="25"/>
      <c r="B333" s="16" t="s">
        <v>91</v>
      </c>
      <c r="C333" s="221" t="s">
        <v>223</v>
      </c>
      <c r="D333" s="166">
        <f t="shared" ref="D333:M333" si="254">D$21</f>
        <v>0</v>
      </c>
      <c r="E333" s="166">
        <f t="shared" si="254"/>
        <v>0</v>
      </c>
      <c r="F333" s="166">
        <f t="shared" si="254"/>
        <v>0</v>
      </c>
      <c r="G333" s="166">
        <f t="shared" si="254"/>
        <v>0</v>
      </c>
      <c r="H333" s="166">
        <f t="shared" si="254"/>
        <v>0</v>
      </c>
      <c r="I333" s="166">
        <f t="shared" si="254"/>
        <v>0</v>
      </c>
      <c r="J333" s="166">
        <f t="shared" si="254"/>
        <v>0</v>
      </c>
      <c r="K333" s="166">
        <f t="shared" si="254"/>
        <v>0</v>
      </c>
      <c r="L333" s="166">
        <f t="shared" si="254"/>
        <v>0</v>
      </c>
      <c r="M333" s="166">
        <f t="shared" si="254"/>
        <v>0</v>
      </c>
      <c r="P333" s="74"/>
    </row>
    <row r="334" spans="1:16">
      <c r="A334" s="25"/>
      <c r="B334" s="16" t="s">
        <v>226</v>
      </c>
      <c r="C334" s="221" t="s">
        <v>94</v>
      </c>
      <c r="D334" s="166" t="e">
        <f t="shared" ref="D334:M334" si="255">($D328/1000)/(PI()*(D329/1000)^2/4)</f>
        <v>#DIV/0!</v>
      </c>
      <c r="E334" s="166" t="e">
        <f t="shared" si="255"/>
        <v>#DIV/0!</v>
      </c>
      <c r="F334" s="166" t="e">
        <f t="shared" si="255"/>
        <v>#DIV/0!</v>
      </c>
      <c r="G334" s="166" t="e">
        <f t="shared" si="255"/>
        <v>#DIV/0!</v>
      </c>
      <c r="H334" s="166" t="e">
        <f t="shared" si="255"/>
        <v>#DIV/0!</v>
      </c>
      <c r="I334" s="166" t="e">
        <f t="shared" si="255"/>
        <v>#DIV/0!</v>
      </c>
      <c r="J334" s="166" t="e">
        <f t="shared" si="255"/>
        <v>#DIV/0!</v>
      </c>
      <c r="K334" s="166" t="e">
        <f t="shared" si="255"/>
        <v>#DIV/0!</v>
      </c>
      <c r="L334" s="166" t="e">
        <f t="shared" si="255"/>
        <v>#DIV/0!</v>
      </c>
      <c r="M334" s="166" t="e">
        <f t="shared" si="255"/>
        <v>#DIV/0!</v>
      </c>
      <c r="P334" s="74"/>
    </row>
    <row r="335" spans="1:16" ht="14.25">
      <c r="A335" s="25"/>
      <c r="B335" s="16" t="s">
        <v>228</v>
      </c>
      <c r="C335" s="221" t="s">
        <v>229</v>
      </c>
      <c r="D335" s="165">
        <f t="shared" ref="D335:M335" si="256">IF(D$21="",0.000001,VLOOKUP(D333,$AQ$98:$AX$198,4,FALSE)/VLOOKUP(D333,$AQ$98:$AX$198,5,FALSE)/1000000)</f>
        <v>9.9999999999999995E-7</v>
      </c>
      <c r="E335" s="165">
        <f t="shared" si="256"/>
        <v>9.9999999999999995E-7</v>
      </c>
      <c r="F335" s="165">
        <f t="shared" si="256"/>
        <v>9.9999999999999995E-7</v>
      </c>
      <c r="G335" s="165">
        <f t="shared" si="256"/>
        <v>9.9999999999999995E-7</v>
      </c>
      <c r="H335" s="165">
        <f t="shared" si="256"/>
        <v>9.9999999999999995E-7</v>
      </c>
      <c r="I335" s="165">
        <f t="shared" si="256"/>
        <v>9.9999999999999995E-7</v>
      </c>
      <c r="J335" s="165">
        <f t="shared" si="256"/>
        <v>9.9999999999999995E-7</v>
      </c>
      <c r="K335" s="165">
        <f t="shared" si="256"/>
        <v>9.9999999999999995E-7</v>
      </c>
      <c r="L335" s="165">
        <f t="shared" si="256"/>
        <v>9.9999999999999995E-7</v>
      </c>
      <c r="M335" s="165">
        <f t="shared" si="256"/>
        <v>9.9999999999999995E-7</v>
      </c>
      <c r="P335" s="74"/>
    </row>
    <row r="336" spans="1:16" ht="14.25">
      <c r="A336" s="25"/>
      <c r="B336" s="16" t="s">
        <v>231</v>
      </c>
      <c r="C336" s="221" t="s">
        <v>232</v>
      </c>
      <c r="D336" s="166" t="str">
        <f t="shared" ref="D336:M336" si="257">IF($AK$89="Clean Water / Sewage","n/a",VLOOKUP($AK$89,$AI$104:$AM$109,$AM$94,FALSE)*(D$91^VLOOKUP($AK$89,$AI$104:$AM$109,5,FALSE))*EXP(1848/(273+D333)-1848/283))</f>
        <v>n/a</v>
      </c>
      <c r="E336" s="166" t="str">
        <f t="shared" si="257"/>
        <v>n/a</v>
      </c>
      <c r="F336" s="166" t="str">
        <f t="shared" si="257"/>
        <v>n/a</v>
      </c>
      <c r="G336" s="166" t="str">
        <f t="shared" si="257"/>
        <v>n/a</v>
      </c>
      <c r="H336" s="166" t="str">
        <f t="shared" si="257"/>
        <v>n/a</v>
      </c>
      <c r="I336" s="166" t="str">
        <f t="shared" si="257"/>
        <v>n/a</v>
      </c>
      <c r="J336" s="166" t="str">
        <f t="shared" si="257"/>
        <v>n/a</v>
      </c>
      <c r="K336" s="166" t="str">
        <f t="shared" si="257"/>
        <v>n/a</v>
      </c>
      <c r="L336" s="166" t="str">
        <f t="shared" si="257"/>
        <v>n/a</v>
      </c>
      <c r="M336" s="166" t="str">
        <f t="shared" si="257"/>
        <v>n/a</v>
      </c>
      <c r="P336" s="74"/>
    </row>
    <row r="337" spans="1:16">
      <c r="A337" s="25"/>
      <c r="B337" s="16" t="s">
        <v>234</v>
      </c>
      <c r="C337" s="221"/>
      <c r="D337" s="166" t="str">
        <f t="shared" ref="D337:M337" si="258">IF($AK$89="Clean Water / Sewage","n/a",VLOOKUP($AK$89,$AI$97:$AM$102,$AM$94,FALSE)*(D$91^VLOOKUP($AK$89,$AI$97:$AM$102,5,FALSE)))</f>
        <v>n/a</v>
      </c>
      <c r="E337" s="166" t="str">
        <f t="shared" si="258"/>
        <v>n/a</v>
      </c>
      <c r="F337" s="166" t="str">
        <f t="shared" si="258"/>
        <v>n/a</v>
      </c>
      <c r="G337" s="166" t="str">
        <f t="shared" si="258"/>
        <v>n/a</v>
      </c>
      <c r="H337" s="166" t="str">
        <f t="shared" si="258"/>
        <v>n/a</v>
      </c>
      <c r="I337" s="166" t="str">
        <f t="shared" si="258"/>
        <v>n/a</v>
      </c>
      <c r="J337" s="166" t="str">
        <f t="shared" si="258"/>
        <v>n/a</v>
      </c>
      <c r="K337" s="166" t="str">
        <f t="shared" si="258"/>
        <v>n/a</v>
      </c>
      <c r="L337" s="166" t="str">
        <f t="shared" si="258"/>
        <v>n/a</v>
      </c>
      <c r="M337" s="166" t="str">
        <f t="shared" si="258"/>
        <v>n/a</v>
      </c>
      <c r="P337" s="74"/>
    </row>
    <row r="338" spans="1:16" ht="14.25">
      <c r="A338" s="25"/>
      <c r="B338" s="16" t="s">
        <v>225</v>
      </c>
      <c r="C338" s="221" t="s">
        <v>232</v>
      </c>
      <c r="D338" s="166" t="str">
        <f t="shared" ref="D338:M338" si="259">IF($AK$89="Clean Water / Sewage","n/a",VLOOKUP($AK$89,$AI$111:$AM$116,$AM$94,FALSE)*(D$91^VLOOKUP($AK$89,$AI$111:$AM$116,5,FALSE))*EXP(1848/(273+D333)-1848/283))</f>
        <v>n/a</v>
      </c>
      <c r="E338" s="166" t="str">
        <f t="shared" si="259"/>
        <v>n/a</v>
      </c>
      <c r="F338" s="166" t="str">
        <f t="shared" si="259"/>
        <v>n/a</v>
      </c>
      <c r="G338" s="166" t="str">
        <f t="shared" si="259"/>
        <v>n/a</v>
      </c>
      <c r="H338" s="166" t="str">
        <f t="shared" si="259"/>
        <v>n/a</v>
      </c>
      <c r="I338" s="166" t="str">
        <f t="shared" si="259"/>
        <v>n/a</v>
      </c>
      <c r="J338" s="166" t="str">
        <f t="shared" si="259"/>
        <v>n/a</v>
      </c>
      <c r="K338" s="166" t="str">
        <f t="shared" si="259"/>
        <v>n/a</v>
      </c>
      <c r="L338" s="166" t="str">
        <f t="shared" si="259"/>
        <v>n/a</v>
      </c>
      <c r="M338" s="166" t="str">
        <f t="shared" si="259"/>
        <v>n/a</v>
      </c>
      <c r="P338" s="74"/>
    </row>
    <row r="339" spans="1:16">
      <c r="A339" s="25"/>
      <c r="B339" s="16" t="s">
        <v>236</v>
      </c>
      <c r="C339" s="221"/>
      <c r="D339" s="166" t="e">
        <f t="shared" ref="D339:M339" si="260">IF($AK89="Clean Water / Sewage",D334*D329/1000/D335,D$92*D334*D329/1000/D338)</f>
        <v>#DIV/0!</v>
      </c>
      <c r="E339" s="166" t="e">
        <f t="shared" si="260"/>
        <v>#DIV/0!</v>
      </c>
      <c r="F339" s="166" t="e">
        <f t="shared" si="260"/>
        <v>#DIV/0!</v>
      </c>
      <c r="G339" s="166" t="e">
        <f t="shared" si="260"/>
        <v>#DIV/0!</v>
      </c>
      <c r="H339" s="166" t="e">
        <f t="shared" si="260"/>
        <v>#DIV/0!</v>
      </c>
      <c r="I339" s="166" t="e">
        <f t="shared" si="260"/>
        <v>#DIV/0!</v>
      </c>
      <c r="J339" s="166" t="e">
        <f t="shared" si="260"/>
        <v>#DIV/0!</v>
      </c>
      <c r="K339" s="166" t="e">
        <f t="shared" si="260"/>
        <v>#DIV/0!</v>
      </c>
      <c r="L339" s="166" t="e">
        <f t="shared" si="260"/>
        <v>#DIV/0!</v>
      </c>
      <c r="M339" s="166" t="e">
        <f t="shared" si="260"/>
        <v>#DIV/0!</v>
      </c>
      <c r="P339" s="74"/>
    </row>
    <row r="340" spans="1:16">
      <c r="A340" s="25"/>
      <c r="B340" s="16" t="s">
        <v>238</v>
      </c>
      <c r="C340" s="221"/>
      <c r="D340" s="166" t="str">
        <f>IF(D336="n/a",D336,D$92*D334*D329/1000/D336*(8*D334/(D329/1000))^(1-D337))</f>
        <v>n/a</v>
      </c>
      <c r="E340" s="166" t="str">
        <f t="shared" ref="E340:M340" si="261">IF(E336="n/a",E336,E$92*E334*E329/1000/E336*(8*E334/(E329/1000))^(1-E337))</f>
        <v>n/a</v>
      </c>
      <c r="F340" s="166" t="str">
        <f t="shared" si="261"/>
        <v>n/a</v>
      </c>
      <c r="G340" s="166" t="str">
        <f t="shared" si="261"/>
        <v>n/a</v>
      </c>
      <c r="H340" s="166" t="str">
        <f t="shared" si="261"/>
        <v>n/a</v>
      </c>
      <c r="I340" s="166" t="str">
        <f t="shared" si="261"/>
        <v>n/a</v>
      </c>
      <c r="J340" s="166" t="str">
        <f t="shared" si="261"/>
        <v>n/a</v>
      </c>
      <c r="K340" s="166" t="str">
        <f t="shared" si="261"/>
        <v>n/a</v>
      </c>
      <c r="L340" s="166" t="str">
        <f t="shared" si="261"/>
        <v>n/a</v>
      </c>
      <c r="M340" s="166" t="str">
        <f t="shared" si="261"/>
        <v>n/a</v>
      </c>
      <c r="P340" s="74"/>
    </row>
    <row r="341" spans="1:16">
      <c r="A341" s="25"/>
      <c r="B341" s="16" t="s">
        <v>241</v>
      </c>
      <c r="C341" s="221"/>
      <c r="D341" s="166" t="e">
        <f t="shared" ref="D341:M341" si="262">0.25/(LOG(D330/1000/3.71/(D329/1000)+5.74/D339^0.9))^2/4</f>
        <v>#DIV/0!</v>
      </c>
      <c r="E341" s="166" t="e">
        <f t="shared" si="262"/>
        <v>#DIV/0!</v>
      </c>
      <c r="F341" s="166" t="e">
        <f t="shared" si="262"/>
        <v>#DIV/0!</v>
      </c>
      <c r="G341" s="166" t="e">
        <f t="shared" si="262"/>
        <v>#DIV/0!</v>
      </c>
      <c r="H341" s="166" t="e">
        <f t="shared" si="262"/>
        <v>#DIV/0!</v>
      </c>
      <c r="I341" s="166" t="e">
        <f t="shared" si="262"/>
        <v>#DIV/0!</v>
      </c>
      <c r="J341" s="166" t="e">
        <f t="shared" si="262"/>
        <v>#DIV/0!</v>
      </c>
      <c r="K341" s="166" t="e">
        <f t="shared" si="262"/>
        <v>#DIV/0!</v>
      </c>
      <c r="L341" s="166" t="e">
        <f t="shared" si="262"/>
        <v>#DIV/0!</v>
      </c>
      <c r="M341" s="166" t="e">
        <f t="shared" si="262"/>
        <v>#DIV/0!</v>
      </c>
      <c r="P341" s="74"/>
    </row>
    <row r="342" spans="1:16">
      <c r="A342" s="25"/>
      <c r="B342" s="16" t="s">
        <v>243</v>
      </c>
      <c r="C342" s="221"/>
      <c r="D342" s="166" t="str">
        <f t="shared" ref="D342:M342" si="263">IF($AK$89="Clean Water / Sewage","n/a",16/D340)</f>
        <v>n/a</v>
      </c>
      <c r="E342" s="166" t="str">
        <f t="shared" si="263"/>
        <v>n/a</v>
      </c>
      <c r="F342" s="166" t="str">
        <f t="shared" si="263"/>
        <v>n/a</v>
      </c>
      <c r="G342" s="166" t="str">
        <f t="shared" si="263"/>
        <v>n/a</v>
      </c>
      <c r="H342" s="166" t="str">
        <f t="shared" si="263"/>
        <v>n/a</v>
      </c>
      <c r="I342" s="166" t="str">
        <f t="shared" si="263"/>
        <v>n/a</v>
      </c>
      <c r="J342" s="166" t="str">
        <f t="shared" si="263"/>
        <v>n/a</v>
      </c>
      <c r="K342" s="166" t="str">
        <f t="shared" si="263"/>
        <v>n/a</v>
      </c>
      <c r="L342" s="166" t="str">
        <f t="shared" si="263"/>
        <v>n/a</v>
      </c>
      <c r="M342" s="166" t="str">
        <f t="shared" si="263"/>
        <v>n/a</v>
      </c>
      <c r="P342" s="74"/>
    </row>
    <row r="343" spans="1:16">
      <c r="A343" s="25"/>
      <c r="B343" s="16" t="s">
        <v>245</v>
      </c>
      <c r="C343" s="221"/>
      <c r="D343" s="166">
        <f t="shared" ref="D343:M343" si="264">IF(D329=0,0,IF($AK$89="Clean Water / Sewage",D341,IF(D340&lt;2300,D342,IF(D340&gt;4000,D341,IF(D342&gt;D341,D342,D341)))))</f>
        <v>0</v>
      </c>
      <c r="E343" s="166">
        <f t="shared" si="264"/>
        <v>0</v>
      </c>
      <c r="F343" s="166">
        <f t="shared" si="264"/>
        <v>0</v>
      </c>
      <c r="G343" s="166">
        <f t="shared" si="264"/>
        <v>0</v>
      </c>
      <c r="H343" s="166">
        <f t="shared" si="264"/>
        <v>0</v>
      </c>
      <c r="I343" s="166">
        <f t="shared" si="264"/>
        <v>0</v>
      </c>
      <c r="J343" s="166">
        <f t="shared" si="264"/>
        <v>0</v>
      </c>
      <c r="K343" s="166">
        <f t="shared" si="264"/>
        <v>0</v>
      </c>
      <c r="L343" s="166">
        <f t="shared" si="264"/>
        <v>0</v>
      </c>
      <c r="M343" s="166">
        <f t="shared" si="264"/>
        <v>0</v>
      </c>
      <c r="P343" s="74"/>
    </row>
    <row r="344" spans="1:16">
      <c r="A344" s="25"/>
      <c r="B344" s="16" t="s">
        <v>246</v>
      </c>
      <c r="C344" s="221"/>
      <c r="D344" s="166" t="str">
        <f t="shared" ref="D344:M344" si="265">IF($AK$89="Clean Water / Sewage","n/a",1+2000/D340)</f>
        <v>n/a</v>
      </c>
      <c r="E344" s="166" t="str">
        <f t="shared" si="265"/>
        <v>n/a</v>
      </c>
      <c r="F344" s="166" t="str">
        <f t="shared" si="265"/>
        <v>n/a</v>
      </c>
      <c r="G344" s="166" t="str">
        <f t="shared" si="265"/>
        <v>n/a</v>
      </c>
      <c r="H344" s="166" t="str">
        <f t="shared" si="265"/>
        <v>n/a</v>
      </c>
      <c r="I344" s="166" t="str">
        <f t="shared" si="265"/>
        <v>n/a</v>
      </c>
      <c r="J344" s="166" t="str">
        <f t="shared" si="265"/>
        <v>n/a</v>
      </c>
      <c r="K344" s="166" t="str">
        <f t="shared" si="265"/>
        <v>n/a</v>
      </c>
      <c r="L344" s="166" t="str">
        <f t="shared" si="265"/>
        <v>n/a</v>
      </c>
      <c r="M344" s="166" t="str">
        <f t="shared" si="265"/>
        <v>n/a</v>
      </c>
      <c r="P344" s="74"/>
    </row>
    <row r="345" spans="1:16">
      <c r="A345" s="25"/>
      <c r="B345" s="16" t="s">
        <v>248</v>
      </c>
      <c r="C345" s="221" t="s">
        <v>89</v>
      </c>
      <c r="D345" s="166">
        <f>IF(D329*D328=0,0,2*D343*D331/(D329/1000)*D334^2/9.81+IF($AK$89="Clean Water / Sewage",D332*D334^2/2/9.81,D344*D332*D334^2/2/9.81))</f>
        <v>0</v>
      </c>
      <c r="E345" s="166">
        <f t="shared" ref="E345:M345" si="266">IF(E329=0,0,2*E343*E331/(E329/1000)*E334^2/9.81+IF($AK$89="Clean Water / Sewage",E332*E334^2/2/9.81,E344*E332*E334^2/2/9.81))</f>
        <v>0</v>
      </c>
      <c r="F345" s="166">
        <f t="shared" si="266"/>
        <v>0</v>
      </c>
      <c r="G345" s="166">
        <f t="shared" si="266"/>
        <v>0</v>
      </c>
      <c r="H345" s="166">
        <f t="shared" si="266"/>
        <v>0</v>
      </c>
      <c r="I345" s="166">
        <f t="shared" si="266"/>
        <v>0</v>
      </c>
      <c r="J345" s="166">
        <f t="shared" si="266"/>
        <v>0</v>
      </c>
      <c r="K345" s="166">
        <f t="shared" si="266"/>
        <v>0</v>
      </c>
      <c r="L345" s="166">
        <f t="shared" si="266"/>
        <v>0</v>
      </c>
      <c r="M345" s="166">
        <f t="shared" si="266"/>
        <v>0</v>
      </c>
      <c r="P345" s="74"/>
    </row>
    <row r="346" spans="1:16">
      <c r="A346" s="25"/>
      <c r="B346" s="16" t="s">
        <v>248</v>
      </c>
      <c r="C346" s="221" t="s">
        <v>250</v>
      </c>
      <c r="D346" s="166">
        <f>D345*D$92*9.81/100000</f>
        <v>0</v>
      </c>
      <c r="E346" s="166">
        <f t="shared" ref="E346:M346" si="267">E345*E$92*9.81/100000</f>
        <v>0</v>
      </c>
      <c r="F346" s="166">
        <f t="shared" si="267"/>
        <v>0</v>
      </c>
      <c r="G346" s="166">
        <f t="shared" si="267"/>
        <v>0</v>
      </c>
      <c r="H346" s="166">
        <f t="shared" si="267"/>
        <v>0</v>
      </c>
      <c r="I346" s="166">
        <f t="shared" si="267"/>
        <v>0</v>
      </c>
      <c r="J346" s="166">
        <f t="shared" si="267"/>
        <v>0</v>
      </c>
      <c r="K346" s="166">
        <f t="shared" si="267"/>
        <v>0</v>
      </c>
      <c r="L346" s="166">
        <f t="shared" si="267"/>
        <v>0</v>
      </c>
      <c r="M346" s="166">
        <f t="shared" si="267"/>
        <v>0</v>
      </c>
      <c r="P346" s="74"/>
    </row>
    <row r="347" spans="1:16">
      <c r="A347" s="25"/>
      <c r="P347" s="74"/>
    </row>
    <row r="348" spans="1:16">
      <c r="A348" s="25"/>
      <c r="B348" s="16" t="s">
        <v>215</v>
      </c>
      <c r="C348" s="221" t="s">
        <v>53</v>
      </c>
      <c r="D348" s="202">
        <f>O24</f>
        <v>0</v>
      </c>
      <c r="P348" s="74"/>
    </row>
    <row r="349" spans="1:16">
      <c r="A349" s="25"/>
      <c r="B349" s="16" t="s">
        <v>217</v>
      </c>
      <c r="C349" s="221" t="s">
        <v>87</v>
      </c>
      <c r="D349" s="166">
        <f t="shared" ref="D349:M349" si="268">D$18</f>
        <v>0</v>
      </c>
      <c r="E349" s="166">
        <f t="shared" si="268"/>
        <v>0</v>
      </c>
      <c r="F349" s="166">
        <f t="shared" si="268"/>
        <v>0</v>
      </c>
      <c r="G349" s="166">
        <f t="shared" si="268"/>
        <v>0</v>
      </c>
      <c r="H349" s="166">
        <f t="shared" si="268"/>
        <v>0</v>
      </c>
      <c r="I349" s="166">
        <f t="shared" si="268"/>
        <v>0</v>
      </c>
      <c r="J349" s="166">
        <f t="shared" si="268"/>
        <v>0</v>
      </c>
      <c r="K349" s="166">
        <f t="shared" si="268"/>
        <v>0</v>
      </c>
      <c r="L349" s="166">
        <f t="shared" si="268"/>
        <v>0</v>
      </c>
      <c r="M349" s="166">
        <f t="shared" si="268"/>
        <v>0</v>
      </c>
      <c r="P349" s="74"/>
    </row>
    <row r="350" spans="1:16">
      <c r="A350" s="25"/>
      <c r="B350" s="16" t="s">
        <v>218</v>
      </c>
      <c r="C350" s="221" t="s">
        <v>87</v>
      </c>
      <c r="D350" s="166">
        <f t="shared" ref="D350:M350" si="269">D$20</f>
        <v>0</v>
      </c>
      <c r="E350" s="166">
        <f t="shared" si="269"/>
        <v>0</v>
      </c>
      <c r="F350" s="166">
        <f t="shared" si="269"/>
        <v>0</v>
      </c>
      <c r="G350" s="166">
        <f t="shared" si="269"/>
        <v>0</v>
      </c>
      <c r="H350" s="166">
        <f t="shared" si="269"/>
        <v>0</v>
      </c>
      <c r="I350" s="166">
        <f t="shared" si="269"/>
        <v>0</v>
      </c>
      <c r="J350" s="166">
        <f t="shared" si="269"/>
        <v>0</v>
      </c>
      <c r="K350" s="166">
        <f t="shared" si="269"/>
        <v>0</v>
      </c>
      <c r="L350" s="166">
        <f t="shared" si="269"/>
        <v>0</v>
      </c>
      <c r="M350" s="166">
        <f t="shared" si="269"/>
        <v>0</v>
      </c>
      <c r="P350" s="74"/>
    </row>
    <row r="351" spans="1:16">
      <c r="A351" s="25"/>
      <c r="B351" s="16" t="s">
        <v>220</v>
      </c>
      <c r="C351" s="221" t="s">
        <v>87</v>
      </c>
      <c r="D351" s="166">
        <f t="shared" ref="D351:M351" si="270">D$19</f>
        <v>0</v>
      </c>
      <c r="E351" s="166">
        <f t="shared" si="270"/>
        <v>0</v>
      </c>
      <c r="F351" s="166">
        <f t="shared" si="270"/>
        <v>0</v>
      </c>
      <c r="G351" s="166">
        <f t="shared" si="270"/>
        <v>0</v>
      </c>
      <c r="H351" s="166">
        <f t="shared" si="270"/>
        <v>0</v>
      </c>
      <c r="I351" s="166">
        <f t="shared" si="270"/>
        <v>0</v>
      </c>
      <c r="J351" s="166">
        <f t="shared" si="270"/>
        <v>0</v>
      </c>
      <c r="K351" s="166">
        <f t="shared" si="270"/>
        <v>0</v>
      </c>
      <c r="L351" s="166">
        <f t="shared" si="270"/>
        <v>0</v>
      </c>
      <c r="M351" s="166">
        <f t="shared" si="270"/>
        <v>0</v>
      </c>
      <c r="P351" s="74"/>
    </row>
    <row r="352" spans="1:16">
      <c r="A352" s="25"/>
      <c r="B352" s="16" t="s">
        <v>221</v>
      </c>
      <c r="C352" s="221"/>
      <c r="D352" s="166">
        <f t="shared" ref="D352:M352" si="271">D$44</f>
        <v>0</v>
      </c>
      <c r="E352" s="166">
        <f t="shared" si="271"/>
        <v>0</v>
      </c>
      <c r="F352" s="166">
        <f t="shared" si="271"/>
        <v>0</v>
      </c>
      <c r="G352" s="166">
        <f t="shared" si="271"/>
        <v>0</v>
      </c>
      <c r="H352" s="166">
        <f t="shared" si="271"/>
        <v>0</v>
      </c>
      <c r="I352" s="166">
        <f t="shared" si="271"/>
        <v>0</v>
      </c>
      <c r="J352" s="166">
        <f t="shared" si="271"/>
        <v>0</v>
      </c>
      <c r="K352" s="166">
        <f t="shared" si="271"/>
        <v>0</v>
      </c>
      <c r="L352" s="166">
        <f t="shared" si="271"/>
        <v>0</v>
      </c>
      <c r="M352" s="166">
        <f t="shared" si="271"/>
        <v>0</v>
      </c>
      <c r="P352" s="74"/>
    </row>
    <row r="353" spans="1:16">
      <c r="A353" s="25"/>
      <c r="B353" s="16" t="s">
        <v>91</v>
      </c>
      <c r="C353" s="221" t="s">
        <v>223</v>
      </c>
      <c r="D353" s="166">
        <f t="shared" ref="D353:M353" si="272">D$21</f>
        <v>0</v>
      </c>
      <c r="E353" s="166">
        <f t="shared" si="272"/>
        <v>0</v>
      </c>
      <c r="F353" s="166">
        <f t="shared" si="272"/>
        <v>0</v>
      </c>
      <c r="G353" s="166">
        <f t="shared" si="272"/>
        <v>0</v>
      </c>
      <c r="H353" s="166">
        <f t="shared" si="272"/>
        <v>0</v>
      </c>
      <c r="I353" s="166">
        <f t="shared" si="272"/>
        <v>0</v>
      </c>
      <c r="J353" s="166">
        <f t="shared" si="272"/>
        <v>0</v>
      </c>
      <c r="K353" s="166">
        <f t="shared" si="272"/>
        <v>0</v>
      </c>
      <c r="L353" s="166">
        <f t="shared" si="272"/>
        <v>0</v>
      </c>
      <c r="M353" s="166">
        <f t="shared" si="272"/>
        <v>0</v>
      </c>
      <c r="P353" s="74"/>
    </row>
    <row r="354" spans="1:16">
      <c r="A354" s="25"/>
      <c r="B354" s="16" t="s">
        <v>226</v>
      </c>
      <c r="C354" s="221" t="s">
        <v>94</v>
      </c>
      <c r="D354" s="166" t="e">
        <f t="shared" ref="D354:M354" si="273">($D348/1000)/(PI()*(D349/1000)^2/4)</f>
        <v>#DIV/0!</v>
      </c>
      <c r="E354" s="166" t="e">
        <f t="shared" si="273"/>
        <v>#DIV/0!</v>
      </c>
      <c r="F354" s="166" t="e">
        <f t="shared" si="273"/>
        <v>#DIV/0!</v>
      </c>
      <c r="G354" s="166" t="e">
        <f t="shared" si="273"/>
        <v>#DIV/0!</v>
      </c>
      <c r="H354" s="166" t="e">
        <f t="shared" si="273"/>
        <v>#DIV/0!</v>
      </c>
      <c r="I354" s="166" t="e">
        <f t="shared" si="273"/>
        <v>#DIV/0!</v>
      </c>
      <c r="J354" s="166" t="e">
        <f t="shared" si="273"/>
        <v>#DIV/0!</v>
      </c>
      <c r="K354" s="166" t="e">
        <f t="shared" si="273"/>
        <v>#DIV/0!</v>
      </c>
      <c r="L354" s="166" t="e">
        <f t="shared" si="273"/>
        <v>#DIV/0!</v>
      </c>
      <c r="M354" s="166" t="e">
        <f t="shared" si="273"/>
        <v>#DIV/0!</v>
      </c>
      <c r="P354" s="74"/>
    </row>
    <row r="355" spans="1:16" ht="14.25">
      <c r="A355" s="25"/>
      <c r="B355" s="16" t="s">
        <v>228</v>
      </c>
      <c r="C355" s="221" t="s">
        <v>229</v>
      </c>
      <c r="D355" s="165">
        <f t="shared" ref="D355:M355" si="274">IF(D$21="",0.000001,VLOOKUP(D353,$AQ$98:$AX$198,4,FALSE)/VLOOKUP(D353,$AQ$98:$AX$198,5,FALSE)/1000000)</f>
        <v>9.9999999999999995E-7</v>
      </c>
      <c r="E355" s="165">
        <f t="shared" si="274"/>
        <v>9.9999999999999995E-7</v>
      </c>
      <c r="F355" s="165">
        <f t="shared" si="274"/>
        <v>9.9999999999999995E-7</v>
      </c>
      <c r="G355" s="165">
        <f t="shared" si="274"/>
        <v>9.9999999999999995E-7</v>
      </c>
      <c r="H355" s="165">
        <f t="shared" si="274"/>
        <v>9.9999999999999995E-7</v>
      </c>
      <c r="I355" s="165">
        <f t="shared" si="274"/>
        <v>9.9999999999999995E-7</v>
      </c>
      <c r="J355" s="165">
        <f t="shared" si="274"/>
        <v>9.9999999999999995E-7</v>
      </c>
      <c r="K355" s="165">
        <f t="shared" si="274"/>
        <v>9.9999999999999995E-7</v>
      </c>
      <c r="L355" s="165">
        <f t="shared" si="274"/>
        <v>9.9999999999999995E-7</v>
      </c>
      <c r="M355" s="165">
        <f t="shared" si="274"/>
        <v>9.9999999999999995E-7</v>
      </c>
      <c r="P355" s="74"/>
    </row>
    <row r="356" spans="1:16" ht="14.25">
      <c r="A356" s="25"/>
      <c r="B356" s="16" t="s">
        <v>231</v>
      </c>
      <c r="C356" s="221" t="s">
        <v>232</v>
      </c>
      <c r="D356" s="166" t="str">
        <f t="shared" ref="D356:M356" si="275">IF($AK$89="Clean Water / Sewage","n/a",VLOOKUP($AK$89,$AI$104:$AM$109,$AM$94,FALSE)*(D$91^VLOOKUP($AK$89,$AI$104:$AM$109,5,FALSE))*EXP(1848/(273+D353)-1848/283))</f>
        <v>n/a</v>
      </c>
      <c r="E356" s="166" t="str">
        <f t="shared" si="275"/>
        <v>n/a</v>
      </c>
      <c r="F356" s="166" t="str">
        <f t="shared" si="275"/>
        <v>n/a</v>
      </c>
      <c r="G356" s="166" t="str">
        <f t="shared" si="275"/>
        <v>n/a</v>
      </c>
      <c r="H356" s="166" t="str">
        <f t="shared" si="275"/>
        <v>n/a</v>
      </c>
      <c r="I356" s="166" t="str">
        <f t="shared" si="275"/>
        <v>n/a</v>
      </c>
      <c r="J356" s="166" t="str">
        <f t="shared" si="275"/>
        <v>n/a</v>
      </c>
      <c r="K356" s="166" t="str">
        <f t="shared" si="275"/>
        <v>n/a</v>
      </c>
      <c r="L356" s="166" t="str">
        <f t="shared" si="275"/>
        <v>n/a</v>
      </c>
      <c r="M356" s="166" t="str">
        <f t="shared" si="275"/>
        <v>n/a</v>
      </c>
      <c r="P356" s="74"/>
    </row>
    <row r="357" spans="1:16">
      <c r="A357" s="25"/>
      <c r="B357" s="16" t="s">
        <v>234</v>
      </c>
      <c r="C357" s="221"/>
      <c r="D357" s="166" t="str">
        <f t="shared" ref="D357:M357" si="276">IF($AK$89="Clean Water / Sewage","n/a",VLOOKUP($AK$89,$AI$97:$AM$102,$AM$94,FALSE)*(D$91^VLOOKUP($AK$89,$AI$97:$AM$102,5,FALSE)))</f>
        <v>n/a</v>
      </c>
      <c r="E357" s="166" t="str">
        <f t="shared" si="276"/>
        <v>n/a</v>
      </c>
      <c r="F357" s="166" t="str">
        <f t="shared" si="276"/>
        <v>n/a</v>
      </c>
      <c r="G357" s="166" t="str">
        <f t="shared" si="276"/>
        <v>n/a</v>
      </c>
      <c r="H357" s="166" t="str">
        <f t="shared" si="276"/>
        <v>n/a</v>
      </c>
      <c r="I357" s="166" t="str">
        <f t="shared" si="276"/>
        <v>n/a</v>
      </c>
      <c r="J357" s="166" t="str">
        <f t="shared" si="276"/>
        <v>n/a</v>
      </c>
      <c r="K357" s="166" t="str">
        <f t="shared" si="276"/>
        <v>n/a</v>
      </c>
      <c r="L357" s="166" t="str">
        <f t="shared" si="276"/>
        <v>n/a</v>
      </c>
      <c r="M357" s="166" t="str">
        <f t="shared" si="276"/>
        <v>n/a</v>
      </c>
      <c r="P357" s="74"/>
    </row>
    <row r="358" spans="1:16" ht="14.25">
      <c r="A358" s="25"/>
      <c r="B358" s="16" t="s">
        <v>225</v>
      </c>
      <c r="C358" s="221" t="s">
        <v>232</v>
      </c>
      <c r="D358" s="166" t="str">
        <f t="shared" ref="D358:M358" si="277">IF($AK$89="Clean Water / Sewage","n/a",VLOOKUP($AK$89,$AI$111:$AM$116,$AM$94,FALSE)*(D$91^VLOOKUP($AK$89,$AI$111:$AM$116,5,FALSE))*EXP(1848/(273+D353)-1848/283))</f>
        <v>n/a</v>
      </c>
      <c r="E358" s="166" t="str">
        <f t="shared" si="277"/>
        <v>n/a</v>
      </c>
      <c r="F358" s="166" t="str">
        <f t="shared" si="277"/>
        <v>n/a</v>
      </c>
      <c r="G358" s="166" t="str">
        <f t="shared" si="277"/>
        <v>n/a</v>
      </c>
      <c r="H358" s="166" t="str">
        <f t="shared" si="277"/>
        <v>n/a</v>
      </c>
      <c r="I358" s="166" t="str">
        <f t="shared" si="277"/>
        <v>n/a</v>
      </c>
      <c r="J358" s="166" t="str">
        <f t="shared" si="277"/>
        <v>n/a</v>
      </c>
      <c r="K358" s="166" t="str">
        <f t="shared" si="277"/>
        <v>n/a</v>
      </c>
      <c r="L358" s="166" t="str">
        <f t="shared" si="277"/>
        <v>n/a</v>
      </c>
      <c r="M358" s="166" t="str">
        <f t="shared" si="277"/>
        <v>n/a</v>
      </c>
      <c r="P358" s="74"/>
    </row>
    <row r="359" spans="1:16">
      <c r="A359" s="25"/>
      <c r="B359" s="16" t="s">
        <v>236</v>
      </c>
      <c r="C359" s="221"/>
      <c r="D359" s="166" t="e">
        <f t="shared" ref="D359:M359" si="278">IF($AK89="Clean Water / Sewage",D354*D349/1000/D355,D$92*D354*D349/1000/D358)</f>
        <v>#DIV/0!</v>
      </c>
      <c r="E359" s="166" t="e">
        <f t="shared" si="278"/>
        <v>#DIV/0!</v>
      </c>
      <c r="F359" s="166" t="e">
        <f t="shared" si="278"/>
        <v>#DIV/0!</v>
      </c>
      <c r="G359" s="166" t="e">
        <f t="shared" si="278"/>
        <v>#DIV/0!</v>
      </c>
      <c r="H359" s="166" t="e">
        <f t="shared" si="278"/>
        <v>#DIV/0!</v>
      </c>
      <c r="I359" s="166" t="e">
        <f t="shared" si="278"/>
        <v>#DIV/0!</v>
      </c>
      <c r="J359" s="166" t="e">
        <f t="shared" si="278"/>
        <v>#DIV/0!</v>
      </c>
      <c r="K359" s="166" t="e">
        <f t="shared" si="278"/>
        <v>#DIV/0!</v>
      </c>
      <c r="L359" s="166" t="e">
        <f t="shared" si="278"/>
        <v>#DIV/0!</v>
      </c>
      <c r="M359" s="166" t="e">
        <f t="shared" si="278"/>
        <v>#DIV/0!</v>
      </c>
      <c r="P359" s="74"/>
    </row>
    <row r="360" spans="1:16">
      <c r="A360" s="25"/>
      <c r="B360" s="16" t="s">
        <v>238</v>
      </c>
      <c r="C360" s="221"/>
      <c r="D360" s="166" t="str">
        <f>IF(D356="n/a",D356,D$92*D354*D349/1000/D356*(8*D354/(D349/1000))^(1-D357))</f>
        <v>n/a</v>
      </c>
      <c r="E360" s="166" t="str">
        <f t="shared" ref="E360:M360" si="279">IF(E356="n/a",E356,E$92*E354*E349/1000/E356*(8*E354/(E349/1000))^(1-E357))</f>
        <v>n/a</v>
      </c>
      <c r="F360" s="166" t="str">
        <f t="shared" si="279"/>
        <v>n/a</v>
      </c>
      <c r="G360" s="166" t="str">
        <f t="shared" si="279"/>
        <v>n/a</v>
      </c>
      <c r="H360" s="166" t="str">
        <f t="shared" si="279"/>
        <v>n/a</v>
      </c>
      <c r="I360" s="166" t="str">
        <f t="shared" si="279"/>
        <v>n/a</v>
      </c>
      <c r="J360" s="166" t="str">
        <f t="shared" si="279"/>
        <v>n/a</v>
      </c>
      <c r="K360" s="166" t="str">
        <f t="shared" si="279"/>
        <v>n/a</v>
      </c>
      <c r="L360" s="166" t="str">
        <f t="shared" si="279"/>
        <v>n/a</v>
      </c>
      <c r="M360" s="166" t="str">
        <f t="shared" si="279"/>
        <v>n/a</v>
      </c>
      <c r="P360" s="74"/>
    </row>
    <row r="361" spans="1:16">
      <c r="A361" s="25"/>
      <c r="B361" s="16" t="s">
        <v>241</v>
      </c>
      <c r="C361" s="221"/>
      <c r="D361" s="166" t="e">
        <f t="shared" ref="D361:M361" si="280">0.25/(LOG(D350/1000/3.71/(D349/1000)+5.74/D359^0.9))^2/4</f>
        <v>#DIV/0!</v>
      </c>
      <c r="E361" s="166" t="e">
        <f t="shared" si="280"/>
        <v>#DIV/0!</v>
      </c>
      <c r="F361" s="166" t="e">
        <f t="shared" si="280"/>
        <v>#DIV/0!</v>
      </c>
      <c r="G361" s="166" t="e">
        <f t="shared" si="280"/>
        <v>#DIV/0!</v>
      </c>
      <c r="H361" s="166" t="e">
        <f t="shared" si="280"/>
        <v>#DIV/0!</v>
      </c>
      <c r="I361" s="166" t="e">
        <f t="shared" si="280"/>
        <v>#DIV/0!</v>
      </c>
      <c r="J361" s="166" t="e">
        <f t="shared" si="280"/>
        <v>#DIV/0!</v>
      </c>
      <c r="K361" s="166" t="e">
        <f t="shared" si="280"/>
        <v>#DIV/0!</v>
      </c>
      <c r="L361" s="166" t="e">
        <f t="shared" si="280"/>
        <v>#DIV/0!</v>
      </c>
      <c r="M361" s="166" t="e">
        <f t="shared" si="280"/>
        <v>#DIV/0!</v>
      </c>
      <c r="P361" s="74"/>
    </row>
    <row r="362" spans="1:16">
      <c r="A362" s="25"/>
      <c r="B362" s="16" t="s">
        <v>243</v>
      </c>
      <c r="C362" s="221"/>
      <c r="D362" s="166" t="str">
        <f t="shared" ref="D362:M362" si="281">IF($AK$89="Clean Water / Sewage","n/a",16/D360)</f>
        <v>n/a</v>
      </c>
      <c r="E362" s="166" t="str">
        <f t="shared" si="281"/>
        <v>n/a</v>
      </c>
      <c r="F362" s="166" t="str">
        <f t="shared" si="281"/>
        <v>n/a</v>
      </c>
      <c r="G362" s="166" t="str">
        <f t="shared" si="281"/>
        <v>n/a</v>
      </c>
      <c r="H362" s="166" t="str">
        <f t="shared" si="281"/>
        <v>n/a</v>
      </c>
      <c r="I362" s="166" t="str">
        <f t="shared" si="281"/>
        <v>n/a</v>
      </c>
      <c r="J362" s="166" t="str">
        <f t="shared" si="281"/>
        <v>n/a</v>
      </c>
      <c r="K362" s="166" t="str">
        <f t="shared" si="281"/>
        <v>n/a</v>
      </c>
      <c r="L362" s="166" t="str">
        <f t="shared" si="281"/>
        <v>n/a</v>
      </c>
      <c r="M362" s="166" t="str">
        <f t="shared" si="281"/>
        <v>n/a</v>
      </c>
      <c r="P362" s="74"/>
    </row>
    <row r="363" spans="1:16">
      <c r="A363" s="25"/>
      <c r="B363" s="16" t="s">
        <v>245</v>
      </c>
      <c r="C363" s="221"/>
      <c r="D363" s="166">
        <f t="shared" ref="D363:M363" si="282">IF(D349=0,0,IF($AK$89="Clean Water / Sewage",D361,IF(D360&lt;2300,D362,IF(D360&gt;4000,D361,IF(D362&gt;D361,D362,D361)))))</f>
        <v>0</v>
      </c>
      <c r="E363" s="166">
        <f t="shared" si="282"/>
        <v>0</v>
      </c>
      <c r="F363" s="166">
        <f t="shared" si="282"/>
        <v>0</v>
      </c>
      <c r="G363" s="166">
        <f t="shared" si="282"/>
        <v>0</v>
      </c>
      <c r="H363" s="166">
        <f t="shared" si="282"/>
        <v>0</v>
      </c>
      <c r="I363" s="166">
        <f t="shared" si="282"/>
        <v>0</v>
      </c>
      <c r="J363" s="166">
        <f t="shared" si="282"/>
        <v>0</v>
      </c>
      <c r="K363" s="166">
        <f t="shared" si="282"/>
        <v>0</v>
      </c>
      <c r="L363" s="166">
        <f t="shared" si="282"/>
        <v>0</v>
      </c>
      <c r="M363" s="166">
        <f t="shared" si="282"/>
        <v>0</v>
      </c>
      <c r="P363" s="74"/>
    </row>
    <row r="364" spans="1:16">
      <c r="A364" s="25"/>
      <c r="B364" s="16" t="s">
        <v>246</v>
      </c>
      <c r="C364" s="221"/>
      <c r="D364" s="166" t="str">
        <f t="shared" ref="D364:M364" si="283">IF($AK$89="Clean Water / Sewage","n/a",1+2000/D360)</f>
        <v>n/a</v>
      </c>
      <c r="E364" s="166" t="str">
        <f t="shared" si="283"/>
        <v>n/a</v>
      </c>
      <c r="F364" s="166" t="str">
        <f t="shared" si="283"/>
        <v>n/a</v>
      </c>
      <c r="G364" s="166" t="str">
        <f t="shared" si="283"/>
        <v>n/a</v>
      </c>
      <c r="H364" s="166" t="str">
        <f t="shared" si="283"/>
        <v>n/a</v>
      </c>
      <c r="I364" s="166" t="str">
        <f t="shared" si="283"/>
        <v>n/a</v>
      </c>
      <c r="J364" s="166" t="str">
        <f t="shared" si="283"/>
        <v>n/a</v>
      </c>
      <c r="K364" s="166" t="str">
        <f t="shared" si="283"/>
        <v>n/a</v>
      </c>
      <c r="L364" s="166" t="str">
        <f t="shared" si="283"/>
        <v>n/a</v>
      </c>
      <c r="M364" s="166" t="str">
        <f t="shared" si="283"/>
        <v>n/a</v>
      </c>
      <c r="P364" s="74"/>
    </row>
    <row r="365" spans="1:16">
      <c r="A365" s="25"/>
      <c r="B365" s="16" t="s">
        <v>248</v>
      </c>
      <c r="C365" s="221" t="s">
        <v>89</v>
      </c>
      <c r="D365" s="166">
        <f>IF(D349*D348=0,0,2*D363*D351/(D349/1000)*D354^2/9.81+IF($AK$89="Clean Water / Sewage",D352*D354^2/2/9.81,D364*D352*D354^2/2/9.81))</f>
        <v>0</v>
      </c>
      <c r="E365" s="166">
        <f t="shared" ref="E365:M365" si="284">IF(E349=0,0,2*E363*E351/(E349/1000)*E354^2/9.81+IF($AK$89="Clean Water / Sewage",E352*E354^2/2/9.81,E364*E352*E354^2/2/9.81))</f>
        <v>0</v>
      </c>
      <c r="F365" s="166">
        <f t="shared" si="284"/>
        <v>0</v>
      </c>
      <c r="G365" s="166">
        <f t="shared" si="284"/>
        <v>0</v>
      </c>
      <c r="H365" s="166">
        <f t="shared" si="284"/>
        <v>0</v>
      </c>
      <c r="I365" s="166">
        <f t="shared" si="284"/>
        <v>0</v>
      </c>
      <c r="J365" s="166">
        <f t="shared" si="284"/>
        <v>0</v>
      </c>
      <c r="K365" s="166">
        <f t="shared" si="284"/>
        <v>0</v>
      </c>
      <c r="L365" s="166">
        <f t="shared" si="284"/>
        <v>0</v>
      </c>
      <c r="M365" s="166">
        <f t="shared" si="284"/>
        <v>0</v>
      </c>
      <c r="P365" s="74"/>
    </row>
    <row r="366" spans="1:16">
      <c r="A366" s="25"/>
      <c r="B366" s="16" t="s">
        <v>248</v>
      </c>
      <c r="C366" s="221" t="s">
        <v>250</v>
      </c>
      <c r="D366" s="166">
        <f>D365*D$92*9.81/100000</f>
        <v>0</v>
      </c>
      <c r="E366" s="166">
        <f t="shared" ref="E366:M366" si="285">E365*E$92*9.81/100000</f>
        <v>0</v>
      </c>
      <c r="F366" s="166">
        <f t="shared" si="285"/>
        <v>0</v>
      </c>
      <c r="G366" s="166">
        <f t="shared" si="285"/>
        <v>0</v>
      </c>
      <c r="H366" s="166">
        <f t="shared" si="285"/>
        <v>0</v>
      </c>
      <c r="I366" s="166">
        <f t="shared" si="285"/>
        <v>0</v>
      </c>
      <c r="J366" s="166">
        <f t="shared" si="285"/>
        <v>0</v>
      </c>
      <c r="K366" s="166">
        <f t="shared" si="285"/>
        <v>0</v>
      </c>
      <c r="L366" s="166">
        <f t="shared" si="285"/>
        <v>0</v>
      </c>
      <c r="M366" s="166">
        <f t="shared" si="285"/>
        <v>0</v>
      </c>
      <c r="P366" s="74"/>
    </row>
    <row r="367" spans="1:16" ht="12.75" thickBot="1">
      <c r="A367" s="84"/>
      <c r="B367" s="85"/>
      <c r="C367" s="111"/>
      <c r="D367" s="111"/>
      <c r="E367" s="111"/>
      <c r="F367" s="111"/>
      <c r="G367" s="111"/>
      <c r="H367" s="111"/>
      <c r="I367" s="111"/>
      <c r="J367" s="111"/>
      <c r="K367" s="111"/>
      <c r="L367" s="111"/>
      <c r="M367" s="111"/>
      <c r="N367" s="111"/>
      <c r="O367" s="85"/>
      <c r="P367" s="86"/>
    </row>
  </sheetData>
  <dataConsolidate/>
  <mergeCells count="28">
    <mergeCell ref="AJ110:AM110"/>
    <mergeCell ref="AJ117:AM117"/>
    <mergeCell ref="Y16:Z16"/>
    <mergeCell ref="AA16:AB16"/>
    <mergeCell ref="AJ96:AM96"/>
    <mergeCell ref="AJ103:AM103"/>
    <mergeCell ref="T15:T16"/>
    <mergeCell ref="U15:X15"/>
    <mergeCell ref="O16:Q16"/>
    <mergeCell ref="R16:S16"/>
    <mergeCell ref="V16:V17"/>
    <mergeCell ref="W16:W17"/>
    <mergeCell ref="J4:K4"/>
    <mergeCell ref="J6:K6"/>
    <mergeCell ref="Q12:S12"/>
    <mergeCell ref="D13:D16"/>
    <mergeCell ref="E13:E16"/>
    <mergeCell ref="F13:F16"/>
    <mergeCell ref="G13:G16"/>
    <mergeCell ref="H13:H16"/>
    <mergeCell ref="I13:I16"/>
    <mergeCell ref="J13:J16"/>
    <mergeCell ref="K13:K16"/>
    <mergeCell ref="L13:L16"/>
    <mergeCell ref="M13:M16"/>
    <mergeCell ref="Q13:S13"/>
    <mergeCell ref="O15:Q15"/>
    <mergeCell ref="R15:S15"/>
  </mergeCells>
  <conditionalFormatting sqref="H5:L5 H6:K6 I7:K7 H7:H8 M5:M7">
    <cfRule type="expression" dxfId="0" priority="1">
      <formula>$J$4="Clean Water / Sewage"</formula>
    </cfRule>
  </conditionalFormatting>
  <dataValidations count="14">
    <dataValidation allowBlank="1" showInputMessage="1" showErrorMessage="1" promptTitle="Warning!" prompt="This cell is used in the calculation of kinematic viscosity and NPSHa. Changing it may affect the results of the calculation." sqref="AQ86:AQ93 AR86:AU88 AR89 AT89:AU89 AR90:AU201 AV86:AY201 AQ95:AQ201 AP86:AP201" xr:uid="{00000000-0002-0000-0100-000000000000}"/>
    <dataValidation allowBlank="1" showInputMessage="1" showErrorMessage="1" promptTitle="Warning!" prompt="This cell is used in the calculation of pump tolerances. Changing it may affect the results of this calculation." sqref="AC28:AE28 AE31 AF28:AH30 AG31:AH31 AC32:AH33 Z34:AH34 Z28:AB33 Y28:Y34 Y35:AH37" xr:uid="{00000000-0002-0000-0100-000001000000}"/>
    <dataValidation type="list" allowBlank="1" showInputMessage="1" showErrorMessage="1" sqref="P30" xr:uid="{00000000-0002-0000-0100-000002000000}">
      <formula1>$AB$32:$AG$32</formula1>
    </dataValidation>
    <dataValidation allowBlank="1" showInputMessage="1" showErrorMessage="1" promptTitle="Warning!" prompt="This cell is used in the TR185 (sludge) calculations. Changing it may affect the results of the calculation." sqref="AH86:AH134 AI92 AI86:AI89 AJ86:AN93 AI94:AN134 C90:M92" xr:uid="{00000000-0002-0000-0100-000003000000}"/>
    <dataValidation allowBlank="1" showInputMessage="1" showErrorMessage="1" promptTitle="Warning!" prompt="Default value of 101.3 kN/m2 should be suitable for most applications." sqref="C8" xr:uid="{00000000-0002-0000-0100-000004000000}"/>
    <dataValidation allowBlank="1" showInputMessage="1" showErrorMessage="1" promptTitle="Warning!" prompt="This cell may contain a formula that is used in this calculation. Changing it may affect the results of the calculation." sqref="B65:B75 B62:B63 AI90:AI91 C62:M89 B77:B87 AI93 C101:M367 C93:M93 B89:B367 A62:A367 C94 C96:C100 N62:P367 D94:M100" xr:uid="{00000000-0002-0000-0100-000005000000}"/>
    <dataValidation errorStyle="warning" allowBlank="1" showInputMessage="1" showErrorMessage="1" errorTitle="Warning!" error="This cell contains a formula. Changing it may affect the results of this spreadsheet." promptTitle="Warning!!" prompt="This cell contains a formula. Changing it may affect the results of this calculation." sqref="C6:F6 C25:C40 D44:M44 U4:U5 V4 P18:S18 V18:W19 C51:M58 AE18:AF18 U37:U38 U44 D22:M22 O50:R58 D49:M50 AA18:AB24 T30:T31 X30:X31 R19:Z24 AC19:AF24 E12:M12" xr:uid="{00000000-0002-0000-0100-000006000000}"/>
    <dataValidation type="list" showInputMessage="1" showErrorMessage="1" sqref="B25:B40" xr:uid="{00000000-0002-0000-0100-000007000000}">
      <formula1>$AA$90:$AA$171</formula1>
    </dataValidation>
    <dataValidation type="list" allowBlank="1" showInputMessage="1" showErrorMessage="1" sqref="D17:M17" xr:uid="{00000000-0002-0000-0100-000008000000}">
      <formula1>"Common Suction,Pump Suction,Pump Disch'ge,Rising Main"</formula1>
    </dataValidation>
    <dataValidation type="list" allowBlank="1" showInputMessage="1" showErrorMessage="1" sqref="J6" xr:uid="{00000000-0002-0000-0100-000009000000}">
      <formula1>$AI$127:$AI$129</formula1>
    </dataValidation>
    <dataValidation type="list" allowBlank="1" showInputMessage="1" showErrorMessage="1" sqref="J4" xr:uid="{00000000-0002-0000-0100-00000A000000}">
      <formula1>$AK$127:$AK$133</formula1>
    </dataValidation>
    <dataValidation type="list" allowBlank="1" showDropDown="1" showInputMessage="1" showErrorMessage="1" errorTitle="&quot;Invalid&quot; temperature value used" error="Temperatures must be between 1 and 100 degC and be in 1 deg increments." sqref="D21:M21" xr:uid="{00000000-0002-0000-0100-00000B000000}">
      <formula1>$AQ$98:$AQ$198</formula1>
    </dataValidation>
    <dataValidation type="list" errorStyle="warning" allowBlank="1" showDropDown="1" showInputMessage="1" showErrorMessage="1" errorTitle="&quot;Invalid&quot; temperature value used" error="Temperatures between 1 and 100 degC must be in 1 deg increments; between 100 and 200 degC must be in 2 deg increments; and from 200 to 250 degC must be in 5 deg incremements." sqref="N21" xr:uid="{00000000-0002-0000-0100-00000C000000}">
      <formula1>$AQ$98:$AQ$198</formula1>
    </dataValidation>
    <dataValidation type="list" allowBlank="1" showInputMessage="1" showErrorMessage="1" sqref="R7" xr:uid="{00000000-0002-0000-0100-00000D000000}">
      <formula1>$D$12:$N$12</formula1>
    </dataValidation>
  </dataValidations>
  <pageMargins left="0.59055118110236227" right="0.39370078740157483" top="0.39370078740157483" bottom="0.59055118110236227" header="0.3" footer="0.3"/>
  <pageSetup paperSize="9" scale="62" fitToWidth="0" fitToHeight="0" orientation="landscape" r:id="rId1"/>
  <headerFooter alignWithMargins="0">
    <oddHeader xml:space="preserve">&amp;L&amp;"Lucida Sans,Demibold Roman"&amp;16
</oddHeader>
    <oddFooter>&amp;L&amp;F&amp;C&amp;P of &amp;N&amp;R&amp;A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actice Document" ma:contentTypeID="0x0101007BD61AFCC8A643B8924AB3F7EE18260101002EEFBF5214A43947891C2903100F34BA" ma:contentTypeVersion="29" ma:contentTypeDescription="Base content type for our practice documents" ma:contentTypeScope="" ma:versionID="65a8b26ec8b79facbefe5c1e698d66e8">
  <xsd:schema xmlns:xsd="http://www.w3.org/2001/XMLSchema" xmlns:xs="http://www.w3.org/2001/XMLSchema" xmlns:p="http://schemas.microsoft.com/office/2006/metadata/properties" xmlns:ns1="http://schemas.microsoft.com/sharepoint/v3" xmlns:ns2="8145a80a-285c-402c-a252-54eebea1d173" xmlns:ns3="980b2c76-4eb4-4926-991a-bb246786b55e" xmlns:ns4="b306c36b-682d-4754-ac63-c97b5e5c4139" xmlns:ns5="a0388c9b-86e1-4c13-bca3-d1eff2649f42" targetNamespace="http://schemas.microsoft.com/office/2006/metadata/properties" ma:root="true" ma:fieldsID="b28429826712e7d9d464c8c64946a865" ns1:_="" ns2:_="" ns3:_="" ns4:_="" ns5:_="">
    <xsd:import namespace="http://schemas.microsoft.com/sharepoint/v3"/>
    <xsd:import namespace="8145a80a-285c-402c-a252-54eebea1d173"/>
    <xsd:import namespace="980b2c76-4eb4-4926-991a-bb246786b55e"/>
    <xsd:import namespace="b306c36b-682d-4754-ac63-c97b5e5c4139"/>
    <xsd:import namespace="a0388c9b-86e1-4c13-bca3-d1eff2649f42"/>
    <xsd:element name="properties">
      <xsd:complexType>
        <xsd:sequence>
          <xsd:element name="documentManagement">
            <xsd:complexType>
              <xsd:all>
                <xsd:element ref="ns2:ae9bb53e23dd4ea8b7168af87e1050c3" minOccurs="0"/>
                <xsd:element ref="ns3:TaxCatchAll" minOccurs="0"/>
                <xsd:element ref="ns3:TaxCatchAllLabel" minOccurs="0"/>
                <xsd:element ref="ns3:TaxKeywordTaxHTField" minOccurs="0"/>
                <xsd:element ref="ns1:AverageRating" minOccurs="0"/>
                <xsd:element ref="ns1:RatingCount" minOccurs="0"/>
                <xsd:element ref="ns1:RatedBy" minOccurs="0"/>
                <xsd:element ref="ns1:Ratings" minOccurs="0"/>
                <xsd:element ref="ns1:LikesCount" minOccurs="0"/>
                <xsd:element ref="ns1:LikedBy" minOccurs="0"/>
                <xsd:element ref="ns4:Originating_x0020_Organisation" minOccurs="0"/>
                <xsd:element ref="ns3:_dlc_DocId" minOccurs="0"/>
                <xsd:element ref="ns3:_dlc_DocIdUrl" minOccurs="0"/>
                <xsd:element ref="ns3:_dlc_DocIdPersistId" minOccurs="0"/>
                <xsd:element ref="ns2:SharedWithUsers" minOccurs="0"/>
                <xsd:element ref="ns2:SharedWithDetails" minOccurs="0"/>
                <xsd:element ref="ns5:be65157d2cfe4c34a6ab81cf3678c8fd" minOccurs="0"/>
                <xsd:element ref="ns5:bb8bed3aedfc459789cfbe7d5d670306" minOccurs="0"/>
                <xsd:element ref="ns5:f861f1c901f94b1ab83971f20c8d7a44"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4" nillable="true" ma:displayName="Rating (0-5)" ma:decimals="2" ma:description="Average value of all the ratings that have been submitted" ma:internalName="AverageRating" ma:readOnly="true">
      <xsd:simpleType>
        <xsd:restriction base="dms:Number"/>
      </xsd:simpleType>
    </xsd:element>
    <xsd:element name="RatingCount" ma:index="15" nillable="true" ma:displayName="Number of Ratings" ma:decimals="0" ma:description="Number of ratings submitted" ma:internalName="RatingCount" ma:readOnly="true">
      <xsd:simpleType>
        <xsd:restriction base="dms:Number"/>
      </xsd:simpleType>
    </xsd:element>
    <xsd:element name="RatedBy" ma:index="16" nillable="true" ma:displayName="Rated By" ma:description="Users rated the item." ma:hidden="true" ma:list="UserInfo" ma:internalName="RatedBy"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7" nillable="true" ma:displayName="User ratings" ma:description="User ratings for the item" ma:hidden="true" ma:internalName="Ratings" ma:readOnly="false">
      <xsd:simpleType>
        <xsd:restriction base="dms:Note"/>
      </xsd:simpleType>
    </xsd:element>
    <xsd:element name="LikesCount" ma:index="18" nillable="true" ma:displayName="Number of Likes" ma:internalName="LikesCount">
      <xsd:simpleType>
        <xsd:restriction base="dms:Unknown"/>
      </xsd:simpleType>
    </xsd:element>
    <xsd:element name="LikedBy" ma:index="19" nillable="true" ma:displayName="Liked By" ma:hidden="true" ma:list="UserInfo" ma:internalName="LikedBy"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145a80a-285c-402c-a252-54eebea1d173" elementFormDefault="qualified">
    <xsd:import namespace="http://schemas.microsoft.com/office/2006/documentManagement/types"/>
    <xsd:import namespace="http://schemas.microsoft.com/office/infopath/2007/PartnerControls"/>
    <xsd:element name="ae9bb53e23dd4ea8b7168af87e1050c3" ma:index="8" nillable="true" ma:taxonomy="true" ma:internalName="ae9bb53e23dd4ea8b7168af87e1050c3" ma:taxonomyFieldName="Our_Purpose" ma:displayName="Purpose" ma:default="" ma:fieldId="{ae9bb53e-23dd-4ea8-b716-8af87e1050c3}" ma:taxonomyMulti="true" ma:sspId="3bee4c5c-8f43-4f7f-9637-07f983ecca3d" ma:termSetId="3f995483-851a-497b-ac08-91c79822ab85" ma:anchorId="00000000-0000-0000-0000-000000000000" ma:open="false" ma:isKeyword="false">
      <xsd:complexType>
        <xsd:sequence>
          <xsd:element ref="pc:Terms" minOccurs="0" maxOccurs="1"/>
        </xsd:sequence>
      </xsd:complexType>
    </xsd:element>
    <xsd:element name="SharedWithUsers" ma:index="24"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description="" ma:internalName="SharedWithDetails" ma:readOnly="true">
      <xsd:simpleType>
        <xsd:restriction base="dms:Note">
          <xsd:maxLength value="255"/>
        </xsd:restriction>
      </xsd:simpleType>
    </xsd:element>
    <xsd:element name="LastSharedByUser" ma:index="33" nillable="true" ma:displayName="Last Shared By User" ma:description="" ma:internalName="LastSharedByUser" ma:readOnly="true">
      <xsd:simpleType>
        <xsd:restriction base="dms:Note">
          <xsd:maxLength value="255"/>
        </xsd:restriction>
      </xsd:simpleType>
    </xsd:element>
    <xsd:element name="LastSharedByTime" ma:index="3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80b2c76-4eb4-4926-991a-bb246786b55e" elementFormDefault="qualified">
    <xsd:import namespace="http://schemas.microsoft.com/office/2006/documentManagement/types"/>
    <xsd:import namespace="http://schemas.microsoft.com/office/infopath/2007/PartnerControls"/>
    <xsd:element name="TaxCatchAll" ma:index="9" nillable="true" ma:displayName="Taxonomy Catch All Column" ma:description="" ma:hidden="true" ma:list="{747d0cb0-4741-45a5-bc18-0ed681b2dedc}" ma:internalName="TaxCatchAll" ma:showField="CatchAllData" ma:web="8145a80a-285c-402c-a252-54eebea1d17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747d0cb0-4741-45a5-bc18-0ed681b2dedc}" ma:internalName="TaxCatchAllLabel" ma:readOnly="true" ma:showField="CatchAllDataLabel" ma:web="8145a80a-285c-402c-a252-54eebea1d173">
      <xsd:complexType>
        <xsd:complexContent>
          <xsd:extension base="dms:MultiChoiceLookup">
            <xsd:sequence>
              <xsd:element name="Value" type="dms:Lookup" maxOccurs="unbounded" minOccurs="0" nillable="true"/>
            </xsd:sequence>
          </xsd:extension>
        </xsd:complexContent>
      </xsd:complexType>
    </xsd:element>
    <xsd:element name="TaxKeywordTaxHTField" ma:index="12" nillable="true" ma:taxonomy="true" ma:internalName="TaxKeywordTaxHTField" ma:taxonomyFieldName="TaxKeyword" ma:displayName="Enterprise Keywords" ma:fieldId="{23f27201-bee3-471e-b2e7-b64fd8b7ca38}" ma:taxonomyMulti="true" ma:sspId="3bee4c5c-8f43-4f7f-9637-07f983ecca3d" ma:termSetId="00000000-0000-0000-0000-000000000000" ma:anchorId="00000000-0000-0000-0000-000000000000" ma:open="true" ma:isKeyword="tru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306c36b-682d-4754-ac63-c97b5e5c4139" elementFormDefault="qualified">
    <xsd:import namespace="http://schemas.microsoft.com/office/2006/documentManagement/types"/>
    <xsd:import namespace="http://schemas.microsoft.com/office/infopath/2007/PartnerControls"/>
    <xsd:element name="Originating_x0020_Organisation" ma:index="20" nillable="true" ma:displayName="Originating Organisation" ma:internalName="Originating_x0020_Organisa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388c9b-86e1-4c13-bca3-d1eff2649f42" elementFormDefault="qualified">
    <xsd:import namespace="http://schemas.microsoft.com/office/2006/documentManagement/types"/>
    <xsd:import namespace="http://schemas.microsoft.com/office/infopath/2007/PartnerControls"/>
    <xsd:element name="be65157d2cfe4c34a6ab81cf3678c8fd" ma:index="28" ma:taxonomy="true" ma:internalName="be65157d2cfe4c34a6ab81cf3678c8fd" ma:taxonomyFieldName="Tags" ma:displayName="Tags" ma:default="" ma:fieldId="{be65157d-2cfe-4c34-a6ab-81cf3678c8fd}" ma:taxonomyMulti="true" ma:sspId="3bee4c5c-8f43-4f7f-9637-07f983ecca3d" ma:termSetId="92e08396-7f33-4200-b86e-f51a9017fdaa" ma:anchorId="00000000-0000-0000-0000-000000000000" ma:open="true" ma:isKeyword="false">
      <xsd:complexType>
        <xsd:sequence>
          <xsd:element ref="pc:Terms" minOccurs="0" maxOccurs="1"/>
        </xsd:sequence>
      </xsd:complexType>
    </xsd:element>
    <xsd:element name="bb8bed3aedfc459789cfbe7d5d670306" ma:index="30" nillable="true" ma:taxonomy="true" ma:internalName="bb8bed3aedfc459789cfbe7d5d670306" ma:taxonomyFieldName="Client" ma:displayName="Client" ma:default="" ma:fieldId="{bb8bed3a-edfc-4597-89cf-be7d5d670306}" ma:taxonomyMulti="true" ma:sspId="3bee4c5c-8f43-4f7f-9637-07f983ecca3d" ma:termSetId="fe0cfcba-f8dd-4f20-af39-6068bab92bc2" ma:anchorId="00000000-0000-0000-0000-000000000000" ma:open="true" ma:isKeyword="false">
      <xsd:complexType>
        <xsd:sequence>
          <xsd:element ref="pc:Terms" minOccurs="0" maxOccurs="1"/>
        </xsd:sequence>
      </xsd:complexType>
    </xsd:element>
    <xsd:element name="f861f1c901f94b1ab83971f20c8d7a44" ma:index="32" nillable="true" ma:taxonomy="true" ma:internalName="f861f1c901f94b1ab83971f20c8d7a44" ma:taxonomyFieldName="Supplier" ma:displayName="Supplier" ma:default="" ma:fieldId="{f861f1c9-01f9-4b1a-b839-71f20c8d7a44}" ma:taxonomyMulti="true" ma:sspId="3bee4c5c-8f43-4f7f-9637-07f983ecca3d" ma:termSetId="1c03c47c-1dd1-4a03-a33b-09bf7c7fe501"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980b2c76-4eb4-4926-991a-bb246786b55e">
      <Terms xmlns="http://schemas.microsoft.com/office/infopath/2007/PartnerControls">
        <TermInfo xmlns="http://schemas.microsoft.com/office/infopath/2007/PartnerControls">
          <TermName xmlns="http://schemas.microsoft.com/office/infopath/2007/PartnerControls">Calculation Template</TermName>
          <TermId xmlns="http://schemas.microsoft.com/office/infopath/2007/PartnerControls">0f3e207c-5d00-4470-9559-858ce0fdd444</TermId>
        </TermInfo>
        <TermInfo xmlns="http://schemas.microsoft.com/office/infopath/2007/PartnerControls">
          <TermName xmlns="http://schemas.microsoft.com/office/infopath/2007/PartnerControls">Pump</TermName>
          <TermId xmlns="http://schemas.microsoft.com/office/infopath/2007/PartnerControls">07dc3746-65e4-4c40-8ed9-c66a3888286c</TermId>
        </TermInfo>
      </Terms>
    </TaxKeywordTaxHTField>
    <LikesCount xmlns="http://schemas.microsoft.com/sharepoint/v3" xsi:nil="true"/>
    <Ratings xmlns="http://schemas.microsoft.com/sharepoint/v3" xsi:nil="true"/>
    <Originating_x0020_Organisation xmlns="b306c36b-682d-4754-ac63-c97b5e5c4139" xsi:nil="true"/>
    <LikedBy xmlns="http://schemas.microsoft.com/sharepoint/v3">
      <UserInfo>
        <DisplayName/>
        <AccountId xsi:nil="true"/>
        <AccountType/>
      </UserInfo>
    </LikedBy>
    <ae9bb53e23dd4ea8b7168af87e1050c3 xmlns="8145a80a-285c-402c-a252-54eebea1d173">
      <Terms xmlns="http://schemas.microsoft.com/office/infopath/2007/PartnerControls">
        <TermInfo xmlns="http://schemas.microsoft.com/office/infopath/2007/PartnerControls">
          <TermName xmlns="http://schemas.microsoft.com/office/infopath/2007/PartnerControls">Procedure</TermName>
          <TermId xmlns="http://schemas.microsoft.com/office/infopath/2007/PartnerControls">3337b22b-e018-40e7-b460-ec3711dfc06d</TermId>
        </TermInfo>
      </Terms>
    </ae9bb53e23dd4ea8b7168af87e1050c3>
    <TaxCatchAll xmlns="980b2c76-4eb4-4926-991a-bb246786b55e">
      <Value>2987</Value>
      <Value>1884</Value>
      <Value>98</Value>
    </TaxCatchAll>
    <RatedBy xmlns="http://schemas.microsoft.com/sharepoint/v3">
      <UserInfo>
        <DisplayName/>
        <AccountId xsi:nil="true"/>
        <AccountType/>
      </UserInfo>
    </RatedBy>
    <_dlc_DocId xmlns="980b2c76-4eb4-4926-991a-bb246786b55e">PRAC-1684985718-95</_dlc_DocId>
    <_dlc_DocIdUrl xmlns="980b2c76-4eb4-4926-991a-bb246786b55e">
      <Url>https://mottmac.sharepoint.com/sites/Practices/mechanicalengineering/_layouts/15/DocIdRedir.aspx?ID=PRAC-1684985718-95</Url>
      <Description>PRAC-1684985718-95</Description>
    </_dlc_DocIdUrl>
    <be65157d2cfe4c34a6ab81cf3678c8fd xmlns="a0388c9b-86e1-4c13-bca3-d1eff2649f42">
      <Terms xmlns="http://schemas.microsoft.com/office/infopath/2007/PartnerControls"/>
    </be65157d2cfe4c34a6ab81cf3678c8fd>
    <bb8bed3aedfc459789cfbe7d5d670306 xmlns="a0388c9b-86e1-4c13-bca3-d1eff2649f42">
      <Terms xmlns="http://schemas.microsoft.com/office/infopath/2007/PartnerControls"/>
    </bb8bed3aedfc459789cfbe7d5d670306>
    <f861f1c901f94b1ab83971f20c8d7a44 xmlns="a0388c9b-86e1-4c13-bca3-d1eff2649f42">
      <Terms xmlns="http://schemas.microsoft.com/office/infopath/2007/PartnerControls"/>
    </f861f1c901f94b1ab83971f20c8d7a44>
  </documentManagement>
</p:properties>
</file>

<file path=customXml/itemProps1.xml><?xml version="1.0" encoding="utf-8"?>
<ds:datastoreItem xmlns:ds="http://schemas.openxmlformats.org/officeDocument/2006/customXml" ds:itemID="{2BA0210A-CFEC-46E6-BD1E-83C4C442CCC1}"/>
</file>

<file path=customXml/itemProps2.xml><?xml version="1.0" encoding="utf-8"?>
<ds:datastoreItem xmlns:ds="http://schemas.openxmlformats.org/officeDocument/2006/customXml" ds:itemID="{98BF8923-8D3E-4860-906F-DCE7B507EFF7}"/>
</file>

<file path=customXml/itemProps3.xml><?xml version="1.0" encoding="utf-8"?>
<ds:datastoreItem xmlns:ds="http://schemas.openxmlformats.org/officeDocument/2006/customXml" ds:itemID="{2F69DA06-01C0-48ED-A23D-0807CC574213}"/>
</file>

<file path=customXml/itemProps4.xml><?xml version="1.0" encoding="utf-8"?>
<ds:datastoreItem xmlns:ds="http://schemas.openxmlformats.org/officeDocument/2006/customXml" ds:itemID="{4E226182-8ACF-4491-951F-EC10A361B138}"/>
</file>

<file path=docProps/app.xml><?xml version="1.0" encoding="utf-8"?>
<Properties xmlns="http://schemas.openxmlformats.org/officeDocument/2006/extended-properties" xmlns:vt="http://schemas.openxmlformats.org/officeDocument/2006/docPropsVTypes">
  <Application>Microsoft Excel Online</Application>
  <Manager/>
  <Company>Mott MacDonald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Cunningham</dc:creator>
  <cp:keywords>Calculation Template; Pump</cp:keywords>
  <dc:description/>
  <cp:lastModifiedBy>Harry Barker</cp:lastModifiedBy>
  <cp:revision/>
  <dcterms:created xsi:type="dcterms:W3CDTF">2015-09-15T19:02:13Z</dcterms:created>
  <dcterms:modified xsi:type="dcterms:W3CDTF">2022-07-20T14:46:32Z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0x0101007BD61AFCC8A643B8924AB3F7EE18260101002EEFBF5214A43947891C2903100F34BA</vt:lpwstr>
  </property>
  <property fmtid="{D5CDD505-2E9C-101B-9397-08002B2CF9AE}" pid="3" name="_dlc_DocIdItemGuid">
    <vt:lpwstr>0f8dc136-7988-47b1-900d-59517b2a4dcc</vt:lpwstr>
  </property>
  <property fmtid="{D5CDD505-2E9C-101B-9397-08002B2CF9AE}" pid="4" name="TaxKeyword">
    <vt:lpwstr>2987;#Calculation Template|0f3e207c-5d00-4470-9559-858ce0fdd444;#1884;#Pump|07dc3746-65e4-4c40-8ed9-c66a3888286c</vt:lpwstr>
  </property>
  <property fmtid="{D5CDD505-2E9C-101B-9397-08002B2CF9AE}" pid="5" name="Our_Purpose">
    <vt:lpwstr>98;#Procedure|3337b22b-e018-40e7-b460-ec3711dfc06d</vt:lpwstr>
  </property>
</Properties>
</file>