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<sst xmlns="http://schemas.openxmlformats.org/spreadsheetml/2006/main" count="638" uniqueCount="141">
  <si>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</si>
  <si>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</si>
  <si>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</si>
  <si>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</si>
  <si>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</si>
  <si>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</si>
  <si>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</si>
  <si>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</si>
  <si>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</si>
  <si>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</si>
  <si>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</si>
  <si>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</si>
  <si>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</si>
  <si>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</si>
  <si>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</si>
  <si>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</si>
  <si>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</si>
  <si>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</si>
  <si>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</si>
  <si>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</si>
  <si>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</si>
  <si>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</si>
  <si>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</si>
  <si>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</si>
  <si>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</si>
  <si>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</si>
  <si>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</si>
  <si>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</si>
  <si>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</si>
  <si>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</si>
  <si>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</si>
  <si>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</si>
  <si>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</si>
  <si>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</si>
  <si>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</si>
  <si>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</si>
  <si>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</si>
  <si>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</si>
  <si>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</si>
  <si>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</si>
  <si>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</si>
  <si>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</si>
  <si>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</si>
  <si>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</si>
  <si>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</si>
  <si>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</si>
  <si>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</si>
  <si>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</si>
  <si>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</si>
  <si>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3.本表の作成に当たって使用した親会社株主に帰属する当期純利益及び純資産は、2023年1月期～2023年12月期の確定数値である。</t>
  </si>
  <si>
    <t xml:space="preserve">       3.Figures of Net Income and Net Assets are based on the fixed figures during the term from January of 2023 to December of 2023.</t>
  </si>
  <si>
    <t xml:space="preserve">    2.本表の作成に当たって使用した当期純利益及び純資産は、2023年1月期～2023年12月期の確定数値である。</t>
  </si>
  <si>
    <t xml:space="preserve">         the term from January of 2023 to December of 2023.</t>
  </si>
  <si>
    <t>2024/03</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</si>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</sst>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1642</f>
      </c>
      <c r="G5" s="10">
        <f>18.3</f>
      </c>
      <c r="H5" s="10">
        <f>1.4</f>
      </c>
      <c r="I5" s="11">
        <f>164.18</f>
      </c>
      <c r="J5" s="11">
        <f>2146.71</f>
      </c>
      <c r="K5" s="10">
        <f>20.2</f>
      </c>
      <c r="L5" s="10">
        <f>1.6</f>
      </c>
      <c r="M5" s="21">
        <f>48449103106735</f>
      </c>
      <c r="N5" s="21">
        <f>621815335560771</f>
      </c>
      <c r="O5" s="3"/>
      <c r="P5" s="3"/>
      <c r="Q5" s="4"/>
      <c r="R5" s="4"/>
      <c r="S5" s="4"/>
      <c r="T5" s="4"/>
      <c r="U5" s="4"/>
      <c r="V5" s="4"/>
      <c r="W5" s="4"/>
      <c r="X5" s="4"/>
      <c r="Y5" s="4"/>
      <c r="Z5" s="4"/>
      <c r="AA5" s="4"/>
    </row>
    <row r="6">
      <c r="A6" s="22" t="s">
        <v>53</v>
      </c>
      <c r="B6" s="22" t="s">
        <v>54</v>
      </c>
      <c r="C6" s="22" t="s">
        <v>55</v>
      </c>
      <c r="D6" s="22" t="s">
        <v>58</v>
      </c>
      <c r="E6" s="22" t="s">
        <v>59</v>
      </c>
      <c r="F6" s="9">
        <f>1527</f>
      </c>
      <c r="G6" s="10">
        <f>18.9</f>
      </c>
      <c r="H6" s="10">
        <f>1.5</f>
      </c>
      <c r="I6" s="11">
        <f>162.64</f>
      </c>
      <c r="J6" s="11">
        <f>2046.56</f>
      </c>
      <c r="K6" s="10">
        <f>20.5</f>
      </c>
      <c r="L6" s="10">
        <f>1.7</f>
      </c>
      <c r="M6" s="21">
        <f>42564281205255</f>
      </c>
      <c r="N6" s="21">
        <f>513052950657771</f>
      </c>
    </row>
    <row r="7">
      <c r="A7" s="22" t="s">
        <v>53</v>
      </c>
      <c r="B7" s="22" t="s">
        <v>54</v>
      </c>
      <c r="C7" s="22" t="s">
        <v>55</v>
      </c>
      <c r="D7" s="22" t="s">
        <v>60</v>
      </c>
      <c r="E7" s="22" t="s">
        <v>61</v>
      </c>
      <c r="F7" s="9">
        <f>715</f>
      </c>
      <c r="G7" s="10">
        <f>20.4</f>
      </c>
      <c r="H7" s="10">
        <f>1.4</f>
      </c>
      <c r="I7" s="11">
        <f>171.24</f>
      </c>
      <c r="J7" s="11">
        <f>2465.03</f>
      </c>
      <c r="K7" s="10">
        <f>22.3</f>
      </c>
      <c r="L7" s="10">
        <f>1.8</f>
      </c>
      <c r="M7" s="21">
        <f>23633531013240</f>
      </c>
      <c r="N7" s="21">
        <f>295220507016044</f>
      </c>
    </row>
    <row r="8">
      <c r="A8" s="22" t="s">
        <v>53</v>
      </c>
      <c r="B8" s="22" t="s">
        <v>54</v>
      </c>
      <c r="C8" s="22" t="s">
        <v>55</v>
      </c>
      <c r="D8" s="22" t="s">
        <v>62</v>
      </c>
      <c r="E8" s="22" t="s">
        <v>63</v>
      </c>
      <c r="F8" s="9">
        <f>812</f>
      </c>
      <c r="G8" s="10">
        <f>17.4</f>
      </c>
      <c r="H8" s="10">
        <f>1.6</f>
      </c>
      <c r="I8" s="11">
        <f>155.07</f>
      </c>
      <c r="J8" s="11">
        <f>1678.08</f>
      </c>
      <c r="K8" s="10">
        <f>18.3</f>
      </c>
      <c r="L8" s="10">
        <f>1.6</f>
      </c>
      <c r="M8" s="21">
        <f>18930750192015</f>
      </c>
      <c r="N8" s="21">
        <f>217832443641727</f>
      </c>
    </row>
    <row r="9">
      <c r="A9" s="22" t="s">
        <v>53</v>
      </c>
      <c r="B9" s="22" t="s">
        <v>54</v>
      </c>
      <c r="C9" s="22" t="s">
        <v>55</v>
      </c>
      <c r="D9" s="22" t="s">
        <v>64</v>
      </c>
      <c r="E9" s="22" t="s">
        <v>65</v>
      </c>
      <c r="F9" s="9">
        <f>6</f>
      </c>
      <c r="G9" s="10">
        <f>13.1</f>
      </c>
      <c r="H9" s="10">
        <f>1.1</f>
      </c>
      <c r="I9" s="11">
        <f>181.5</f>
      </c>
      <c r="J9" s="11">
        <f>2257.68</f>
      </c>
      <c r="K9" s="10">
        <f>14.3</f>
      </c>
      <c r="L9" s="10">
        <f>1.1</f>
      </c>
      <c r="M9" s="21">
        <f>54244000000</f>
      </c>
      <c r="N9" s="21">
        <f>679567000000</f>
      </c>
    </row>
    <row r="10">
      <c r="A10" s="22" t="s">
        <v>53</v>
      </c>
      <c r="B10" s="22" t="s">
        <v>54</v>
      </c>
      <c r="C10" s="22" t="s">
        <v>55</v>
      </c>
      <c r="D10" s="22" t="s">
        <v>66</v>
      </c>
      <c r="E10" s="22" t="s">
        <v>67</v>
      </c>
      <c r="F10" s="9">
        <f>5</f>
      </c>
      <c r="G10" s="10">
        <f>5</f>
      </c>
      <c r="H10" s="10">
        <f>0.7</f>
      </c>
      <c r="I10" s="11">
        <f>821.71</f>
      </c>
      <c r="J10" s="11">
        <f>5577.33</f>
      </c>
      <c r="K10" s="10">
        <f>7.4</f>
      </c>
      <c r="L10" s="10">
        <f>0.7</f>
      </c>
      <c r="M10" s="21">
        <f>478146000000</f>
      </c>
      <c r="N10" s="21">
        <f>5165292000000</f>
      </c>
    </row>
    <row r="11">
      <c r="A11" s="22" t="s">
        <v>53</v>
      </c>
      <c r="B11" s="22" t="s">
        <v>54</v>
      </c>
      <c r="C11" s="22" t="s">
        <v>55</v>
      </c>
      <c r="D11" s="22" t="s">
        <v>68</v>
      </c>
      <c r="E11" s="22" t="s">
        <v>69</v>
      </c>
      <c r="F11" s="9">
        <f>75</f>
      </c>
      <c r="G11" s="10">
        <f>17.9</f>
      </c>
      <c r="H11" s="10">
        <f>1.2</f>
      </c>
      <c r="I11" s="11">
        <f>143.62</f>
      </c>
      <c r="J11" s="11">
        <f>2213.65</f>
      </c>
      <c r="K11" s="10">
        <f>14.8</f>
      </c>
      <c r="L11" s="10">
        <f>1.2</f>
      </c>
      <c r="M11" s="21">
        <f>1397712000000</f>
      </c>
      <c r="N11" s="21">
        <f>16805870978000</f>
      </c>
    </row>
    <row r="12">
      <c r="A12" s="22" t="s">
        <v>53</v>
      </c>
      <c r="B12" s="22" t="s">
        <v>54</v>
      </c>
      <c r="C12" s="22" t="s">
        <v>55</v>
      </c>
      <c r="D12" s="22" t="s">
        <v>70</v>
      </c>
      <c r="E12" s="22" t="s">
        <v>71</v>
      </c>
      <c r="F12" s="9">
        <f>68</f>
      </c>
      <c r="G12" s="10">
        <f>25.4</f>
      </c>
      <c r="H12" s="10">
        <f>1.3</f>
      </c>
      <c r="I12" s="11">
        <f>115.16</f>
      </c>
      <c r="J12" s="11">
        <f>2167.25</f>
      </c>
      <c r="K12" s="10">
        <f>22.2</f>
      </c>
      <c r="L12" s="10">
        <f>1.7</f>
      </c>
      <c r="M12" s="21">
        <f>1505552000000</f>
      </c>
      <c r="N12" s="21">
        <f>19541809739064</f>
      </c>
    </row>
    <row r="13">
      <c r="A13" s="22" t="s">
        <v>53</v>
      </c>
      <c r="B13" s="22" t="s">
        <v>54</v>
      </c>
      <c r="C13" s="22" t="s">
        <v>55</v>
      </c>
      <c r="D13" s="22" t="s">
        <v>72</v>
      </c>
      <c r="E13" s="22" t="s">
        <v>73</v>
      </c>
      <c r="F13" s="9">
        <f>21</f>
      </c>
      <c r="G13" s="10">
        <f>22.5</f>
      </c>
      <c r="H13" s="10">
        <f>1.1</f>
      </c>
      <c r="I13" s="11">
        <f>117</f>
      </c>
      <c r="J13" s="11">
        <f>2502.83</f>
      </c>
      <c r="K13" s="10">
        <f>25.5</f>
      </c>
      <c r="L13" s="10">
        <f>0.9</f>
      </c>
      <c r="M13" s="21">
        <f>139856709440</f>
      </c>
      <c r="N13" s="21">
        <f>3767796709440</f>
      </c>
    </row>
    <row r="14">
      <c r="A14" s="22" t="s">
        <v>53</v>
      </c>
      <c r="B14" s="22" t="s">
        <v>54</v>
      </c>
      <c r="C14" s="22" t="s">
        <v>55</v>
      </c>
      <c r="D14" s="22" t="s">
        <v>74</v>
      </c>
      <c r="E14" s="22" t="s">
        <v>75</v>
      </c>
      <c r="F14" s="9">
        <f>10</f>
      </c>
      <c r="G14" s="10">
        <f>30.9</f>
      </c>
      <c r="H14" s="10">
        <f>0.7</f>
      </c>
      <c r="I14" s="11">
        <f>61.8</f>
      </c>
      <c r="J14" s="11">
        <f>2772.74</f>
      </c>
      <c r="K14" s="10">
        <f>107.4</f>
      </c>
      <c r="L14" s="10">
        <f>0.7</f>
      </c>
      <c r="M14" s="21">
        <f>17634000000</f>
      </c>
      <c r="N14" s="21">
        <f>2590229000000</f>
      </c>
    </row>
    <row r="15">
      <c r="A15" s="22" t="s">
        <v>53</v>
      </c>
      <c r="B15" s="22" t="s">
        <v>54</v>
      </c>
      <c r="C15" s="22" t="s">
        <v>55</v>
      </c>
      <c r="D15" s="22" t="s">
        <v>76</v>
      </c>
      <c r="E15" s="22" t="s">
        <v>77</v>
      </c>
      <c r="F15" s="9">
        <f>123</f>
      </c>
      <c r="G15" s="10">
        <f>18</f>
      </c>
      <c r="H15" s="10">
        <f>1.2</f>
      </c>
      <c r="I15" s="11">
        <f>155.74</f>
      </c>
      <c r="J15" s="11">
        <f>2377.07</f>
      </c>
      <c r="K15" s="10">
        <f>22.1</f>
      </c>
      <c r="L15" s="10">
        <f>1.6</f>
      </c>
      <c r="M15" s="21">
        <f>2494180000000</f>
      </c>
      <c r="N15" s="21">
        <f>34526277000000</f>
      </c>
    </row>
    <row r="16">
      <c r="A16" s="22" t="s">
        <v>53</v>
      </c>
      <c r="B16" s="22" t="s">
        <v>54</v>
      </c>
      <c r="C16" s="22" t="s">
        <v>55</v>
      </c>
      <c r="D16" s="22" t="s">
        <v>78</v>
      </c>
      <c r="E16" s="22" t="s">
        <v>79</v>
      </c>
      <c r="F16" s="9">
        <f>34</f>
      </c>
      <c r="G16" s="10">
        <f>23.3</f>
      </c>
      <c r="H16" s="10">
        <f>1.4</f>
      </c>
      <c r="I16" s="11">
        <f>129.92</f>
      </c>
      <c r="J16" s="11">
        <f>2126.71</f>
      </c>
      <c r="K16" s="10">
        <f>29.7</f>
      </c>
      <c r="L16" s="10">
        <f>2.2</f>
      </c>
      <c r="M16" s="21">
        <f>1464566000000</f>
      </c>
      <c r="N16" s="21">
        <f>20131725000000</f>
      </c>
    </row>
    <row r="17">
      <c r="A17" s="22" t="s">
        <v>53</v>
      </c>
      <c r="B17" s="22" t="s">
        <v>54</v>
      </c>
      <c r="C17" s="22" t="s">
        <v>55</v>
      </c>
      <c r="D17" s="22" t="s">
        <v>80</v>
      </c>
      <c r="E17" s="22" t="s">
        <v>81</v>
      </c>
      <c r="F17" s="9">
        <f>6</f>
      </c>
      <c r="G17" s="10">
        <f>10.2</f>
      </c>
      <c r="H17" s="10">
        <f>1</f>
      </c>
      <c r="I17" s="11">
        <f>204.52</f>
      </c>
      <c r="J17" s="11">
        <f>2178.23</f>
      </c>
      <c r="K17" s="10">
        <f>9.7</f>
      </c>
      <c r="L17" s="10">
        <f>0.8</f>
      </c>
      <c r="M17" s="21">
        <f>474131000000</f>
      </c>
      <c r="N17" s="21">
        <f>5778671000000</f>
      </c>
    </row>
    <row r="18">
      <c r="A18" s="22" t="s">
        <v>53</v>
      </c>
      <c r="B18" s="22" t="s">
        <v>54</v>
      </c>
      <c r="C18" s="22" t="s">
        <v>55</v>
      </c>
      <c r="D18" s="22" t="s">
        <v>82</v>
      </c>
      <c r="E18" s="22" t="s">
        <v>83</v>
      </c>
      <c r="F18" s="9">
        <f>11</f>
      </c>
      <c r="G18" s="10">
        <f>12.6</f>
      </c>
      <c r="H18" s="10">
        <f>1.1</f>
      </c>
      <c r="I18" s="11">
        <f>255.45</f>
      </c>
      <c r="J18" s="11">
        <f>2983.48</f>
      </c>
      <c r="K18" s="10">
        <f>12.8</f>
      </c>
      <c r="L18" s="10">
        <f>1.2</f>
      </c>
      <c r="M18" s="21">
        <f>549164000000</f>
      </c>
      <c r="N18" s="21">
        <f>5825941000000</f>
      </c>
    </row>
    <row r="19">
      <c r="A19" s="22" t="s">
        <v>53</v>
      </c>
      <c r="B19" s="22" t="s">
        <v>54</v>
      </c>
      <c r="C19" s="22" t="s">
        <v>55</v>
      </c>
      <c r="D19" s="22" t="s">
        <v>84</v>
      </c>
      <c r="E19" s="22" t="s">
        <v>85</v>
      </c>
      <c r="F19" s="9">
        <f>23</f>
      </c>
      <c r="G19" s="10">
        <f>28.2</f>
      </c>
      <c r="H19" s="10">
        <f>1.5</f>
      </c>
      <c r="I19" s="11">
        <f>163.62</f>
      </c>
      <c r="J19" s="11">
        <f>3085.6</f>
      </c>
      <c r="K19" s="10">
        <f>26.8</f>
      </c>
      <c r="L19" s="10">
        <f>1.1</f>
      </c>
      <c r="M19" s="21">
        <f>256020000000</f>
      </c>
      <c r="N19" s="21">
        <f>6117163577965</f>
      </c>
    </row>
    <row r="20">
      <c r="A20" s="22" t="s">
        <v>53</v>
      </c>
      <c r="B20" s="22" t="s">
        <v>54</v>
      </c>
      <c r="C20" s="22" t="s">
        <v>55</v>
      </c>
      <c r="D20" s="22" t="s">
        <v>86</v>
      </c>
      <c r="E20" s="22" t="s">
        <v>87</v>
      </c>
      <c r="F20" s="9">
        <f>22</f>
      </c>
      <c r="G20" s="10">
        <f>9.3</f>
      </c>
      <c r="H20" s="10">
        <f>0.8</f>
      </c>
      <c r="I20" s="11">
        <f>324.8</f>
      </c>
      <c r="J20" s="11">
        <f>3867.98</f>
      </c>
      <c r="K20" s="10">
        <f>7.1</f>
      </c>
      <c r="L20" s="10">
        <f>0.8</f>
      </c>
      <c r="M20" s="21">
        <f>1197284000000</f>
      </c>
      <c r="N20" s="21">
        <f>10748588000000</f>
      </c>
    </row>
    <row r="21">
      <c r="A21" s="22" t="s">
        <v>53</v>
      </c>
      <c r="B21" s="22" t="s">
        <v>54</v>
      </c>
      <c r="C21" s="22" t="s">
        <v>55</v>
      </c>
      <c r="D21" s="22" t="s">
        <v>88</v>
      </c>
      <c r="E21" s="22" t="s">
        <v>89</v>
      </c>
      <c r="F21" s="9">
        <f>21</f>
      </c>
      <c r="G21" s="10">
        <f>13.3</f>
      </c>
      <c r="H21" s="10">
        <f>0.8</f>
      </c>
      <c r="I21" s="11">
        <f>199.8</f>
      </c>
      <c r="J21" s="11">
        <f>3196.47</f>
      </c>
      <c r="K21" s="10">
        <f>13.4</f>
      </c>
      <c r="L21" s="10">
        <f>0.9</f>
      </c>
      <c r="M21" s="21">
        <f>466062000000</f>
      </c>
      <c r="N21" s="21">
        <f>7098963000000</f>
      </c>
    </row>
    <row r="22">
      <c r="A22" s="22" t="s">
        <v>53</v>
      </c>
      <c r="B22" s="22" t="s">
        <v>54</v>
      </c>
      <c r="C22" s="22" t="s">
        <v>55</v>
      </c>
      <c r="D22" s="22" t="s">
        <v>90</v>
      </c>
      <c r="E22" s="22" t="s">
        <v>91</v>
      </c>
      <c r="F22" s="9">
        <f>29</f>
      </c>
      <c r="G22" s="10">
        <f>20.5</f>
      </c>
      <c r="H22" s="10">
        <f>0.8</f>
      </c>
      <c r="I22" s="11">
        <f>101.65</f>
      </c>
      <c r="J22" s="11">
        <f>2558.23</f>
      </c>
      <c r="K22" s="10">
        <f>19.3</f>
      </c>
      <c r="L22" s="10">
        <f>1</f>
      </c>
      <c r="M22" s="21">
        <f>246472000000</f>
      </c>
      <c r="N22" s="21">
        <f>4777226000000</f>
      </c>
    </row>
    <row r="23">
      <c r="A23" s="22" t="s">
        <v>53</v>
      </c>
      <c r="B23" s="22" t="s">
        <v>54</v>
      </c>
      <c r="C23" s="22" t="s">
        <v>55</v>
      </c>
      <c r="D23" s="22" t="s">
        <v>92</v>
      </c>
      <c r="E23" s="22" t="s">
        <v>93</v>
      </c>
      <c r="F23" s="9">
        <f>112</f>
      </c>
      <c r="G23" s="10">
        <f>21.5</f>
      </c>
      <c r="H23" s="10">
        <f>1.8</f>
      </c>
      <c r="I23" s="11">
        <f>211.4</f>
      </c>
      <c r="J23" s="11">
        <f>2493.72</f>
      </c>
      <c r="K23" s="10">
        <f>21.7</f>
      </c>
      <c r="L23" s="10">
        <f>2</f>
      </c>
      <c r="M23" s="21">
        <f>2345283160000</f>
      </c>
      <c r="N23" s="21">
        <f>25860405114064</f>
      </c>
    </row>
    <row r="24">
      <c r="A24" s="22" t="s">
        <v>53</v>
      </c>
      <c r="B24" s="22" t="s">
        <v>54</v>
      </c>
      <c r="C24" s="22" t="s">
        <v>55</v>
      </c>
      <c r="D24" s="22" t="s">
        <v>94</v>
      </c>
      <c r="E24" s="22" t="s">
        <v>95</v>
      </c>
      <c r="F24" s="9">
        <f>130</f>
      </c>
      <c r="G24" s="10">
        <f>23.7</f>
      </c>
      <c r="H24" s="10">
        <f>2</f>
      </c>
      <c r="I24" s="11">
        <f>195.18</f>
      </c>
      <c r="J24" s="11">
        <f>2315.92</f>
      </c>
      <c r="K24" s="10">
        <f>26.4</f>
      </c>
      <c r="L24" s="10">
        <f>2.5</f>
      </c>
      <c r="M24" s="21">
        <f>5808987643800</f>
      </c>
      <c r="N24" s="21">
        <f>61826244858416</f>
      </c>
    </row>
    <row r="25">
      <c r="A25" s="22" t="s">
        <v>53</v>
      </c>
      <c r="B25" s="22" t="s">
        <v>54</v>
      </c>
      <c r="C25" s="22" t="s">
        <v>55</v>
      </c>
      <c r="D25" s="22" t="s">
        <v>96</v>
      </c>
      <c r="E25" s="22" t="s">
        <v>97</v>
      </c>
      <c r="F25" s="9">
        <f>41</f>
      </c>
      <c r="G25" s="10">
        <f>21.2</f>
      </c>
      <c r="H25" s="10">
        <f>1</f>
      </c>
      <c r="I25" s="11">
        <f>140.61</f>
      </c>
      <c r="J25" s="11">
        <f>2926.44</f>
      </c>
      <c r="K25" s="10">
        <f>21.2</f>
      </c>
      <c r="L25" s="10">
        <f>1.5</f>
      </c>
      <c r="M25" s="21">
        <f>5084014500000</f>
      </c>
      <c r="N25" s="21">
        <f>72571768017095</f>
      </c>
    </row>
    <row r="26">
      <c r="A26" s="22" t="s">
        <v>53</v>
      </c>
      <c r="B26" s="22" t="s">
        <v>54</v>
      </c>
      <c r="C26" s="22" t="s">
        <v>55</v>
      </c>
      <c r="D26" s="22" t="s">
        <v>98</v>
      </c>
      <c r="E26" s="22" t="s">
        <v>99</v>
      </c>
      <c r="F26" s="9">
        <f>27</f>
      </c>
      <c r="G26" s="10">
        <f>22.2</f>
      </c>
      <c r="H26" s="10">
        <f>1.9</f>
      </c>
      <c r="I26" s="11">
        <f>155.58</f>
      </c>
      <c r="J26" s="11">
        <f>1807.29</f>
      </c>
      <c r="K26" s="10">
        <f>28.4</f>
      </c>
      <c r="L26" s="10">
        <f>3.4</f>
      </c>
      <c r="M26" s="21">
        <f>649991000000</f>
      </c>
      <c r="N26" s="21">
        <f>5465129000000</f>
      </c>
    </row>
    <row r="27">
      <c r="A27" s="22" t="s">
        <v>53</v>
      </c>
      <c r="B27" s="22" t="s">
        <v>54</v>
      </c>
      <c r="C27" s="22" t="s">
        <v>55</v>
      </c>
      <c r="D27" s="22" t="s">
        <v>100</v>
      </c>
      <c r="E27" s="22" t="s">
        <v>101</v>
      </c>
      <c r="F27" s="9">
        <f>37</f>
      </c>
      <c r="G27" s="10">
        <f>16.5</f>
      </c>
      <c r="H27" s="10">
        <f>1.5</f>
      </c>
      <c r="I27" s="11">
        <f>185.27</f>
      </c>
      <c r="J27" s="11">
        <f>2100.95</f>
      </c>
      <c r="K27" s="10">
        <f>22</f>
      </c>
      <c r="L27" s="10">
        <f>2.4</f>
      </c>
      <c r="M27" s="21">
        <f>934333000000</f>
      </c>
      <c r="N27" s="21">
        <f>8592570000000</f>
      </c>
    </row>
    <row r="28">
      <c r="A28" s="22" t="s">
        <v>53</v>
      </c>
      <c r="B28" s="22" t="s">
        <v>54</v>
      </c>
      <c r="C28" s="22" t="s">
        <v>55</v>
      </c>
      <c r="D28" s="22" t="s">
        <v>102</v>
      </c>
      <c r="E28" s="22" t="s">
        <v>103</v>
      </c>
      <c r="F28" s="9">
        <f>21</f>
      </c>
      <c r="G28" s="10">
        <f>33.8</f>
      </c>
      <c r="H28" s="10">
        <f>0.8</f>
      </c>
      <c r="I28" s="11">
        <f>50.39</f>
      </c>
      <c r="J28" s="11">
        <f>2159.47</f>
      </c>
      <c r="K28" s="10">
        <f>"－"</f>
      </c>
      <c r="L28" s="10">
        <f>0.8</f>
      </c>
      <c r="M28" s="21">
        <f>-43514000000</f>
      </c>
      <c r="N28" s="21">
        <f>13751833923976</f>
      </c>
    </row>
    <row r="29">
      <c r="A29" s="22" t="s">
        <v>53</v>
      </c>
      <c r="B29" s="22" t="s">
        <v>54</v>
      </c>
      <c r="C29" s="22" t="s">
        <v>55</v>
      </c>
      <c r="D29" s="22" t="s">
        <v>104</v>
      </c>
      <c r="E29" s="22" t="s">
        <v>105</v>
      </c>
      <c r="F29" s="9">
        <f>39</f>
      </c>
      <c r="G29" s="10">
        <f>16.9</f>
      </c>
      <c r="H29" s="10">
        <f>1.2</f>
      </c>
      <c r="I29" s="11">
        <f>189.72</f>
      </c>
      <c r="J29" s="11">
        <f>2767.38</f>
      </c>
      <c r="K29" s="10">
        <f>19.1</f>
      </c>
      <c r="L29" s="10">
        <f>1.3</f>
      </c>
      <c r="M29" s="21">
        <f>1235480000000</f>
      </c>
      <c r="N29" s="21">
        <f>18026315000000</f>
      </c>
    </row>
    <row r="30">
      <c r="A30" s="22" t="s">
        <v>53</v>
      </c>
      <c r="B30" s="22" t="s">
        <v>54</v>
      </c>
      <c r="C30" s="22" t="s">
        <v>55</v>
      </c>
      <c r="D30" s="22" t="s">
        <v>106</v>
      </c>
      <c r="E30" s="22" t="s">
        <v>107</v>
      </c>
      <c r="F30" s="9">
        <f>5</f>
      </c>
      <c r="G30" s="10">
        <f>2.5</f>
      </c>
      <c r="H30" s="10">
        <f>0.9</f>
      </c>
      <c r="I30" s="11">
        <f>1302.78</f>
      </c>
      <c r="J30" s="11">
        <f>3841.97</f>
      </c>
      <c r="K30" s="10">
        <f>2.1</f>
      </c>
      <c r="L30" s="10">
        <f>0.9</f>
      </c>
      <c r="M30" s="21">
        <f>2553771000000</f>
      </c>
      <c r="N30" s="21">
        <f>6257386000000</f>
      </c>
    </row>
    <row r="31">
      <c r="A31" s="22" t="s">
        <v>53</v>
      </c>
      <c r="B31" s="22" t="s">
        <v>54</v>
      </c>
      <c r="C31" s="22" t="s">
        <v>55</v>
      </c>
      <c r="D31" s="22" t="s">
        <v>108</v>
      </c>
      <c r="E31" s="22" t="s">
        <v>109</v>
      </c>
      <c r="F31" s="9">
        <f>2</f>
      </c>
      <c r="G31" s="10">
        <f>23.3</f>
      </c>
      <c r="H31" s="10">
        <f>1.6</f>
      </c>
      <c r="I31" s="11">
        <f>131.76</f>
      </c>
      <c r="J31" s="11">
        <f>1878.8</f>
      </c>
      <c r="K31" s="10">
        <f>22.8</f>
      </c>
      <c r="L31" s="10">
        <f>1.6</f>
      </c>
      <c r="M31" s="21">
        <f>123900000000</f>
      </c>
      <c r="N31" s="21">
        <f>1727348000000</f>
      </c>
    </row>
    <row r="32">
      <c r="A32" s="22" t="s">
        <v>53</v>
      </c>
      <c r="B32" s="22" t="s">
        <v>54</v>
      </c>
      <c r="C32" s="22" t="s">
        <v>55</v>
      </c>
      <c r="D32" s="22" t="s">
        <v>110</v>
      </c>
      <c r="E32" s="22" t="s">
        <v>111</v>
      </c>
      <c r="F32" s="9">
        <f>13</f>
      </c>
      <c r="G32" s="10">
        <f>10.6</f>
      </c>
      <c r="H32" s="10">
        <f>1</f>
      </c>
      <c r="I32" s="11">
        <f>266.53</f>
      </c>
      <c r="J32" s="11">
        <f>2871.93</f>
      </c>
      <c r="K32" s="10">
        <f>11.6</f>
      </c>
      <c r="L32" s="10">
        <f>1</f>
      </c>
      <c r="M32" s="21">
        <f>127306000000</f>
      </c>
      <c r="N32" s="21">
        <f>1507754000000</f>
      </c>
    </row>
    <row r="33">
      <c r="A33" s="22" t="s">
        <v>53</v>
      </c>
      <c r="B33" s="22" t="s">
        <v>54</v>
      </c>
      <c r="C33" s="22" t="s">
        <v>55</v>
      </c>
      <c r="D33" s="22" t="s">
        <v>112</v>
      </c>
      <c r="E33" s="22" t="s">
        <v>113</v>
      </c>
      <c r="F33" s="9">
        <f>181</f>
      </c>
      <c r="G33" s="10">
        <f>26.8</f>
      </c>
      <c r="H33" s="10">
        <f>2.5</f>
      </c>
      <c r="I33" s="11">
        <f>100.88</f>
      </c>
      <c r="J33" s="11">
        <f>1070.14</f>
      </c>
      <c r="K33" s="10">
        <f>29.3</f>
      </c>
      <c r="L33" s="10">
        <f>1.9</f>
      </c>
      <c r="M33" s="21">
        <f>3085085000000</f>
      </c>
      <c r="N33" s="21">
        <f>48380608000000</f>
      </c>
    </row>
    <row r="34">
      <c r="A34" s="22" t="s">
        <v>53</v>
      </c>
      <c r="B34" s="22" t="s">
        <v>54</v>
      </c>
      <c r="C34" s="22" t="s">
        <v>55</v>
      </c>
      <c r="D34" s="22" t="s">
        <v>114</v>
      </c>
      <c r="E34" s="22" t="s">
        <v>115</v>
      </c>
      <c r="F34" s="9">
        <f>125</f>
      </c>
      <c r="G34" s="10">
        <f>12.1</f>
      </c>
      <c r="H34" s="10">
        <f>1.2</f>
      </c>
      <c r="I34" s="11">
        <f>244.33</f>
      </c>
      <c r="J34" s="11">
        <f>2448.93</f>
      </c>
      <c r="K34" s="10">
        <f>11.3</f>
      </c>
      <c r="L34" s="10">
        <f>1.5</f>
      </c>
      <c r="M34" s="21">
        <f>5619308000000</f>
      </c>
      <c r="N34" s="21">
        <f>41944635000000</f>
      </c>
    </row>
    <row r="35">
      <c r="A35" s="22" t="s">
        <v>53</v>
      </c>
      <c r="B35" s="22" t="s">
        <v>54</v>
      </c>
      <c r="C35" s="22" t="s">
        <v>55</v>
      </c>
      <c r="D35" s="22" t="s">
        <v>116</v>
      </c>
      <c r="E35" s="22" t="s">
        <v>117</v>
      </c>
      <c r="F35" s="9">
        <f>135</f>
      </c>
      <c r="G35" s="10">
        <f>25.9</f>
      </c>
      <c r="H35" s="10">
        <f>2</f>
      </c>
      <c r="I35" s="11">
        <f>126.24</f>
      </c>
      <c r="J35" s="11">
        <f>1603.71</f>
      </c>
      <c r="K35" s="10">
        <f>30.6</f>
      </c>
      <c r="L35" s="10">
        <f>2.5</f>
      </c>
      <c r="M35" s="21">
        <f>1784465192015</f>
      </c>
      <c r="N35" s="21">
        <f>22028653106233</f>
      </c>
    </row>
    <row r="36">
      <c r="A36" s="22" t="s">
        <v>53</v>
      </c>
      <c r="B36" s="22" t="s">
        <v>54</v>
      </c>
      <c r="C36" s="22" t="s">
        <v>55</v>
      </c>
      <c r="D36" s="22" t="s">
        <v>118</v>
      </c>
      <c r="E36" s="22" t="s">
        <v>119</v>
      </c>
      <c r="F36" s="9">
        <f>67</f>
      </c>
      <c r="G36" s="10">
        <f>9.6</f>
      </c>
      <c r="H36" s="10">
        <f>0.5</f>
      </c>
      <c r="I36" s="11">
        <f>217.23</f>
      </c>
      <c r="J36" s="11">
        <f>4561.9</f>
      </c>
      <c r="K36" s="10">
        <f>15.1</f>
      </c>
      <c r="L36" s="10">
        <f>0.8</f>
      </c>
      <c r="M36" s="21">
        <f>4113588901480</f>
      </c>
      <c r="N36" s="21">
        <f>76717692903000</f>
      </c>
    </row>
    <row r="37">
      <c r="A37" s="22" t="s">
        <v>53</v>
      </c>
      <c r="B37" s="22" t="s">
        <v>54</v>
      </c>
      <c r="C37" s="22" t="s">
        <v>55</v>
      </c>
      <c r="D37" s="22" t="s">
        <v>120</v>
      </c>
      <c r="E37" s="22" t="s">
        <v>121</v>
      </c>
      <c r="F37" s="9">
        <f>19</f>
      </c>
      <c r="G37" s="10">
        <f>17.3</f>
      </c>
      <c r="H37" s="10">
        <f>1.1</f>
      </c>
      <c r="I37" s="11">
        <f>76.07</f>
      </c>
      <c r="J37" s="11">
        <f>1206.21</f>
      </c>
      <c r="K37" s="10">
        <f>28.3</f>
      </c>
      <c r="L37" s="10">
        <f>1</f>
      </c>
      <c r="M37" s="21">
        <f>268041000000</f>
      </c>
      <c r="N37" s="21">
        <f>7766544000000</f>
      </c>
    </row>
    <row r="38">
      <c r="A38" s="22" t="s">
        <v>53</v>
      </c>
      <c r="B38" s="22" t="s">
        <v>54</v>
      </c>
      <c r="C38" s="22" t="s">
        <v>55</v>
      </c>
      <c r="D38" s="22" t="s">
        <v>122</v>
      </c>
      <c r="E38" s="22" t="s">
        <v>123</v>
      </c>
      <c r="F38" s="9">
        <f>9</f>
      </c>
      <c r="G38" s="10">
        <f>39.6</f>
      </c>
      <c r="H38" s="10">
        <f>1.6</f>
      </c>
      <c r="I38" s="11">
        <f>78.48</f>
      </c>
      <c r="J38" s="11">
        <f>1959.82</f>
      </c>
      <c r="K38" s="10">
        <f>29.7</f>
      </c>
      <c r="L38" s="10">
        <f>1.6</f>
      </c>
      <c r="M38" s="21">
        <f>791366000000</f>
      </c>
      <c r="N38" s="21">
        <f>14870670000000</f>
      </c>
    </row>
    <row r="39">
      <c r="A39" s="22" t="s">
        <v>53</v>
      </c>
      <c r="B39" s="22" t="s">
        <v>54</v>
      </c>
      <c r="C39" s="22" t="s">
        <v>55</v>
      </c>
      <c r="D39" s="22" t="s">
        <v>124</v>
      </c>
      <c r="E39" s="22" t="s">
        <v>125</v>
      </c>
      <c r="F39" s="9">
        <f>20</f>
      </c>
      <c r="G39" s="10">
        <f>13.1</f>
      </c>
      <c r="H39" s="10">
        <f>1.1</f>
      </c>
      <c r="I39" s="11">
        <f>226.15</f>
      </c>
      <c r="J39" s="11">
        <f>2679.51</f>
      </c>
      <c r="K39" s="10">
        <f>16.5</f>
      </c>
      <c r="L39" s="10">
        <f>1.2</f>
      </c>
      <c r="M39" s="21">
        <f>711826000000</f>
      </c>
      <c r="N39" s="21">
        <f>9407478000000</f>
      </c>
    </row>
    <row r="40">
      <c r="A40" s="22" t="s">
        <v>53</v>
      </c>
      <c r="B40" s="22" t="s">
        <v>54</v>
      </c>
      <c r="C40" s="22" t="s">
        <v>55</v>
      </c>
      <c r="D40" s="22" t="s">
        <v>126</v>
      </c>
      <c r="E40" s="22" t="s">
        <v>127</v>
      </c>
      <c r="F40" s="9">
        <f>50</f>
      </c>
      <c r="G40" s="10">
        <f>14.8</f>
      </c>
      <c r="H40" s="10">
        <f>1.7</f>
      </c>
      <c r="I40" s="11">
        <f>180.32</f>
      </c>
      <c r="J40" s="11">
        <f>1529.84</f>
      </c>
      <c r="K40" s="10">
        <f>16.8</f>
      </c>
      <c r="L40" s="10">
        <f>1.5</f>
      </c>
      <c r="M40" s="21">
        <f>1242596000000</f>
      </c>
      <c r="N40" s="21">
        <f>14059308000000</f>
      </c>
    </row>
    <row r="41">
      <c r="A41" s="22" t="s">
        <v>53</v>
      </c>
      <c r="B41" s="22" t="s">
        <v>54</v>
      </c>
      <c r="C41" s="22" t="s">
        <v>55</v>
      </c>
      <c r="D41" s="22" t="s">
        <v>128</v>
      </c>
      <c r="E41" s="22" t="s">
        <v>129</v>
      </c>
      <c r="F41" s="9">
        <f>155</f>
      </c>
      <c r="G41" s="10">
        <f>18.8</f>
      </c>
      <c r="H41" s="10">
        <f>2.1</f>
      </c>
      <c r="I41" s="11">
        <f>105.75</f>
      </c>
      <c r="J41" s="11">
        <f>959.76</f>
      </c>
      <c r="K41" s="10">
        <f>37.3</f>
      </c>
      <c r="L41" s="10">
        <f>1.7</f>
      </c>
      <c r="M41" s="21">
        <f>1272251000000</f>
      </c>
      <c r="N41" s="21">
        <f>27497872633518</f>
      </c>
    </row>
    <row r="42">
      <c r="A42" s="22" t="s">
        <v>53</v>
      </c>
      <c r="B42" s="22" t="s">
        <v>130</v>
      </c>
      <c r="C42" s="22" t="s">
        <v>131</v>
      </c>
      <c r="D42" s="22" t="s">
        <v>56</v>
      </c>
      <c r="E42" s="22" t="s">
        <v>57</v>
      </c>
      <c r="F42" s="9">
        <f>1601</f>
      </c>
      <c r="G42" s="10">
        <f>15.3</f>
      </c>
      <c r="H42" s="10">
        <f>0.9</f>
      </c>
      <c r="I42" s="11">
        <f>99.21</f>
      </c>
      <c r="J42" s="11">
        <f>1693.42</f>
      </c>
      <c r="K42" s="10">
        <f>17.7</f>
      </c>
      <c r="L42" s="10">
        <f>1.1</f>
      </c>
      <c r="M42" s="21">
        <f>1625641456482</f>
      </c>
      <c r="N42" s="21">
        <f>25203373457132</f>
      </c>
    </row>
    <row r="43">
      <c r="A43" s="22" t="s">
        <v>53</v>
      </c>
      <c r="B43" s="22" t="s">
        <v>130</v>
      </c>
      <c r="C43" s="22" t="s">
        <v>131</v>
      </c>
      <c r="D43" s="22" t="s">
        <v>58</v>
      </c>
      <c r="E43" s="22" t="s">
        <v>59</v>
      </c>
      <c r="F43" s="9">
        <f>1559</f>
      </c>
      <c r="G43" s="10">
        <f>15.4</f>
      </c>
      <c r="H43" s="10">
        <f>0.9</f>
      </c>
      <c r="I43" s="11">
        <f>100.11</f>
      </c>
      <c r="J43" s="11">
        <f>1699.96</f>
      </c>
      <c r="K43" s="10">
        <f>18.2</f>
      </c>
      <c r="L43" s="10">
        <f>1.2</f>
      </c>
      <c r="M43" s="21">
        <f>1492148294226</f>
      </c>
      <c r="N43" s="21">
        <f>23506846067132</f>
      </c>
    </row>
    <row r="44">
      <c r="A44" s="22" t="s">
        <v>53</v>
      </c>
      <c r="B44" s="22" t="s">
        <v>130</v>
      </c>
      <c r="C44" s="22" t="s">
        <v>131</v>
      </c>
      <c r="D44" s="22" t="s">
        <v>60</v>
      </c>
      <c r="E44" s="22" t="s">
        <v>61</v>
      </c>
      <c r="F44" s="9">
        <f>645</f>
      </c>
      <c r="G44" s="10">
        <f>14.8</f>
      </c>
      <c r="H44" s="10">
        <f>0.8</f>
      </c>
      <c r="I44" s="11">
        <f>115.7</f>
      </c>
      <c r="J44" s="11">
        <f>2190.4</f>
      </c>
      <c r="K44" s="10">
        <f>16.8</f>
      </c>
      <c r="L44" s="10">
        <f>0.9</f>
      </c>
      <c r="M44" s="21">
        <f>638066622560</f>
      </c>
      <c r="N44" s="21">
        <f>12128924840281</f>
      </c>
    </row>
    <row r="45">
      <c r="A45" s="22" t="s">
        <v>53</v>
      </c>
      <c r="B45" s="22" t="s">
        <v>130</v>
      </c>
      <c r="C45" s="22" t="s">
        <v>131</v>
      </c>
      <c r="D45" s="22" t="s">
        <v>62</v>
      </c>
      <c r="E45" s="22" t="s">
        <v>63</v>
      </c>
      <c r="F45" s="9">
        <f>914</f>
      </c>
      <c r="G45" s="10">
        <f>15.9</f>
      </c>
      <c r="H45" s="10">
        <f>1</f>
      </c>
      <c r="I45" s="11">
        <f>89.1</f>
      </c>
      <c r="J45" s="11">
        <f>1353.87</f>
      </c>
      <c r="K45" s="10">
        <f>19.2</f>
      </c>
      <c r="L45" s="10">
        <f>1.4</f>
      </c>
      <c r="M45" s="21">
        <f>854081671666</f>
      </c>
      <c r="N45" s="21">
        <f>11377921226851</f>
      </c>
    </row>
    <row r="46">
      <c r="A46" s="22" t="s">
        <v>53</v>
      </c>
      <c r="B46" s="22" t="s">
        <v>130</v>
      </c>
      <c r="C46" s="22" t="s">
        <v>131</v>
      </c>
      <c r="D46" s="22" t="s">
        <v>64</v>
      </c>
      <c r="E46" s="22" t="s">
        <v>65</v>
      </c>
      <c r="F46" s="9">
        <f>6</f>
      </c>
      <c r="G46" s="10">
        <f>17.7</f>
      </c>
      <c r="H46" s="10">
        <f>1.3</f>
      </c>
      <c r="I46" s="11">
        <f>115.05</f>
      </c>
      <c r="J46" s="11">
        <f>1603.44</f>
      </c>
      <c r="K46" s="10">
        <f>14</f>
      </c>
      <c r="L46" s="10">
        <f>0.9</f>
      </c>
      <c r="M46" s="21">
        <f>3925000000</f>
      </c>
      <c r="N46" s="21">
        <f>59016000000</f>
      </c>
    </row>
    <row r="47">
      <c r="A47" s="22" t="s">
        <v>53</v>
      </c>
      <c r="B47" s="22" t="s">
        <v>130</v>
      </c>
      <c r="C47" s="22" t="s">
        <v>131</v>
      </c>
      <c r="D47" s="22" t="s">
        <v>66</v>
      </c>
      <c r="E47" s="22" t="s">
        <v>67</v>
      </c>
      <c r="F47" s="9">
        <f>1</f>
      </c>
      <c r="G47" s="10">
        <f>22.2</f>
      </c>
      <c r="H47" s="10">
        <f>4.6</f>
      </c>
      <c r="I47" s="11">
        <f>62.02</f>
      </c>
      <c r="J47" s="11">
        <f>303.04</f>
      </c>
      <c r="K47" s="10">
        <f>22.2</f>
      </c>
      <c r="L47" s="10">
        <f>4.6</f>
      </c>
      <c r="M47" s="21">
        <f>3652720000</f>
      </c>
      <c r="N47" s="21">
        <f>17846720000</f>
      </c>
    </row>
    <row r="48">
      <c r="A48" s="22" t="s">
        <v>53</v>
      </c>
      <c r="B48" s="22" t="s">
        <v>130</v>
      </c>
      <c r="C48" s="22" t="s">
        <v>131</v>
      </c>
      <c r="D48" s="22" t="s">
        <v>68</v>
      </c>
      <c r="E48" s="22" t="s">
        <v>69</v>
      </c>
      <c r="F48" s="9">
        <f>71</f>
      </c>
      <c r="G48" s="10">
        <f>13.3</f>
      </c>
      <c r="H48" s="10">
        <f>0.8</f>
      </c>
      <c r="I48" s="11">
        <f>140.98</f>
      </c>
      <c r="J48" s="11">
        <f>2393.33</f>
      </c>
      <c r="K48" s="10">
        <f>14</f>
      </c>
      <c r="L48" s="10">
        <f>1</f>
      </c>
      <c r="M48" s="21">
        <f>88471212000</f>
      </c>
      <c r="N48" s="21">
        <f>1235425254684</f>
      </c>
    </row>
    <row r="49">
      <c r="A49" s="22" t="s">
        <v>53</v>
      </c>
      <c r="B49" s="22" t="s">
        <v>130</v>
      </c>
      <c r="C49" s="22" t="s">
        <v>131</v>
      </c>
      <c r="D49" s="22" t="s">
        <v>70</v>
      </c>
      <c r="E49" s="22" t="s">
        <v>71</v>
      </c>
      <c r="F49" s="9">
        <f>53</f>
      </c>
      <c r="G49" s="10">
        <f>23.6</f>
      </c>
      <c r="H49" s="10">
        <f>1.2</f>
      </c>
      <c r="I49" s="11">
        <f>90.93</f>
      </c>
      <c r="J49" s="11">
        <f>1739.71</f>
      </c>
      <c r="K49" s="10">
        <f>21.4</f>
      </c>
      <c r="L49" s="10">
        <f>1.2</f>
      </c>
      <c r="M49" s="21">
        <f>51109000000</f>
      </c>
      <c r="N49" s="21">
        <f>897532914595</f>
      </c>
    </row>
    <row r="50">
      <c r="A50" s="22" t="s">
        <v>53</v>
      </c>
      <c r="B50" s="22" t="s">
        <v>130</v>
      </c>
      <c r="C50" s="22" t="s">
        <v>131</v>
      </c>
      <c r="D50" s="22" t="s">
        <v>72</v>
      </c>
      <c r="E50" s="22" t="s">
        <v>73</v>
      </c>
      <c r="F50" s="9">
        <f>28</f>
      </c>
      <c r="G50" s="10">
        <f>17.2</f>
      </c>
      <c r="H50" s="10">
        <f>0.6</f>
      </c>
      <c r="I50" s="11">
        <f>73.46</f>
      </c>
      <c r="J50" s="11">
        <f>2026.73</f>
      </c>
      <c r="K50" s="10">
        <f>15.9</f>
      </c>
      <c r="L50" s="10">
        <f>0.6</f>
      </c>
      <c r="M50" s="21">
        <f>18142000000</f>
      </c>
      <c r="N50" s="21">
        <f>446476000000</f>
      </c>
    </row>
    <row r="51">
      <c r="A51" s="22" t="s">
        <v>53</v>
      </c>
      <c r="B51" s="22" t="s">
        <v>130</v>
      </c>
      <c r="C51" s="22" t="s">
        <v>131</v>
      </c>
      <c r="D51" s="22" t="s">
        <v>74</v>
      </c>
      <c r="E51" s="22" t="s">
        <v>75</v>
      </c>
      <c r="F51" s="9">
        <f>14</f>
      </c>
      <c r="G51" s="10">
        <f>10.1</f>
      </c>
      <c r="H51" s="10">
        <f>0.6</f>
      </c>
      <c r="I51" s="11">
        <f>137.55</f>
      </c>
      <c r="J51" s="11">
        <f>2286.7</f>
      </c>
      <c r="K51" s="10">
        <f>10.6</f>
      </c>
      <c r="L51" s="10">
        <f>0.6</f>
      </c>
      <c r="M51" s="21">
        <f>12258000000</f>
      </c>
      <c r="N51" s="21">
        <f>208479000000</f>
      </c>
    </row>
    <row r="52">
      <c r="A52" s="22" t="s">
        <v>53</v>
      </c>
      <c r="B52" s="22" t="s">
        <v>130</v>
      </c>
      <c r="C52" s="22" t="s">
        <v>131</v>
      </c>
      <c r="D52" s="22" t="s">
        <v>76</v>
      </c>
      <c r="E52" s="22" t="s">
        <v>77</v>
      </c>
      <c r="F52" s="9">
        <f>83</f>
      </c>
      <c r="G52" s="10">
        <f>15.5</f>
      </c>
      <c r="H52" s="10">
        <f>0.8</f>
      </c>
      <c r="I52" s="11">
        <f>131.02</f>
      </c>
      <c r="J52" s="11">
        <f>2425.34</f>
      </c>
      <c r="K52" s="10">
        <f>15.7</f>
      </c>
      <c r="L52" s="10">
        <f>0.9</f>
      </c>
      <c r="M52" s="21">
        <f>90893000000</f>
      </c>
      <c r="N52" s="21">
        <f>1592896011697</f>
      </c>
    </row>
    <row r="53">
      <c r="A53" s="22" t="s">
        <v>53</v>
      </c>
      <c r="B53" s="22" t="s">
        <v>130</v>
      </c>
      <c r="C53" s="22" t="s">
        <v>131</v>
      </c>
      <c r="D53" s="22" t="s">
        <v>78</v>
      </c>
      <c r="E53" s="22" t="s">
        <v>79</v>
      </c>
      <c r="F53" s="9">
        <f>7</f>
      </c>
      <c r="G53" s="10">
        <f>12.5</f>
      </c>
      <c r="H53" s="10">
        <f>0.9</f>
      </c>
      <c r="I53" s="11">
        <f>112.33</f>
      </c>
      <c r="J53" s="11">
        <f>1573.46</f>
      </c>
      <c r="K53" s="10">
        <f>12.2</f>
      </c>
      <c r="L53" s="10">
        <f>1</f>
      </c>
      <c r="M53" s="21">
        <f>5580000000</f>
      </c>
      <c r="N53" s="21">
        <f>67674000000</f>
      </c>
    </row>
    <row r="54">
      <c r="A54" s="22" t="s">
        <v>53</v>
      </c>
      <c r="B54" s="22" t="s">
        <v>130</v>
      </c>
      <c r="C54" s="22" t="s">
        <v>131</v>
      </c>
      <c r="D54" s="22" t="s">
        <v>80</v>
      </c>
      <c r="E54" s="22" t="s">
        <v>81</v>
      </c>
      <c r="F54" s="9">
        <f>4</f>
      </c>
      <c r="G54" s="10">
        <f>44.8</f>
      </c>
      <c r="H54" s="10">
        <f>0.9</f>
      </c>
      <c r="I54" s="11">
        <f>26.88</f>
      </c>
      <c r="J54" s="11">
        <f>1363.54</f>
      </c>
      <c r="K54" s="10">
        <f>66.6</f>
      </c>
      <c r="L54" s="10">
        <f>1</f>
      </c>
      <c r="M54" s="21">
        <f>1073000000</f>
      </c>
      <c r="N54" s="21">
        <f>71980000000</f>
      </c>
    </row>
    <row r="55">
      <c r="A55" s="22" t="s">
        <v>53</v>
      </c>
      <c r="B55" s="22" t="s">
        <v>130</v>
      </c>
      <c r="C55" s="22" t="s">
        <v>131</v>
      </c>
      <c r="D55" s="22" t="s">
        <v>82</v>
      </c>
      <c r="E55" s="22" t="s">
        <v>83</v>
      </c>
      <c r="F55" s="9">
        <f>7</f>
      </c>
      <c r="G55" s="10">
        <f>10</f>
      </c>
      <c r="H55" s="10">
        <f>0.7</f>
      </c>
      <c r="I55" s="11">
        <f>167.89</f>
      </c>
      <c r="J55" s="11">
        <f>2351.38</f>
      </c>
      <c r="K55" s="10">
        <f>12.8</f>
      </c>
      <c r="L55" s="10">
        <f>0.7</f>
      </c>
      <c r="M55" s="21">
        <f>9393000000</f>
      </c>
      <c r="N55" s="21">
        <f>162974000000</f>
      </c>
    </row>
    <row r="56">
      <c r="A56" s="22" t="s">
        <v>53</v>
      </c>
      <c r="B56" s="22" t="s">
        <v>130</v>
      </c>
      <c r="C56" s="22" t="s">
        <v>131</v>
      </c>
      <c r="D56" s="22" t="s">
        <v>84</v>
      </c>
      <c r="E56" s="22" t="s">
        <v>85</v>
      </c>
      <c r="F56" s="9">
        <f>30</f>
      </c>
      <c r="G56" s="10">
        <f>21.9</f>
      </c>
      <c r="H56" s="10">
        <f>0.8</f>
      </c>
      <c r="I56" s="11">
        <f>68.94</f>
      </c>
      <c r="J56" s="11">
        <f>1838.41</f>
      </c>
      <c r="K56" s="10">
        <f>21</f>
      </c>
      <c r="L56" s="10">
        <f>1.1</f>
      </c>
      <c r="M56" s="21">
        <f>26960000000</f>
      </c>
      <c r="N56" s="21">
        <f>537982000000</f>
      </c>
    </row>
    <row r="57">
      <c r="A57" s="22" t="s">
        <v>53</v>
      </c>
      <c r="B57" s="22" t="s">
        <v>130</v>
      </c>
      <c r="C57" s="22" t="s">
        <v>131</v>
      </c>
      <c r="D57" s="22" t="s">
        <v>86</v>
      </c>
      <c r="E57" s="22" t="s">
        <v>87</v>
      </c>
      <c r="F57" s="9">
        <f>20</f>
      </c>
      <c r="G57" s="10">
        <f>8.7</f>
      </c>
      <c r="H57" s="10">
        <f>0.6</f>
      </c>
      <c r="I57" s="11">
        <f>196.17</f>
      </c>
      <c r="J57" s="11">
        <f>3075.94</f>
      </c>
      <c r="K57" s="10">
        <f>12.3</f>
      </c>
      <c r="L57" s="10">
        <f>0.6</f>
      </c>
      <c r="M57" s="21">
        <f>23584000000</f>
      </c>
      <c r="N57" s="21">
        <f>513000000000</f>
      </c>
    </row>
    <row r="58">
      <c r="A58" s="22" t="s">
        <v>53</v>
      </c>
      <c r="B58" s="22" t="s">
        <v>130</v>
      </c>
      <c r="C58" s="22" t="s">
        <v>131</v>
      </c>
      <c r="D58" s="22" t="s">
        <v>88</v>
      </c>
      <c r="E58" s="22" t="s">
        <v>89</v>
      </c>
      <c r="F58" s="9">
        <f>11</f>
      </c>
      <c r="G58" s="10">
        <f>12.2</f>
      </c>
      <c r="H58" s="10">
        <f>0.8</f>
      </c>
      <c r="I58" s="11">
        <f>103.45</f>
      </c>
      <c r="J58" s="11">
        <f>1631.88</f>
      </c>
      <c r="K58" s="10">
        <f>13.8</f>
      </c>
      <c r="L58" s="10">
        <f>0.8</f>
      </c>
      <c r="M58" s="21">
        <f>5591000000</f>
      </c>
      <c r="N58" s="21">
        <f>92661000000</f>
      </c>
    </row>
    <row r="59">
      <c r="A59" s="22" t="s">
        <v>53</v>
      </c>
      <c r="B59" s="22" t="s">
        <v>130</v>
      </c>
      <c r="C59" s="22" t="s">
        <v>131</v>
      </c>
      <c r="D59" s="22" t="s">
        <v>90</v>
      </c>
      <c r="E59" s="22" t="s">
        <v>91</v>
      </c>
      <c r="F59" s="9">
        <f>59</f>
      </c>
      <c r="G59" s="10">
        <f>13</f>
      </c>
      <c r="H59" s="10">
        <f>0.6</f>
      </c>
      <c r="I59" s="11">
        <f>143.84</f>
      </c>
      <c r="J59" s="11">
        <f>3146.18</f>
      </c>
      <c r="K59" s="10">
        <f>16.2</f>
      </c>
      <c r="L59" s="10">
        <f>0.6</f>
      </c>
      <c r="M59" s="21">
        <f>37361000000</f>
      </c>
      <c r="N59" s="21">
        <f>991526000000</f>
      </c>
    </row>
    <row r="60">
      <c r="A60" s="22" t="s">
        <v>53</v>
      </c>
      <c r="B60" s="22" t="s">
        <v>130</v>
      </c>
      <c r="C60" s="22" t="s">
        <v>131</v>
      </c>
      <c r="D60" s="22" t="s">
        <v>92</v>
      </c>
      <c r="E60" s="22" t="s">
        <v>93</v>
      </c>
      <c r="F60" s="9">
        <f>105</f>
      </c>
      <c r="G60" s="10">
        <f>13.5</f>
      </c>
      <c r="H60" s="10">
        <f>0.8</f>
      </c>
      <c r="I60" s="11">
        <f>135.93</f>
      </c>
      <c r="J60" s="11">
        <f>2184.5</f>
      </c>
      <c r="K60" s="10">
        <f>14.6</f>
      </c>
      <c r="L60" s="10">
        <f>0.9</f>
      </c>
      <c r="M60" s="21">
        <f>124816000000</f>
      </c>
      <c r="N60" s="21">
        <f>1969349000000</f>
      </c>
    </row>
    <row r="61">
      <c r="A61" s="22" t="s">
        <v>53</v>
      </c>
      <c r="B61" s="22" t="s">
        <v>130</v>
      </c>
      <c r="C61" s="22" t="s">
        <v>131</v>
      </c>
      <c r="D61" s="22" t="s">
        <v>94</v>
      </c>
      <c r="E61" s="22" t="s">
        <v>95</v>
      </c>
      <c r="F61" s="9">
        <f>101</f>
      </c>
      <c r="G61" s="10">
        <f>15.5</f>
      </c>
      <c r="H61" s="10">
        <f>0.9</f>
      </c>
      <c r="I61" s="11">
        <f>113.71</f>
      </c>
      <c r="J61" s="11">
        <f>1919</f>
      </c>
      <c r="K61" s="10">
        <f>14.4</f>
      </c>
      <c r="L61" s="10">
        <f>1</f>
      </c>
      <c r="M61" s="21">
        <f>141698622560</f>
      </c>
      <c r="N61" s="21">
        <f>1948138913989</f>
      </c>
    </row>
    <row r="62">
      <c r="A62" s="22" t="s">
        <v>53</v>
      </c>
      <c r="B62" s="22" t="s">
        <v>130</v>
      </c>
      <c r="C62" s="22" t="s">
        <v>131</v>
      </c>
      <c r="D62" s="22" t="s">
        <v>96</v>
      </c>
      <c r="E62" s="22" t="s">
        <v>97</v>
      </c>
      <c r="F62" s="9">
        <f>44</f>
      </c>
      <c r="G62" s="10">
        <f>22.3</f>
      </c>
      <c r="H62" s="10">
        <f>0.7</f>
      </c>
      <c r="I62" s="11">
        <f>77.79</f>
      </c>
      <c r="J62" s="11">
        <f>2472.22</f>
      </c>
      <c r="K62" s="10">
        <f>52.1</f>
      </c>
      <c r="L62" s="10">
        <f>0.7</f>
      </c>
      <c r="M62" s="21">
        <f>21836000000</f>
      </c>
      <c r="N62" s="21">
        <f>1547986000000</f>
      </c>
    </row>
    <row r="63">
      <c r="A63" s="22" t="s">
        <v>53</v>
      </c>
      <c r="B63" s="22" t="s">
        <v>130</v>
      </c>
      <c r="C63" s="22" t="s">
        <v>131</v>
      </c>
      <c r="D63" s="22" t="s">
        <v>98</v>
      </c>
      <c r="E63" s="22" t="s">
        <v>99</v>
      </c>
      <c r="F63" s="9">
        <f>17</f>
      </c>
      <c r="G63" s="10">
        <f>15.3</f>
      </c>
      <c r="H63" s="10">
        <f>1.1</f>
      </c>
      <c r="I63" s="11">
        <f>66.69</f>
      </c>
      <c r="J63" s="11">
        <f>954.82</f>
      </c>
      <c r="K63" s="10">
        <f>12.4</f>
      </c>
      <c r="L63" s="10">
        <f>1.3</f>
      </c>
      <c r="M63" s="21">
        <f>34275000000</f>
      </c>
      <c r="N63" s="21">
        <f>322360000000</f>
      </c>
    </row>
    <row r="64">
      <c r="A64" s="22" t="s">
        <v>53</v>
      </c>
      <c r="B64" s="22" t="s">
        <v>130</v>
      </c>
      <c r="C64" s="22" t="s">
        <v>131</v>
      </c>
      <c r="D64" s="22" t="s">
        <v>100</v>
      </c>
      <c r="E64" s="22" t="s">
        <v>101</v>
      </c>
      <c r="F64" s="9">
        <f>62</f>
      </c>
      <c r="G64" s="10">
        <f>10.7</f>
      </c>
      <c r="H64" s="10">
        <f>0.6</f>
      </c>
      <c r="I64" s="11">
        <f>112.13</f>
      </c>
      <c r="J64" s="11">
        <f>2083.29</f>
      </c>
      <c r="K64" s="10">
        <f>16.7</f>
      </c>
      <c r="L64" s="10">
        <f>0.7</f>
      </c>
      <c r="M64" s="21">
        <f>33497000000</f>
      </c>
      <c r="N64" s="21">
        <f>757910000000</f>
      </c>
    </row>
    <row r="65">
      <c r="A65" s="22" t="s">
        <v>53</v>
      </c>
      <c r="B65" s="22" t="s">
        <v>130</v>
      </c>
      <c r="C65" s="22" t="s">
        <v>131</v>
      </c>
      <c r="D65" s="22" t="s">
        <v>102</v>
      </c>
      <c r="E65" s="22" t="s">
        <v>103</v>
      </c>
      <c r="F65" s="9">
        <f>3</f>
      </c>
      <c r="G65" s="10">
        <f>25.6</f>
      </c>
      <c r="H65" s="10">
        <f>0.3</f>
      </c>
      <c r="I65" s="11">
        <f>86.37</f>
      </c>
      <c r="J65" s="11">
        <f>6652.37</f>
      </c>
      <c r="K65" s="10">
        <f>20.8</f>
      </c>
      <c r="L65" s="10">
        <f>0.3</f>
      </c>
      <c r="M65" s="21">
        <f>2704000000</f>
      </c>
      <c r="N65" s="21">
        <f>161864000000</f>
      </c>
    </row>
    <row r="66">
      <c r="A66" s="22" t="s">
        <v>53</v>
      </c>
      <c r="B66" s="22" t="s">
        <v>130</v>
      </c>
      <c r="C66" s="22" t="s">
        <v>131</v>
      </c>
      <c r="D66" s="22" t="s">
        <v>104</v>
      </c>
      <c r="E66" s="22" t="s">
        <v>105</v>
      </c>
      <c r="F66" s="9">
        <f>21</f>
      </c>
      <c r="G66" s="10">
        <f>75.2</f>
      </c>
      <c r="H66" s="10">
        <f>0.6</f>
      </c>
      <c r="I66" s="11">
        <f>26.9</f>
      </c>
      <c r="J66" s="11">
        <f>3496.4</f>
      </c>
      <c r="K66" s="10">
        <f>14.5</f>
      </c>
      <c r="L66" s="10">
        <f>0.6</f>
      </c>
      <c r="M66" s="21">
        <f>16666000000</f>
      </c>
      <c r="N66" s="21">
        <f>381679000000</f>
      </c>
    </row>
    <row r="67">
      <c r="A67" s="22" t="s">
        <v>53</v>
      </c>
      <c r="B67" s="22" t="s">
        <v>130</v>
      </c>
      <c r="C67" s="22" t="s">
        <v>131</v>
      </c>
      <c r="D67" s="22" t="s">
        <v>106</v>
      </c>
      <c r="E67" s="22" t="s">
        <v>107</v>
      </c>
      <c r="F67" s="9">
        <f>6</f>
      </c>
      <c r="G67" s="10">
        <f>8.9</f>
      </c>
      <c r="H67" s="10">
        <f>0.6</f>
      </c>
      <c r="I67" s="11">
        <f>162.71</f>
      </c>
      <c r="J67" s="11">
        <f>2262.74</f>
      </c>
      <c r="K67" s="10">
        <f>4.7</f>
      </c>
      <c r="L67" s="10">
        <f>0.6</f>
      </c>
      <c r="M67" s="21">
        <f>19247000000</f>
      </c>
      <c r="N67" s="21">
        <f>157438000000</f>
      </c>
    </row>
    <row r="68">
      <c r="A68" s="22" t="s">
        <v>53</v>
      </c>
      <c r="B68" s="22" t="s">
        <v>130</v>
      </c>
      <c r="C68" s="22" t="s">
        <v>131</v>
      </c>
      <c r="D68" s="22" t="s">
        <v>108</v>
      </c>
      <c r="E68" s="22" t="s">
        <v>109</v>
      </c>
      <c r="F68" s="9">
        <f>3</f>
      </c>
      <c r="G68" s="10">
        <f>14.4</f>
      </c>
      <c r="H68" s="10">
        <f>5.6</f>
      </c>
      <c r="I68" s="11">
        <f>134.79</f>
      </c>
      <c r="J68" s="11">
        <f>349.79</f>
      </c>
      <c r="K68" s="10">
        <f>9.4</f>
      </c>
      <c r="L68" s="10">
        <f>1.4</f>
      </c>
      <c r="M68" s="21">
        <f>6020000000</f>
      </c>
      <c r="N68" s="21">
        <f>40912000000</f>
      </c>
    </row>
    <row r="69">
      <c r="A69" s="22" t="s">
        <v>53</v>
      </c>
      <c r="B69" s="22" t="s">
        <v>130</v>
      </c>
      <c r="C69" s="22" t="s">
        <v>131</v>
      </c>
      <c r="D69" s="22" t="s">
        <v>110</v>
      </c>
      <c r="E69" s="22" t="s">
        <v>111</v>
      </c>
      <c r="F69" s="9">
        <f>22</f>
      </c>
      <c r="G69" s="10">
        <f>9</f>
      </c>
      <c r="H69" s="10">
        <f>0.5</f>
      </c>
      <c r="I69" s="11">
        <f>155.98</f>
      </c>
      <c r="J69" s="11">
        <f>2652.82</f>
      </c>
      <c r="K69" s="10">
        <f>13.5</f>
      </c>
      <c r="L69" s="10">
        <f>0.6</f>
      </c>
      <c r="M69" s="21">
        <f>15945000000</f>
      </c>
      <c r="N69" s="21">
        <f>338833000000</f>
      </c>
    </row>
    <row r="70">
      <c r="A70" s="22" t="s">
        <v>53</v>
      </c>
      <c r="B70" s="22" t="s">
        <v>130</v>
      </c>
      <c r="C70" s="22" t="s">
        <v>131</v>
      </c>
      <c r="D70" s="22" t="s">
        <v>112</v>
      </c>
      <c r="E70" s="22" t="s">
        <v>113</v>
      </c>
      <c r="F70" s="9">
        <f>181</f>
      </c>
      <c r="G70" s="10">
        <f>19.6</f>
      </c>
      <c r="H70" s="10">
        <f>1.8</f>
      </c>
      <c r="I70" s="11">
        <f>66.78</f>
      </c>
      <c r="J70" s="11">
        <f>724.13</f>
      </c>
      <c r="K70" s="10">
        <f>28.9</f>
      </c>
      <c r="L70" s="10">
        <f>2.8</f>
      </c>
      <c r="M70" s="21">
        <f>149164333333</f>
      </c>
      <c r="N70" s="21">
        <f>1518229000000</f>
      </c>
    </row>
    <row r="71">
      <c r="A71" s="22" t="s">
        <v>53</v>
      </c>
      <c r="B71" s="22" t="s">
        <v>130</v>
      </c>
      <c r="C71" s="22" t="s">
        <v>131</v>
      </c>
      <c r="D71" s="22" t="s">
        <v>114</v>
      </c>
      <c r="E71" s="22" t="s">
        <v>115</v>
      </c>
      <c r="F71" s="9">
        <f>165</f>
      </c>
      <c r="G71" s="10">
        <f>12.7</f>
      </c>
      <c r="H71" s="10">
        <f>0.8</f>
      </c>
      <c r="I71" s="11">
        <f>141.03</f>
      </c>
      <c r="J71" s="11">
        <f>2142.27</f>
      </c>
      <c r="K71" s="10">
        <f>13.6</f>
      </c>
      <c r="L71" s="10">
        <f>1</f>
      </c>
      <c r="M71" s="21">
        <f>182493000000</f>
      </c>
      <c r="N71" s="21">
        <f>2519548000000</f>
      </c>
    </row>
    <row r="72">
      <c r="A72" s="22" t="s">
        <v>53</v>
      </c>
      <c r="B72" s="22" t="s">
        <v>130</v>
      </c>
      <c r="C72" s="22" t="s">
        <v>131</v>
      </c>
      <c r="D72" s="22" t="s">
        <v>116</v>
      </c>
      <c r="E72" s="22" t="s">
        <v>117</v>
      </c>
      <c r="F72" s="9">
        <f>176</f>
      </c>
      <c r="G72" s="10">
        <f>34.8</f>
      </c>
      <c r="H72" s="10">
        <f>1.5</f>
      </c>
      <c r="I72" s="11">
        <f>37.75</f>
      </c>
      <c r="J72" s="11">
        <f>868.21</f>
      </c>
      <c r="K72" s="10">
        <f>36.9</f>
      </c>
      <c r="L72" s="10">
        <f>1.8</f>
      </c>
      <c r="M72" s="21">
        <f>119086687000</f>
      </c>
      <c r="N72" s="21">
        <f>2373935581324</f>
      </c>
    </row>
    <row r="73">
      <c r="A73" s="22" t="s">
        <v>53</v>
      </c>
      <c r="B73" s="22" t="s">
        <v>130</v>
      </c>
      <c r="C73" s="22" t="s">
        <v>131</v>
      </c>
      <c r="D73" s="22" t="s">
        <v>118</v>
      </c>
      <c r="E73" s="22" t="s">
        <v>119</v>
      </c>
      <c r="F73" s="9">
        <f>11</f>
      </c>
      <c r="G73" s="10">
        <f>14.7</f>
      </c>
      <c r="H73" s="10">
        <f>0.4</f>
      </c>
      <c r="I73" s="11">
        <f>81.78</f>
      </c>
      <c r="J73" s="11">
        <f>3345.81</f>
      </c>
      <c r="K73" s="10">
        <f>20.3</f>
      </c>
      <c r="L73" s="10">
        <f>0.9</f>
      </c>
      <c r="M73" s="21">
        <f>23058162256</f>
      </c>
      <c r="N73" s="21">
        <f>500050390000</f>
      </c>
    </row>
    <row r="74">
      <c r="A74" s="22" t="s">
        <v>53</v>
      </c>
      <c r="B74" s="22" t="s">
        <v>130</v>
      </c>
      <c r="C74" s="22" t="s">
        <v>131</v>
      </c>
      <c r="D74" s="22" t="s">
        <v>120</v>
      </c>
      <c r="E74" s="22" t="s">
        <v>121</v>
      </c>
      <c r="F74" s="9">
        <f>18</f>
      </c>
      <c r="G74" s="10">
        <f>13.4</f>
      </c>
      <c r="H74" s="10">
        <f>0.9</f>
      </c>
      <c r="I74" s="11">
        <f>63.31</f>
      </c>
      <c r="J74" s="11">
        <f>941.89</f>
      </c>
      <c r="K74" s="10">
        <f>10.9</f>
      </c>
      <c r="L74" s="10">
        <f>1</f>
      </c>
      <c r="M74" s="21">
        <f>27368000000</f>
      </c>
      <c r="N74" s="21">
        <f>288633000000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13</f>
      </c>
      <c r="G76" s="10">
        <f>11.6</f>
      </c>
      <c r="H76" s="10">
        <f>1.2</f>
      </c>
      <c r="I76" s="11">
        <f>56.43</f>
      </c>
      <c r="J76" s="11">
        <f>550.56</f>
      </c>
      <c r="K76" s="10">
        <f>10.2</f>
      </c>
      <c r="L76" s="10">
        <f>0.9</f>
      </c>
      <c r="M76" s="21">
        <f>83067000000</f>
      </c>
      <c r="N76" s="21">
        <f>907844000000</f>
      </c>
    </row>
    <row r="77">
      <c r="A77" s="22" t="s">
        <v>53</v>
      </c>
      <c r="B77" s="22" t="s">
        <v>130</v>
      </c>
      <c r="C77" s="22" t="s">
        <v>131</v>
      </c>
      <c r="D77" s="22" t="s">
        <v>126</v>
      </c>
      <c r="E77" s="22" t="s">
        <v>127</v>
      </c>
      <c r="F77" s="9">
        <f>65</f>
      </c>
      <c r="G77" s="10">
        <f>8.8</f>
      </c>
      <c r="H77" s="10">
        <f>0.9</f>
      </c>
      <c r="I77" s="11">
        <f>124.88</f>
      </c>
      <c r="J77" s="11">
        <f>1203.02</f>
      </c>
      <c r="K77" s="10">
        <f>10.1</f>
      </c>
      <c r="L77" s="10">
        <f>1</f>
      </c>
      <c r="M77" s="21">
        <f>109149000000</f>
      </c>
      <c r="N77" s="21">
        <f>1152968846500</f>
      </c>
    </row>
    <row r="78">
      <c r="A78" s="22" t="s">
        <v>53</v>
      </c>
      <c r="B78" s="22" t="s">
        <v>130</v>
      </c>
      <c r="C78" s="22" t="s">
        <v>131</v>
      </c>
      <c r="D78" s="22" t="s">
        <v>128</v>
      </c>
      <c r="E78" s="22" t="s">
        <v>129</v>
      </c>
      <c r="F78" s="9">
        <f>194</f>
      </c>
      <c r="G78" s="10">
        <f>14.7</f>
      </c>
      <c r="H78" s="10">
        <f>1.2</f>
      </c>
      <c r="I78" s="11">
        <f>76.91</f>
      </c>
      <c r="J78" s="11">
        <f>905.51</f>
      </c>
      <c r="K78" s="10">
        <f>15.3</f>
      </c>
      <c r="L78" s="10">
        <f>1.5</f>
      </c>
      <c r="M78" s="21">
        <f>137557719333</f>
      </c>
      <c r="N78" s="21">
        <f>1420225824343</f>
      </c>
    </row>
    <row r="79">
      <c r="A79" s="22" t="s">
        <v>53</v>
      </c>
      <c r="B79" s="22" t="s">
        <v>132</v>
      </c>
      <c r="C79" s="22" t="s">
        <v>133</v>
      </c>
      <c r="D79" s="22" t="s">
        <v>56</v>
      </c>
      <c r="E79" s="22" t="s">
        <v>57</v>
      </c>
      <c r="F79" s="9">
        <f>558</f>
      </c>
      <c r="G79" s="10">
        <f>46.9</f>
      </c>
      <c r="H79" s="10">
        <f>3.5</f>
      </c>
      <c r="I79" s="11">
        <f>28.29</f>
      </c>
      <c r="J79" s="11">
        <f>381.28</f>
      </c>
      <c r="K79" s="10">
        <f>149.5</f>
      </c>
      <c r="L79" s="10">
        <f>3.8</f>
      </c>
      <c r="M79" s="21">
        <f>48868179571</f>
      </c>
      <c r="N79" s="21">
        <f>1922888723718</f>
      </c>
    </row>
    <row r="80">
      <c r="A80" s="22" t="s">
        <v>53</v>
      </c>
      <c r="B80" s="22" t="s">
        <v>132</v>
      </c>
      <c r="C80" s="22" t="s">
        <v>133</v>
      </c>
      <c r="D80" s="22" t="s">
        <v>58</v>
      </c>
      <c r="E80" s="22" t="s">
        <v>59</v>
      </c>
      <c r="F80" s="9">
        <f>547</f>
      </c>
      <c r="G80" s="10">
        <f>48.1</f>
      </c>
      <c r="H80" s="10">
        <f>3.5</f>
      </c>
      <c r="I80" s="11">
        <f>27.19</f>
      </c>
      <c r="J80" s="11">
        <f>374.3</f>
      </c>
      <c r="K80" s="10">
        <f>165.7</f>
      </c>
      <c r="L80" s="10">
        <f>3.8</f>
      </c>
      <c r="M80" s="21">
        <f>41288179571</f>
      </c>
      <c r="N80" s="21">
        <f>1783389723718</f>
      </c>
    </row>
    <row r="81">
      <c r="A81" s="22" t="s">
        <v>53</v>
      </c>
      <c r="B81" s="22" t="s">
        <v>132</v>
      </c>
      <c r="C81" s="22" t="s">
        <v>133</v>
      </c>
      <c r="D81" s="22" t="s">
        <v>60</v>
      </c>
      <c r="E81" s="22" t="s">
        <v>61</v>
      </c>
      <c r="F81" s="9">
        <f>70</f>
      </c>
      <c r="G81" s="10">
        <f>"－"</f>
      </c>
      <c r="H81" s="10">
        <f>3.1</f>
      </c>
      <c r="I81" s="11">
        <f>-20.55</f>
      </c>
      <c r="J81" s="11">
        <f>250.6</f>
      </c>
      <c r="K81" s="10">
        <f>"－"</f>
      </c>
      <c r="L81" s="10">
        <f>2.6</f>
      </c>
      <c r="M81" s="21">
        <f>-44983066000</f>
      </c>
      <c r="N81" s="21">
        <f>374280084000</f>
      </c>
    </row>
    <row r="82">
      <c r="A82" s="22" t="s">
        <v>53</v>
      </c>
      <c r="B82" s="22" t="s">
        <v>132</v>
      </c>
      <c r="C82" s="22" t="s">
        <v>133</v>
      </c>
      <c r="D82" s="22" t="s">
        <v>62</v>
      </c>
      <c r="E82" s="22" t="s">
        <v>63</v>
      </c>
      <c r="F82" s="9">
        <f>477</f>
      </c>
      <c r="G82" s="10">
        <f>40.5</f>
      </c>
      <c r="H82" s="10">
        <f>3.5</f>
      </c>
      <c r="I82" s="11">
        <f>34.2</f>
      </c>
      <c r="J82" s="11">
        <f>392.46</f>
      </c>
      <c r="K82" s="10">
        <f>67.8</f>
      </c>
      <c r="L82" s="10">
        <f>4.2</f>
      </c>
      <c r="M82" s="21">
        <f>86271245571</f>
      </c>
      <c r="N82" s="21">
        <f>1409109639718</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17.4</f>
      </c>
      <c r="H85" s="10">
        <f>1.5</f>
      </c>
      <c r="I85" s="11">
        <f>59.52</f>
      </c>
      <c r="J85" s="11">
        <f>687.81</f>
      </c>
      <c r="K85" s="10">
        <f>19.3</f>
      </c>
      <c r="L85" s="10">
        <f>1.9</f>
      </c>
      <c r="M85" s="21">
        <f>2668000000</f>
      </c>
      <c r="N85" s="21">
        <f>27755000000</f>
      </c>
    </row>
    <row r="86">
      <c r="A86" s="22" t="s">
        <v>53</v>
      </c>
      <c r="B86" s="22" t="s">
        <v>132</v>
      </c>
      <c r="C86" s="22" t="s">
        <v>133</v>
      </c>
      <c r="D86" s="22" t="s">
        <v>70</v>
      </c>
      <c r="E86" s="22" t="s">
        <v>71</v>
      </c>
      <c r="F86" s="9">
        <f>4</f>
      </c>
      <c r="G86" s="10">
        <f>"－"</f>
      </c>
      <c r="H86" s="10">
        <f>5.9</f>
      </c>
      <c r="I86" s="11">
        <f>-70.62</f>
      </c>
      <c r="J86" s="11">
        <f>260.58</f>
      </c>
      <c r="K86" s="10">
        <f>"－"</f>
      </c>
      <c r="L86" s="10">
        <f>6.9</f>
      </c>
      <c r="M86" s="21">
        <f>-2157000000</f>
      </c>
      <c r="N86" s="21">
        <f>9477000000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4</f>
      </c>
      <c r="G89" s="10">
        <f>"－"</f>
      </c>
      <c r="H89" s="10">
        <f>2.2</f>
      </c>
      <c r="I89" s="11">
        <f>-17.35</f>
      </c>
      <c r="J89" s="11">
        <f>358.64</f>
      </c>
      <c r="K89" s="10">
        <f>"－"</f>
      </c>
      <c r="L89" s="10">
        <f>1.7</f>
      </c>
      <c r="M89" s="21">
        <f>-951000000</f>
      </c>
      <c r="N89" s="21">
        <f>17449000000</f>
      </c>
    </row>
    <row r="90">
      <c r="A90" s="22" t="s">
        <v>53</v>
      </c>
      <c r="B90" s="22" t="s">
        <v>132</v>
      </c>
      <c r="C90" s="22" t="s">
        <v>133</v>
      </c>
      <c r="D90" s="22" t="s">
        <v>78</v>
      </c>
      <c r="E90" s="22" t="s">
        <v>79</v>
      </c>
      <c r="F90" s="9">
        <f>35</f>
      </c>
      <c r="G90" s="10">
        <f>"－"</f>
      </c>
      <c r="H90" s="10">
        <f>3.7</f>
      </c>
      <c r="I90" s="11">
        <f>-34.22</f>
      </c>
      <c r="J90" s="11">
        <f>146.85</f>
      </c>
      <c r="K90" s="10">
        <f>"－"</f>
      </c>
      <c r="L90" s="10">
        <f>3</f>
      </c>
      <c r="M90" s="21">
        <f>-37307000000</f>
      </c>
      <c r="N90" s="21">
        <f>159876000000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2</f>
      </c>
      <c r="G95" s="10">
        <f>"－"</f>
      </c>
      <c r="H95" s="10">
        <f>1.5</f>
      </c>
      <c r="I95" s="11">
        <f>-74.32</f>
      </c>
      <c r="J95" s="11">
        <f>667.41</f>
      </c>
      <c r="K95" s="10">
        <f>"－"</f>
      </c>
      <c r="L95" s="10">
        <f>1.5</f>
      </c>
      <c r="M95" s="21">
        <f>-1570000000</f>
      </c>
      <c r="N95" s="21">
        <f>10308000000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3.7</f>
      </c>
      <c r="I97" s="11">
        <f>-18.92</f>
      </c>
      <c r="J97" s="11">
        <f>213.77</f>
      </c>
      <c r="K97" s="10">
        <f>"－"</f>
      </c>
      <c r="L97" s="10">
        <f>3.4</f>
      </c>
      <c r="M97" s="21">
        <f>-843066000</f>
      </c>
      <c r="N97" s="21">
        <f>14502084000</f>
      </c>
    </row>
    <row r="98">
      <c r="A98" s="22" t="s">
        <v>53</v>
      </c>
      <c r="B98" s="22" t="s">
        <v>132</v>
      </c>
      <c r="C98" s="22" t="s">
        <v>133</v>
      </c>
      <c r="D98" s="22" t="s">
        <v>94</v>
      </c>
      <c r="E98" s="22" t="s">
        <v>95</v>
      </c>
      <c r="F98" s="9">
        <f>6</f>
      </c>
      <c r="G98" s="10">
        <f>"－"</f>
      </c>
      <c r="H98" s="10">
        <f>4.1</f>
      </c>
      <c r="I98" s="11">
        <f>-32.08</f>
      </c>
      <c r="J98" s="11">
        <f>325.67</f>
      </c>
      <c r="K98" s="10">
        <f>"－"</f>
      </c>
      <c r="L98" s="10">
        <f>4.3</f>
      </c>
      <c r="M98" s="21">
        <f>-2067000000</f>
      </c>
      <c r="N98" s="21">
        <f>18498000000</f>
      </c>
    </row>
    <row r="99">
      <c r="A99" s="22" t="s">
        <v>53</v>
      </c>
      <c r="B99" s="22" t="s">
        <v>132</v>
      </c>
      <c r="C99" s="22" t="s">
        <v>133</v>
      </c>
      <c r="D99" s="22" t="s">
        <v>96</v>
      </c>
      <c r="E99" s="22" t="s">
        <v>97</v>
      </c>
      <c r="F99" s="9">
        <f>3</f>
      </c>
      <c r="G99" s="10">
        <f>22.9</f>
      </c>
      <c r="H99" s="10">
        <f>3.9</f>
      </c>
      <c r="I99" s="11">
        <f>87.23</f>
      </c>
      <c r="J99" s="11">
        <f>515.55</f>
      </c>
      <c r="K99" s="10">
        <f>26.8</f>
      </c>
      <c r="L99" s="10">
        <f>3.8</f>
      </c>
      <c r="M99" s="21">
        <f>1410000000</f>
      </c>
      <c r="N99" s="21">
        <f>9876000000</f>
      </c>
    </row>
    <row r="100">
      <c r="A100" s="22" t="s">
        <v>53</v>
      </c>
      <c r="B100" s="22" t="s">
        <v>132</v>
      </c>
      <c r="C100" s="22" t="s">
        <v>133</v>
      </c>
      <c r="D100" s="22" t="s">
        <v>98</v>
      </c>
      <c r="E100" s="22" t="s">
        <v>99</v>
      </c>
      <c r="F100" s="9">
        <f>5</f>
      </c>
      <c r="G100" s="10">
        <f>"－"</f>
      </c>
      <c r="H100" s="10">
        <f>2.4</f>
      </c>
      <c r="I100" s="11">
        <f>-24.89</f>
      </c>
      <c r="J100" s="11">
        <f>120.86</f>
      </c>
      <c r="K100" s="10">
        <f>"－"</f>
      </c>
      <c r="L100" s="10">
        <f>1.7</f>
      </c>
      <c r="M100" s="21">
        <f>-5642000000</f>
      </c>
      <c r="N100" s="21">
        <f>55830000000</f>
      </c>
    </row>
    <row r="101">
      <c r="A101" s="22" t="s">
        <v>53</v>
      </c>
      <c r="B101" s="22" t="s">
        <v>132</v>
      </c>
      <c r="C101" s="22" t="s">
        <v>133</v>
      </c>
      <c r="D101" s="22" t="s">
        <v>100</v>
      </c>
      <c r="E101" s="22" t="s">
        <v>101</v>
      </c>
      <c r="F101" s="9">
        <f>7</f>
      </c>
      <c r="G101" s="10">
        <f>15.9</f>
      </c>
      <c r="H101" s="10">
        <f>1.7</f>
      </c>
      <c r="I101" s="11">
        <f>55.82</f>
      </c>
      <c r="J101" s="11">
        <f>518.63</f>
      </c>
      <c r="K101" s="10">
        <f>31.5</f>
      </c>
      <c r="L101" s="10">
        <f>1.7</f>
      </c>
      <c r="M101" s="21">
        <f>4144000000</f>
      </c>
      <c r="N101" s="21">
        <f>78464000000</f>
      </c>
    </row>
    <row r="102">
      <c r="A102" s="22" t="s">
        <v>53</v>
      </c>
      <c r="B102" s="22" t="s">
        <v>132</v>
      </c>
      <c r="C102" s="22" t="s">
        <v>133</v>
      </c>
      <c r="D102" s="22" t="s">
        <v>102</v>
      </c>
      <c r="E102" s="22" t="s">
        <v>103</v>
      </c>
      <c r="F102" s="9">
        <f>1</f>
      </c>
      <c r="G102" s="10">
        <f>28.5</f>
      </c>
      <c r="H102" s="10">
        <f>2.2</f>
      </c>
      <c r="I102" s="11">
        <f>36.42</f>
      </c>
      <c r="J102" s="11">
        <f>472.98</f>
      </c>
      <c r="K102" s="10">
        <f>28.5</f>
      </c>
      <c r="L102" s="10">
        <f>2.2</f>
      </c>
      <c r="M102" s="21">
        <f>1088000000</f>
      </c>
      <c r="N102" s="21">
        <f>14129000000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10.7</f>
      </c>
      <c r="H105" s="10">
        <f>2.6</f>
      </c>
      <c r="I105" s="11">
        <f>94.91</f>
      </c>
      <c r="J105" s="11">
        <f>396.44</f>
      </c>
      <c r="K105" s="10">
        <f>10.7</f>
      </c>
      <c r="L105" s="10">
        <f>2.6</f>
      </c>
      <c r="M105" s="21">
        <f>5726000000</f>
      </c>
      <c r="N105" s="21">
        <f>23917000000</f>
      </c>
    </row>
    <row r="106">
      <c r="A106" s="22" t="s">
        <v>53</v>
      </c>
      <c r="B106" s="22" t="s">
        <v>132</v>
      </c>
      <c r="C106" s="22" t="s">
        <v>133</v>
      </c>
      <c r="D106" s="22" t="s">
        <v>110</v>
      </c>
      <c r="E106" s="22" t="s">
        <v>111</v>
      </c>
      <c r="F106" s="9">
        <f>1</f>
      </c>
      <c r="G106" s="10">
        <f>8.5</f>
      </c>
      <c r="H106" s="10">
        <f>1.6</f>
      </c>
      <c r="I106" s="11">
        <f>60.92</f>
      </c>
      <c r="J106" s="11">
        <f>316.16</f>
      </c>
      <c r="K106" s="10">
        <f>8.5</f>
      </c>
      <c r="L106" s="10">
        <f>1.6</f>
      </c>
      <c r="M106" s="21">
        <f>628000000</f>
      </c>
      <c r="N106" s="21">
        <f>3259000000</f>
      </c>
    </row>
    <row r="107">
      <c r="A107" s="22" t="s">
        <v>53</v>
      </c>
      <c r="B107" s="22" t="s">
        <v>132</v>
      </c>
      <c r="C107" s="22" t="s">
        <v>133</v>
      </c>
      <c r="D107" s="22" t="s">
        <v>112</v>
      </c>
      <c r="E107" s="22" t="s">
        <v>113</v>
      </c>
      <c r="F107" s="9">
        <f>232</f>
      </c>
      <c r="G107" s="10">
        <f>75.5</f>
      </c>
      <c r="H107" s="10">
        <f>4.4</f>
      </c>
      <c r="I107" s="11">
        <f>18.98</f>
      </c>
      <c r="J107" s="11">
        <f>328.18</f>
      </c>
      <c r="K107" s="10">
        <f>478.8</f>
      </c>
      <c r="L107" s="10">
        <f>5.1</f>
      </c>
      <c r="M107" s="21">
        <f>6550850000</f>
      </c>
      <c r="N107" s="21">
        <f>614227936000</f>
      </c>
    </row>
    <row r="108">
      <c r="A108" s="22" t="s">
        <v>53</v>
      </c>
      <c r="B108" s="22" t="s">
        <v>132</v>
      </c>
      <c r="C108" s="22" t="s">
        <v>133</v>
      </c>
      <c r="D108" s="22" t="s">
        <v>114</v>
      </c>
      <c r="E108" s="22" t="s">
        <v>115</v>
      </c>
      <c r="F108" s="9">
        <f>9</f>
      </c>
      <c r="G108" s="10">
        <f>39.8</f>
      </c>
      <c r="H108" s="10">
        <f>2.4</f>
      </c>
      <c r="I108" s="11">
        <f>23.9</f>
      </c>
      <c r="J108" s="11">
        <f>391.77</f>
      </c>
      <c r="K108" s="10">
        <f>31.3</f>
      </c>
      <c r="L108" s="10">
        <f>2.9</f>
      </c>
      <c r="M108" s="21">
        <f>3133000000</f>
      </c>
      <c r="N108" s="21">
        <f>33569000000</f>
      </c>
    </row>
    <row r="109">
      <c r="A109" s="22" t="s">
        <v>53</v>
      </c>
      <c r="B109" s="22" t="s">
        <v>132</v>
      </c>
      <c r="C109" s="22" t="s">
        <v>133</v>
      </c>
      <c r="D109" s="22" t="s">
        <v>116</v>
      </c>
      <c r="E109" s="22" t="s">
        <v>117</v>
      </c>
      <c r="F109" s="9">
        <f>31</f>
      </c>
      <c r="G109" s="10">
        <f>58.1</f>
      </c>
      <c r="H109" s="10">
        <f>3.6</f>
      </c>
      <c r="I109" s="11">
        <f>22.19</f>
      </c>
      <c r="J109" s="11">
        <f>356.2</f>
      </c>
      <c r="K109" s="10">
        <f>98.2</f>
      </c>
      <c r="L109" s="10">
        <f>4.2</f>
      </c>
      <c r="M109" s="21">
        <f>2870083000</f>
      </c>
      <c r="N109" s="21">
        <f>67293584169</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17.5</f>
      </c>
      <c r="H111" s="10">
        <f>2.6</f>
      </c>
      <c r="I111" s="11">
        <f>179.02</f>
      </c>
      <c r="J111" s="11">
        <f>1210.75</f>
      </c>
      <c r="K111" s="10">
        <f>25.7</f>
      </c>
      <c r="L111" s="10">
        <f>3.8</f>
      </c>
      <c r="M111" s="21">
        <f>10392000000</f>
      </c>
      <c r="N111" s="21">
        <f>69800000000</f>
      </c>
    </row>
    <row r="112">
      <c r="A112" s="22" t="s">
        <v>53</v>
      </c>
      <c r="B112" s="22" t="s">
        <v>132</v>
      </c>
      <c r="C112" s="22" t="s">
        <v>133</v>
      </c>
      <c r="D112" s="22" t="s">
        <v>122</v>
      </c>
      <c r="E112" s="22" t="s">
        <v>123</v>
      </c>
      <c r="F112" s="9">
        <f>4</f>
      </c>
      <c r="G112" s="10">
        <f>61.4</f>
      </c>
      <c r="H112" s="10">
        <f>1.8</f>
      </c>
      <c r="I112" s="11">
        <f>20.85</f>
      </c>
      <c r="J112" s="11">
        <f>702.94</f>
      </c>
      <c r="K112" s="10">
        <f>"－"</f>
      </c>
      <c r="L112" s="10">
        <f>2.7</f>
      </c>
      <c r="M112" s="21">
        <f>-3373000000</f>
      </c>
      <c r="N112" s="21">
        <f>61604000000</f>
      </c>
    </row>
    <row r="113">
      <c r="A113" s="22" t="s">
        <v>53</v>
      </c>
      <c r="B113" s="22" t="s">
        <v>132</v>
      </c>
      <c r="C113" s="22" t="s">
        <v>133</v>
      </c>
      <c r="D113" s="22" t="s">
        <v>124</v>
      </c>
      <c r="E113" s="22" t="s">
        <v>125</v>
      </c>
      <c r="F113" s="9">
        <f>4</f>
      </c>
      <c r="G113" s="10">
        <f>31.6</f>
      </c>
      <c r="H113" s="10">
        <f>5.9</f>
      </c>
      <c r="I113" s="11">
        <f>73.38</f>
      </c>
      <c r="J113" s="11">
        <f>391.35</f>
      </c>
      <c r="K113" s="10">
        <f>63</f>
      </c>
      <c r="L113" s="10">
        <f>4.4</f>
      </c>
      <c r="M113" s="21">
        <f>561000000</f>
      </c>
      <c r="N113" s="21">
        <f>8095000000</f>
      </c>
    </row>
    <row r="114">
      <c r="A114" s="22" t="s">
        <v>53</v>
      </c>
      <c r="B114" s="22" t="s">
        <v>132</v>
      </c>
      <c r="C114" s="22" t="s">
        <v>133</v>
      </c>
      <c r="D114" s="22" t="s">
        <v>126</v>
      </c>
      <c r="E114" s="22" t="s">
        <v>127</v>
      </c>
      <c r="F114" s="9">
        <f>20</f>
      </c>
      <c r="G114" s="10">
        <f>17</f>
      </c>
      <c r="H114" s="10">
        <f>2.2</f>
      </c>
      <c r="I114" s="11">
        <f>95.36</f>
      </c>
      <c r="J114" s="11">
        <f>753.33</f>
      </c>
      <c r="K114" s="10">
        <f>57</f>
      </c>
      <c r="L114" s="10">
        <f>2.5</f>
      </c>
      <c r="M114" s="21">
        <f>5330863000</f>
      </c>
      <c r="N114" s="21">
        <f>121820840549</f>
      </c>
    </row>
    <row r="115">
      <c r="A115" s="22" t="s">
        <v>53</v>
      </c>
      <c r="B115" s="22" t="s">
        <v>132</v>
      </c>
      <c r="C115" s="22" t="s">
        <v>133</v>
      </c>
      <c r="D115" s="22" t="s">
        <v>128</v>
      </c>
      <c r="E115" s="22" t="s">
        <v>129</v>
      </c>
      <c r="F115" s="9">
        <f>175</f>
      </c>
      <c r="G115" s="10">
        <f>28</f>
      </c>
      <c r="H115" s="10">
        <f>3.2</f>
      </c>
      <c r="I115" s="11">
        <f>48.51</f>
      </c>
      <c r="J115" s="11">
        <f>431.02</f>
      </c>
      <c r="K115" s="10">
        <f>32.3</f>
      </c>
      <c r="L115" s="10">
        <f>3.7</f>
      </c>
      <c r="M115" s="21">
        <f>58276449571</f>
      </c>
      <c r="N115" s="21">
        <f>503138279000</f>
      </c>
    </row>
    <row r="116">
      <c r="A116" s="22" t="s">
        <v>53</v>
      </c>
      <c r="B116" s="22" t="s">
        <v>134</v>
      </c>
      <c r="C116" s="22" t="s">
        <v>134</v>
      </c>
      <c r="D116" s="22" t="s">
        <v>135</v>
      </c>
      <c r="E116" s="22" t="s">
        <v>136</v>
      </c>
      <c r="F116" s="9">
        <f>99</f>
      </c>
      <c r="G116" s="10">
        <f>26.1</f>
      </c>
      <c r="H116" s="10">
        <f>2.7</f>
      </c>
      <c r="I116" s="11">
        <f>304.8</f>
      </c>
      <c r="J116" s="11">
        <f>2909.8</f>
      </c>
      <c r="K116" s="10">
        <f>20.9</f>
      </c>
      <c r="L116" s="10">
        <f>1.8</f>
      </c>
      <c r="M116" s="21">
        <f>29516402384615</f>
      </c>
      <c r="N116" s="21">
        <f>341087818000000</f>
      </c>
    </row>
    <row r="117">
      <c r="A117" s="22" t="s">
        <v>53</v>
      </c>
      <c r="B117" s="22" t="s">
        <v>134</v>
      </c>
      <c r="C117" s="22" t="s">
        <v>134</v>
      </c>
      <c r="D117" s="22" t="s">
        <v>137</v>
      </c>
      <c r="E117" s="22" t="s">
        <v>138</v>
      </c>
      <c r="F117" s="9">
        <f>397</f>
      </c>
      <c r="G117" s="10">
        <f>20.6</f>
      </c>
      <c r="H117" s="10">
        <f>1.6</f>
      </c>
      <c r="I117" s="11">
        <f>179.18</f>
      </c>
      <c r="J117" s="11">
        <f>2376.49</f>
      </c>
      <c r="K117" s="10">
        <f>19.9</f>
      </c>
      <c r="L117" s="10">
        <f>1.3</f>
      </c>
      <c r="M117" s="21">
        <f>13610300818400</f>
      </c>
      <c r="N117" s="21">
        <f>202743748420697</f>
      </c>
    </row>
    <row r="118">
      <c r="A118" s="22" t="s">
        <v>53</v>
      </c>
      <c r="B118" s="22" t="s">
        <v>134</v>
      </c>
      <c r="C118" s="22" t="s">
        <v>134</v>
      </c>
      <c r="D118" s="22" t="s">
        <v>139</v>
      </c>
      <c r="E118" s="22" t="s">
        <v>140</v>
      </c>
      <c r="F118" s="9">
        <f>1643</f>
      </c>
      <c r="G118" s="10">
        <f>16</f>
      </c>
      <c r="H118" s="10">
        <f>1.1</f>
      </c>
      <c r="I118" s="11">
        <f>124</f>
      </c>
      <c r="J118" s="11">
        <f>1823.32</f>
      </c>
      <c r="K118" s="10">
        <f>17.4</f>
      </c>
      <c r="L118" s="10">
        <f>1.2</f>
      </c>
      <c r="M118" s="21">
        <f>5887832132976</f>
      </c>
      <c r="N118" s="21">
        <f>88357381524568</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1357</f>
      </c>
      <c r="E6" s="23">
        <f>22.9</f>
      </c>
      <c r="F6" s="23">
        <f>1.9</f>
      </c>
      <c r="G6" s="11">
        <f>134.29</f>
      </c>
      <c r="H6" s="11">
        <f>1580.95</f>
      </c>
      <c r="I6" s="23">
        <f>22.7</f>
      </c>
      <c r="J6" s="23">
        <f>2.8</f>
      </c>
      <c r="K6" s="24">
        <f>33679126392449</f>
      </c>
      <c r="L6" s="24">
        <f>274104670560771</f>
      </c>
    </row>
    <row r="7">
      <c r="A7" s="22" t="s">
        <v>53</v>
      </c>
      <c r="B7" s="22" t="s">
        <v>130</v>
      </c>
      <c r="C7" s="22" t="s">
        <v>131</v>
      </c>
      <c r="D7" s="9">
        <f>1367</f>
      </c>
      <c r="E7" s="23">
        <f>17.5</f>
      </c>
      <c r="F7" s="23">
        <f>1</f>
      </c>
      <c r="G7" s="11">
        <f>86.83</f>
      </c>
      <c r="H7" s="11">
        <f>1460.14</f>
      </c>
      <c r="I7" s="23">
        <f>21.6</f>
      </c>
      <c r="J7" s="23">
        <f>1.4</f>
      </c>
      <c r="K7" s="24">
        <f>1103900364102</f>
      </c>
      <c r="L7" s="24">
        <f>17413409092096</f>
      </c>
    </row>
    <row r="8">
      <c r="A8" s="22" t="s">
        <v>53</v>
      </c>
      <c r="B8" s="22" t="s">
        <v>132</v>
      </c>
      <c r="C8" s="22" t="s">
        <v>133</v>
      </c>
      <c r="D8" s="9">
        <f>489</f>
      </c>
      <c r="E8" s="23">
        <f>58.1</f>
      </c>
      <c r="F8" s="23">
        <f>3.9</f>
      </c>
      <c r="G8" s="11">
        <f>22.88</f>
      </c>
      <c r="H8" s="11">
        <f>338.4</f>
      </c>
      <c r="I8" s="23">
        <f>"＊"</f>
      </c>
      <c r="J8" s="23">
        <f>4.4</f>
      </c>
      <c r="K8" s="24">
        <f>5023940000</f>
      </c>
      <c r="L8" s="24">
        <f>1441930308147</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