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4026"/>
  <workbookPr defaultThemeVersion="124226"/>
  <mc:AlternateContent>
    <mc:Choice Requires="x15">
      <x15ac:absPath xmlns:x15ac="http://schemas.microsoft.com/office/spreadsheetml/2010/11/ac" url="C:\ローカル\01_BO-X\svn\dev004_MarketChange\src\03_online-batch\04_xlsx\"/>
    </mc:Choice>
  </mc:AlternateContent>
  <xr:revisionPtr documentId="13_ncr:1_{406BDEAC-89FD-40ED-995F-56EF8468CFEB}" revIDLastSave="0" xr10:uidLastSave="{00000000-0000-0000-0000-000000000000}" xr6:coauthVersionLast="47" xr6:coauthVersionMax="47"/>
  <bookViews>
    <workbookView windowHeight="15840" windowWidth="29040" xWindow="-120" xr2:uid="{00000000-000D-0000-FFFF-FFFF00000000}" yWindow="-120"/>
  </bookViews>
  <sheets>
    <sheet name="規模別・業種別（連結）" r:id="rId1" sheetId="1"/>
    <sheet name="市場別（単体）" r:id="rId2" sheetId="2"/>
  </sheets>
  <definedNames>
    <definedName localSheetId="0" name="_xlnm.Print_Titles">'規模別・業種別（連結）'!$1:$4</definedName>
    <definedName localSheetId="1" name="_xlnm.Print_Titles">'市場別（単体）'!$1:$5</definedName>
  </definedNames>
  <calcPr calcId="191029"/>
</workbook>
</file>

<file path=xl/sharedStrings.xml><?xml version="1.0" encoding="utf-8"?>
<sst xmlns="http://schemas.openxmlformats.org/spreadsheetml/2006/main" count="638" uniqueCount="141">
  <si>
    <t>規模別・業種別　PER・PBR（連結）</t>
    <rPh eb="3" sb="0">
      <t>キボベツ</t>
    </rPh>
    <rPh eb="6" sb="4">
      <t>ギョウシュ</t>
    </rPh>
    <rPh eb="7" sb="6">
      <t>ベツ</t>
    </rPh>
    <rPh eb="18" sb="16">
      <t>レンケツ</t>
    </rPh>
    <phoneticPr fontId="3"/>
  </si>
  <si>
    <t>(注)1.集計対象は、連結財務諸表を作成している会社は連結、作成していない会社は単体の数値。
    2.「－」は該当数値なし、または、PER・PBRがマイナス値の場合。PER1000倍以上の場合は「＊」を表示</t>
    <phoneticPr fontId="6"/>
  </si>
  <si>
    <t>Notice 1.Figures for companies that produce consolidated financial statements are from those statements, and figures for
         companies that do not produce consolidated financial statements are from non-consolidated financial statements.
       2.""－"" represents no figure or PER・PBR&lt;0. ""＊"" represents PER&gt;1000.</t>
    <phoneticPr fontId="6"/>
  </si>
  <si>
    <t>Average PER and PBR by Size and Types of Industry（Consolidated）</t>
  </si>
  <si>
    <t>年月</t>
    <rPh eb="2" sb="0">
      <t>ネンゲツ</t>
    </rPh>
    <phoneticPr fontId="3"/>
  </si>
  <si>
    <t>市場区分名</t>
  </si>
  <si>
    <t>Section</t>
    <phoneticPr fontId="6"/>
  </si>
  <si>
    <t>種別</t>
    <rPh eb="2" sb="0">
      <t>シュベツ</t>
    </rPh>
    <phoneticPr fontId="3"/>
  </si>
  <si>
    <t>Industry</t>
    <phoneticPr fontId="2"/>
  </si>
  <si>
    <t>会社数</t>
    <rPh eb="2" sb="0">
      <t>カイシャ</t>
    </rPh>
    <rPh eb="3" sb="2">
      <t>スウ</t>
    </rPh>
    <phoneticPr fontId="3"/>
  </si>
  <si>
    <t>単純＿PER（倍）</t>
    <rPh eb="2" sb="0">
      <t>タンジュン</t>
    </rPh>
    <rPh eb="8" sb="7">
      <t>バイ</t>
    </rPh>
    <phoneticPr fontId="3"/>
  </si>
  <si>
    <t>単純＿PBR（倍）</t>
    <rPh eb="2" sb="0">
      <t>タンジュン</t>
    </rPh>
    <rPh eb="8" sb="7">
      <t>バイ</t>
    </rPh>
    <phoneticPr fontId="3"/>
  </si>
  <si>
    <t>単純＿1株当たり
当期純利益（円）</t>
    <rPh eb="2" sb="0">
      <t>タンジュン</t>
    </rPh>
    <rPh eb="5" sb="4">
      <t>カブ</t>
    </rPh>
    <rPh eb="6" sb="5">
      <t>ア</t>
    </rPh>
    <rPh eb="11" sb="9">
      <t>トウキ</t>
    </rPh>
    <rPh eb="14" sb="11">
      <t>ジュンリエキ</t>
    </rPh>
    <rPh eb="16" sb="15">
      <t>エン</t>
    </rPh>
    <phoneticPr fontId="3"/>
  </si>
  <si>
    <t>単純＿1株当たり
純資産（円）</t>
    <rPh eb="2" sb="0">
      <t>タンジュン</t>
    </rPh>
    <rPh eb="5" sb="4">
      <t>カブ</t>
    </rPh>
    <rPh eb="6" sb="5">
      <t>ア</t>
    </rPh>
    <rPh eb="12" sb="9">
      <t>ジュンシサン</t>
    </rPh>
    <rPh eb="14" sb="13">
      <t>エン</t>
    </rPh>
    <phoneticPr fontId="3"/>
  </si>
  <si>
    <t>加重＿PER（倍）</t>
    <rPh eb="2" sb="0">
      <t>カジュウ</t>
    </rPh>
    <rPh eb="8" sb="7">
      <t>バイ</t>
    </rPh>
    <phoneticPr fontId="3"/>
  </si>
  <si>
    <t>加重＿PBR（倍）</t>
    <rPh eb="2" sb="0">
      <t>カジュウ</t>
    </rPh>
    <rPh eb="8" sb="7">
      <t>バイ</t>
    </rPh>
    <phoneticPr fontId="3"/>
  </si>
  <si>
    <t>加重＿親会社株主に帰属する
当期純利益合計（円）</t>
    <rPh eb="2" sb="0">
      <t>カジュウ</t>
    </rPh>
    <rPh eb="6" sb="3">
      <t>オヤガイシャ</t>
    </rPh>
    <rPh eb="8" sb="6">
      <t>カブヌシ</t>
    </rPh>
    <rPh eb="11" sb="9">
      <t>キゾク</t>
    </rPh>
    <rPh eb="16" sb="14">
      <t>トウキ</t>
    </rPh>
    <rPh eb="19" sb="16">
      <t>ジュンリエキ</t>
    </rPh>
    <rPh eb="21" sb="19">
      <t>ゴウケイ</t>
    </rPh>
    <rPh eb="23" sb="22">
      <t>エン</t>
    </rPh>
    <phoneticPr fontId="3"/>
  </si>
  <si>
    <t>加重＿純資産合計（円）</t>
    <rPh eb="2" sb="0">
      <t>カジュウ</t>
    </rPh>
    <rPh eb="6" sb="3">
      <t>ジュンシサン</t>
    </rPh>
    <rPh eb="8" sb="6">
      <t>ゴウケイ</t>
    </rPh>
    <rPh eb="10" sb="9">
      <t>エン</t>
    </rPh>
    <phoneticPr fontId="3"/>
  </si>
  <si>
    <t>Year/Month</t>
  </si>
  <si>
    <t>No. of cos.</t>
  </si>
  <si>
    <t>Average_PER(times)</t>
  </si>
  <si>
    <t>Average_PBR(times)</t>
  </si>
  <si>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</si>
  <si>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</si>
  <si>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</si>
  <si>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</si>
  <si>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</si>
  <si>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</si>
  <si>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市場別　PER・PBR（単体）</t>
    <rPh eb="2" sb="0">
      <t>シジョウ</t>
    </rPh>
    <rPh eb="3" sb="2">
      <t>ベツ</t>
    </rPh>
    <rPh eb="14" sb="12">
      <t>タンタイ</t>
    </rPh>
    <phoneticPr fontId="3"/>
  </si>
  <si>
    <t>(注)1.「－」は該当数値なし、または、PER・PBRがマイナス値の場合。PER1000倍以上の場合は「＊」を表示</t>
    <phoneticPr fontId="6"/>
  </si>
  <si>
    <t>Notice 1."－" represents no figure or PER・PBR&lt;0. "＊" represents PER&gt;1000.</t>
    <phoneticPr fontId="6"/>
  </si>
  <si>
    <t>Average PER and PBR by Section（Non-Consolidated）</t>
    <phoneticPr fontId="6"/>
  </si>
  <si>
    <t xml:space="preserve">       2.Figures of Net Income and Net Assets are based on the fixed figures during</t>
    <phoneticPr fontId="6"/>
  </si>
  <si>
    <t>Section</t>
    <phoneticPr fontId="6"/>
  </si>
  <si>
    <t>会社数</t>
  </si>
  <si>
    <t>単純＿PER（倍）</t>
  </si>
  <si>
    <t>単純＿PBR（倍）</t>
    <phoneticPr fontId="6"/>
  </si>
  <si>
    <t>単純＿1株当たり
当期純利益（円）</t>
    <phoneticPr fontId="2"/>
  </si>
  <si>
    <t>単純＿1株当たり
純資産（円）</t>
    <phoneticPr fontId="2"/>
  </si>
  <si>
    <t>加重＿PER（倍）</t>
  </si>
  <si>
    <t>加重＿PBR（倍）</t>
  </si>
  <si>
    <t>加重＿当期純利益（円）</t>
    <phoneticPr fontId="2"/>
  </si>
  <si>
    <t>加重＿純資産（円）</t>
    <phoneticPr fontId="2"/>
  </si>
  <si>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</si>
  <si>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</si>
  <si>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</si>
  <si>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</si>
  <si>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</si>
  <si>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</si>
  <si>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 xml:space="preserve">    3.本表の作成に当たって使用した親会社株主に帰属する当期純利益及び純資産は、2023年8月期～2024年7月期の確定数値である。</t>
  </si>
  <si>
    <t xml:space="preserve">       3.Figures of Net Income and Net Assets are based on the fixed figures during the term from August of 2023 to July of 2024.</t>
  </si>
  <si>
    <t xml:space="preserve">    2.本表の作成に当たって使用した当期純利益及び純資産は、2023年8月期～2024年7月期の確定数値である。</t>
  </si>
  <si>
    <t xml:space="preserve">         the term from August of 2023 to July of 2024.</t>
  </si>
  <si>
    <t>2024/10</t>
  </si>
  <si>
    <t>プライム市場</t>
  </si>
  <si>
    <t>Prime</t>
  </si>
  <si>
    <t>総合</t>
  </si>
  <si>
    <t>Composite</t>
  </si>
  <si>
    <t>総合（金融業を除く）</t>
  </si>
  <si>
    <t>Non-Financial</t>
  </si>
  <si>
    <t xml:space="preserve">　　　　　 製造業</t>
  </si>
  <si>
    <t xml:space="preserve">　　　　 Manufacturing </t>
  </si>
  <si>
    <t xml:space="preserve">　　　　 非製造業</t>
  </si>
  <si>
    <t xml:space="preserve">　　　　 Non-Manufacturing </t>
  </si>
  <si>
    <t>1 水産・農林業</t>
  </si>
  <si>
    <t>1 Fishery,Agriculture &amp; Forestry</t>
  </si>
  <si>
    <t>2 鉱業</t>
  </si>
  <si>
    <t>2 Mining</t>
  </si>
  <si>
    <t>3 建設業</t>
  </si>
  <si>
    <t>3 Construction</t>
  </si>
  <si>
    <t>4 食料品</t>
  </si>
  <si>
    <t>4 Foods</t>
  </si>
  <si>
    <t>5 繊維製品</t>
  </si>
  <si>
    <t>5 Textiles &amp; Apparels</t>
  </si>
  <si>
    <t>6 パルプ・紙</t>
  </si>
  <si>
    <t>6 Pulp &amp; Paper</t>
  </si>
  <si>
    <t>7 化学</t>
  </si>
  <si>
    <t>7 Chemicals</t>
  </si>
  <si>
    <t>8 医薬品</t>
  </si>
  <si>
    <t>8 Pharmaceutical</t>
  </si>
  <si>
    <t>9 石油・石炭製品</t>
  </si>
  <si>
    <t>9 Oil &amp; Coal Products</t>
  </si>
  <si>
    <t>10 ゴム製品</t>
  </si>
  <si>
    <t>10 Rubber Products</t>
  </si>
  <si>
    <t>11 ガラス・土石製品</t>
  </si>
  <si>
    <t>11 Glass &amp; Ceramics Products</t>
  </si>
  <si>
    <t>12 鉄鋼</t>
  </si>
  <si>
    <t>12 Iron &amp; Steel</t>
  </si>
  <si>
    <t>13 非鉄金属</t>
  </si>
  <si>
    <t>13 Nonferrous Metals</t>
  </si>
  <si>
    <t>14 金属製品</t>
  </si>
  <si>
    <t>14 Metal Products</t>
  </si>
  <si>
    <t>15 機械</t>
  </si>
  <si>
    <t>15 Machinery</t>
  </si>
  <si>
    <t>16 電気機器</t>
  </si>
  <si>
    <t>16 Electric Appliances</t>
  </si>
  <si>
    <t>17 輸送用機器</t>
  </si>
  <si>
    <t>17 Transportation Equipment</t>
  </si>
  <si>
    <t>18 精密機器</t>
  </si>
  <si>
    <t>18 Precision Instruments</t>
  </si>
  <si>
    <t>19 その他製品</t>
  </si>
  <si>
    <t>19 Other Products</t>
  </si>
  <si>
    <t>20 電気・ガス業</t>
  </si>
  <si>
    <t>20 Electric Power &amp; Gas</t>
  </si>
  <si>
    <t>21 陸運業</t>
  </si>
  <si>
    <t>21 Land Transportation</t>
  </si>
  <si>
    <t>22 海運業</t>
  </si>
  <si>
    <t>22 Marine Transportation</t>
  </si>
  <si>
    <t>23 空運業</t>
  </si>
  <si>
    <t>23 Air Transportation</t>
  </si>
  <si>
    <t>24 倉庫・運輸関連業</t>
  </si>
  <si>
    <t>24 Warehousing &amp; Harbor Transportation Services</t>
  </si>
  <si>
    <t>25 情報・通信業</t>
  </si>
  <si>
    <t>25 Information &amp; Communication</t>
  </si>
  <si>
    <t>26 卸売業</t>
  </si>
  <si>
    <t>26 Wholesale Trade</t>
  </si>
  <si>
    <t>27 小売業</t>
  </si>
  <si>
    <t>27 Retail Trade</t>
  </si>
  <si>
    <t>28 銀行業</t>
  </si>
  <si>
    <t>28 Banks</t>
  </si>
  <si>
    <t>29 証券、商品先物取引業</t>
  </si>
  <si>
    <t>29 Securities &amp; Commodity Futures</t>
  </si>
  <si>
    <t>30 保険業</t>
  </si>
  <si>
    <t>30 Insurance</t>
  </si>
  <si>
    <t>31 その他金融業</t>
  </si>
  <si>
    <t>31 Other Financing Business</t>
  </si>
  <si>
    <t>32 不動産業</t>
  </si>
  <si>
    <t>32 Real Estate</t>
  </si>
  <si>
    <t>33 サービス業</t>
  </si>
  <si>
    <t>33 Services</t>
  </si>
  <si>
    <t>スタンダード市場</t>
  </si>
  <si>
    <t>Standard</t>
  </si>
  <si>
    <t>グロース市場</t>
  </si>
  <si>
    <t>Growth</t>
  </si>
  <si>
    <t>－</t>
  </si>
  <si>
    <t>大型株</t>
  </si>
  <si>
    <t xml:space="preserve">Large </t>
  </si>
  <si>
    <t>中型株</t>
  </si>
  <si>
    <t xml:space="preserve">Medium </t>
  </si>
  <si>
    <t>小型株</t>
  </si>
  <si>
    <t xml:space="preserve">Small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</si>
</sst>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_ ;[Red]\-#,##0\ "/>
  </numFmts>
  <fonts count="10" x14ac:knownFonts="1">
    <font>
      <sz val="11"/>
      <color theme="1"/>
      <name val="ＭＳ Ｐゴシック"/>
      <family val="2"/>
      <charset val="128"/>
      <scheme val="minor"/>
    </font>
    <font>
      <sz val="12"/>
      <name val="ＭＳ ゴシック"/>
      <family val="3"/>
      <charset val="128"/>
    </font>
    <font>
      <sz val="6"/>
      <name val="ＭＳ Ｐゴシック"/>
      <family val="2"/>
      <charset val="128"/>
      <scheme val="minor"/>
    </font>
    <font>
      <sz val="6"/>
      <name val="ＭＳ Ｐゴシック"/>
      <family val="3"/>
      <charset val="128"/>
      <scheme val="minor"/>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2"/>
      <scheme val="minor"/>
    </font>
    <font>
      <sz val="11"/>
      <name val="ＭＳ Ｐゴシック"/>
      <family val="2"/>
      <charset val="128"/>
      <scheme val="minor"/>
    </font>
    <font>
      <sz val="9"/>
      <name val="ＭＳ ゴシック"/>
      <family val="3"/>
      <charset val="128"/>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34">
    <xf borderId="0" fillId="0" fontId="0" numFmtId="0" xfId="0">
      <alignment vertical="center"/>
    </xf>
    <xf applyAlignment="1" applyBorder="1" applyFill="1" applyFont="1" applyNumberFormat="1" borderId="0" fillId="0" fontId="1" numFmtId="49" xfId="0">
      <alignment vertical="center"/>
    </xf>
    <xf applyBorder="1" applyFill="1" applyFont="1" borderId="0" fillId="0" fontId="4" numFmtId="0" xfId="0">
      <alignment vertical="center"/>
    </xf>
    <xf applyFont="1" borderId="0" fillId="0" fontId="7" numFmtId="0" xfId="0">
      <alignment vertical="center"/>
    </xf>
    <xf applyFont="1" applyNumberFormat="1" borderId="0" fillId="0" fontId="7" numFmtId="49" xfId="0">
      <alignment vertical="center"/>
    </xf>
    <xf applyFont="1" borderId="0" fillId="0" fontId="8" numFmtId="0" xfId="0">
      <alignment vertical="center"/>
    </xf>
    <xf applyAlignment="1" applyBorder="1" applyFill="1" applyFont="1" applyNumberFormat="1" borderId="1" fillId="0" fontId="4" numFmtId="49" xfId="0">
      <alignment vertical="center"/>
    </xf>
    <xf applyAlignment="1" applyBorder="1" applyFill="1" applyFont="1" applyNumberFormat="1" borderId="2" fillId="0" fontId="4" numFmtId="49" xfId="0">
      <alignment horizontal="center"/>
    </xf>
    <xf applyAlignment="1" applyBorder="1" applyFill="1" applyFont="1" applyNumberFormat="1" borderId="2" fillId="0" fontId="4" numFmtId="49" xfId="0">
      <alignment horizontal="center" wrapText="1"/>
    </xf>
    <xf applyAlignment="1" applyBorder="1" applyFont="1" applyNumberFormat="1" borderId="2" fillId="0" fontId="4" numFmtId="3" xfId="0">
      <alignment horizontal="right"/>
    </xf>
    <xf applyAlignment="1" applyBorder="1" applyFill="1" applyFont="1" applyNumberFormat="1" borderId="2" fillId="0" fontId="4" numFmtId="176" xfId="0">
      <alignment horizontal="right"/>
    </xf>
    <xf applyAlignment="1" applyBorder="1" applyFill="1" applyFont="1" applyNumberFormat="1" borderId="2" fillId="0" fontId="4" numFmtId="40" xfId="0">
      <alignment horizontal="right"/>
    </xf>
    <xf applyAlignment="1" applyBorder="1" applyFill="1" applyFont="1" applyNumberFormat="1" borderId="0" fillId="0" fontId="1" numFmtId="20" xfId="0">
      <alignment horizontal="left" vertical="center"/>
    </xf>
    <xf applyAlignment="1" applyBorder="1" applyFill="1" applyFont="1" borderId="0" fillId="0" fontId="5" numFmtId="0" xfId="0">
      <alignment wrapText="1"/>
    </xf>
    <xf applyBorder="1" applyFill="1" applyFont="1" applyNumberFormat="1" borderId="0" fillId="0" fontId="4" numFmtId="49" xfId="0">
      <alignment vertical="center"/>
    </xf>
    <xf applyAlignment="1" applyBorder="1" applyFill="1" applyFont="1" borderId="0" fillId="0" fontId="5" numFmtId="0" xfId="0">
      <alignment vertical="top" wrapText="1"/>
    </xf>
    <xf applyBorder="1" applyFill="1" applyFont="1" applyNumberFormat="1" borderId="1" fillId="0" fontId="4" numFmtId="49" xfId="0">
      <alignment vertical="center"/>
    </xf>
    <xf applyAlignment="1" applyBorder="1" applyFill="1" applyFont="1" borderId="1" fillId="0" fontId="5" numFmtId="0" xfId="0">
      <alignment vertical="top" wrapText="1"/>
    </xf>
    <xf applyFill="1" applyFont="1" borderId="0" fillId="0" fontId="7" numFmtId="0" xfId="0">
      <alignment vertical="center"/>
    </xf>
    <xf applyFill="1" applyFont="1" applyNumberFormat="1" borderId="0" fillId="0" fontId="7" numFmtId="49" xfId="0">
      <alignment vertical="center"/>
    </xf>
    <xf applyFill="1" applyFont="1" borderId="0" fillId="0" fontId="8" numFmtId="0" xfId="0">
      <alignment vertical="center"/>
    </xf>
    <xf applyAlignment="1" applyBorder="1" applyFont="1" applyNumberFormat="1" borderId="2" fillId="0" fontId="4" numFmtId="177" xfId="0">
      <alignment horizontal="right"/>
    </xf>
    <xf applyAlignment="1" applyBorder="1" applyFont="1" applyNumberFormat="1" borderId="2" fillId="0" fontId="4" numFmtId="49" xfId="0"/>
    <xf applyAlignment="1" applyBorder="1" applyFont="1" applyNumberFormat="1" borderId="2" fillId="0" fontId="4" numFmtId="176" xfId="0">
      <alignment horizontal="right"/>
    </xf>
    <xf applyAlignment="1" applyBorder="1" applyFont="1" applyNumberFormat="1" borderId="2" fillId="0" fontId="4" numFmtId="38" xfId="0">
      <alignment horizontal="right"/>
    </xf>
    <xf applyAlignment="1" applyBorder="1" applyFill="1" applyFont="1" borderId="0" fillId="0" fontId="5" numFmtId="0" xfId="0">
      <alignment horizontal="left" wrapText="1"/>
    </xf>
    <xf applyAlignment="1" applyBorder="1" applyFill="1" applyFont="1" borderId="0" fillId="0" fontId="5" numFmtId="0" xfId="0">
      <alignment horizontal="left" vertical="top" wrapText="1"/>
    </xf>
    <xf applyAlignment="1" applyBorder="1" applyFill="1" applyFont="1" applyNumberFormat="1" borderId="1" fillId="0" fontId="5" numFmtId="49" xfId="0">
      <alignment vertical="top" wrapText="1"/>
    </xf>
    <xf applyAlignment="1" applyBorder="1" applyFill="1" applyFont="1" applyNumberFormat="1" borderId="1" fillId="0" fontId="5" numFmtId="49" xfId="0">
      <alignment vertical="top"/>
    </xf>
    <xf applyAlignment="1" applyBorder="1" applyFill="1" applyFont="1" applyNumberFormat="1" borderId="3" fillId="0" fontId="9" numFmtId="49" xfId="0">
      <alignment horizontal="center" vertical="center"/>
    </xf>
    <xf applyAlignment="1" applyBorder="1" applyFill="1" applyFont="1" applyNumberFormat="1" borderId="4" fillId="0" fontId="9" numFmtId="49" xfId="0">
      <alignment horizontal="center" vertical="center"/>
    </xf>
    <xf applyAlignment="1" applyBorder="1" applyFill="1" applyFont="1" applyNumberFormat="1" borderId="3" fillId="0" fontId="4" numFmtId="49" xfId="0">
      <alignment horizontal="center" vertical="center"/>
    </xf>
    <xf applyAlignment="1" applyBorder="1" applyFill="1" applyFont="1" applyNumberFormat="1" borderId="4" fillId="0" fontId="4" numFmtId="49" xfId="0">
      <alignment horizontal="center" vertical="center"/>
    </xf>
    <xf applyAlignment="1" applyBorder="1" applyFill="1" applyFont="1" applyNumberFormat="1" borderId="0" fillId="0" fontId="5" numFmtId="49" xfId="0">
      <alignment vertical="top" wrapText="1"/>
    </xf>
  </cellXfs>
  <cellStyles count="1">
    <cellStyle builtinId="0" name="標準"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テーマ">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18"/>
  <sheetViews>
    <sheetView showGridLines="0" tabSelected="1" workbookViewId="0" zoomScaleNormal="100" zoomScaleSheetLayoutView="55">
      <pane activePane="bottomLeft" state="frozen" topLeftCell="A5" ySplit="4"/>
      <selection activeCell="A5" pane="bottomLeft" sqref="A5"/>
    </sheetView>
  </sheetViews>
  <sheetFormatPr defaultRowHeight="13.5" x14ac:dyDescent="0.15"/>
  <cols>
    <col min="1" max="1" customWidth="true" style="5" width="12.75" collapsed="true"/>
    <col min="2" max="2" customWidth="true" style="5" width="16.625" collapsed="true"/>
    <col min="3" max="3" bestFit="true" customWidth="true" style="5" width="11.75" collapsed="true"/>
    <col min="4" max="4" customWidth="true" style="5" width="22.875" collapsed="true"/>
    <col min="5" max="5" bestFit="true" customWidth="true" style="5" width="47.125" collapsed="true"/>
    <col min="6" max="6" customWidth="true" style="5" width="12.625" collapsed="true"/>
    <col min="7" max="10" customWidth="true" style="5" width="20.625" collapsed="true"/>
    <col min="11" max="14" customWidth="true" style="5" width="26.125" collapsed="true"/>
    <col min="15" max="17" style="5" width="9.0" collapsed="true"/>
    <col min="18" max="18" customWidth="true" style="5" width="9.0" collapsed="true"/>
    <col min="19" max="19" style="5" width="9.0" collapsed="true"/>
    <col min="20" max="21" customWidth="true" style="5" width="9.0" collapsed="true"/>
    <col min="22" max="16384" style="5" width="9.0" collapsed="true"/>
  </cols>
  <sheetData>
    <row customHeight="1" ht="33.75" r="1" spans="1:28" x14ac:dyDescent="0.15">
      <c r="A1" s="1" t="s">
        <v>0</v>
      </c>
      <c r="B1" s="2"/>
      <c r="C1" s="2"/>
      <c r="D1" s="2"/>
      <c r="E1" s="2"/>
      <c r="F1" s="25" t="s">
        <v>1</v>
      </c>
      <c r="G1" s="25"/>
      <c r="H1" s="25"/>
      <c r="I1" s="25"/>
      <c r="J1" s="25"/>
      <c r="K1" s="26" t="s">
        <v>2</v>
      </c>
      <c r="L1" s="26"/>
      <c r="M1" s="26"/>
      <c r="N1" s="26"/>
      <c r="O1" s="3"/>
      <c r="P1" s="3"/>
      <c r="Q1" s="3"/>
      <c r="R1" s="4"/>
      <c r="S1" s="3"/>
      <c r="T1" s="3"/>
      <c r="U1" s="3"/>
      <c r="V1" s="3"/>
      <c r="W1" s="3"/>
      <c r="X1" s="3"/>
      <c r="Y1" s="3"/>
      <c r="Z1" s="3"/>
      <c r="AA1" s="3"/>
      <c r="AB1" s="3"/>
    </row>
    <row customHeight="1" ht="27" r="2" spans="1:28" x14ac:dyDescent="0.15">
      <c r="A2" s="6" t="s">
        <v>3</v>
      </c>
      <c r="B2" s="2"/>
      <c r="C2" s="2"/>
      <c r="D2" s="2"/>
      <c r="E2" s="2"/>
      <c r="F2" s="27" t="s">
        <v>49</v>
      </c>
      <c r="G2" s="28"/>
      <c r="H2" s="28"/>
      <c r="I2" s="28"/>
      <c r="J2" s="28"/>
      <c r="K2" s="27" t="s">
        <v>50</v>
      </c>
      <c r="L2" s="27"/>
      <c r="M2" s="27"/>
      <c r="N2" s="27"/>
      <c r="O2" s="3"/>
      <c r="P2" s="3"/>
      <c r="Q2" s="3"/>
      <c r="R2" s="4"/>
      <c r="S2" s="3"/>
      <c r="T2" s="3"/>
      <c r="U2" s="3"/>
      <c r="V2" s="3"/>
      <c r="W2" s="3"/>
      <c r="X2" s="3"/>
      <c r="Y2" s="3"/>
      <c r="Z2" s="3"/>
      <c r="AA2" s="3"/>
      <c r="AB2" s="3"/>
    </row>
    <row ht="24" r="3" spans="1:28" x14ac:dyDescent="0.15">
      <c r="A3" s="7" t="s">
        <v>4</v>
      </c>
      <c r="B3" s="29" t="s">
        <v>5</v>
      </c>
      <c r="C3" s="31" t="s">
        <v>6</v>
      </c>
      <c r="D3" s="31" t="s">
        <v>7</v>
      </c>
      <c r="E3" s="31" t="s">
        <v>8</v>
      </c>
      <c r="F3" s="7" t="s">
        <v>9</v>
      </c>
      <c r="G3" s="7" t="s">
        <v>10</v>
      </c>
      <c r="H3" s="7" t="s">
        <v>11</v>
      </c>
      <c r="I3" s="8" t="s">
        <v>12</v>
      </c>
      <c r="J3" s="8" t="s">
        <v>13</v>
      </c>
      <c r="K3" s="7" t="s">
        <v>14</v>
      </c>
      <c r="L3" s="7" t="s">
        <v>15</v>
      </c>
      <c r="M3" s="8" t="s">
        <v>16</v>
      </c>
      <c r="N3" s="7" t="s">
        <v>17</v>
      </c>
      <c r="O3" s="3"/>
      <c r="P3" s="3"/>
      <c r="Q3" s="3"/>
      <c r="R3" s="4"/>
      <c r="S3" s="4"/>
      <c r="T3" s="4"/>
      <c r="U3" s="4"/>
      <c r="V3" s="4"/>
      <c r="W3" s="4"/>
      <c r="X3" s="4"/>
      <c r="Y3" s="4"/>
      <c r="Z3" s="4"/>
      <c r="AA3" s="4"/>
      <c r="AB3" s="4"/>
    </row>
    <row ht="24" r="4" spans="1:28" x14ac:dyDescent="0.15">
      <c r="A4" s="7" t="s">
        <v>18</v>
      </c>
      <c r="B4" s="30"/>
      <c r="C4" s="32"/>
      <c r="D4" s="32"/>
      <c r="E4" s="32"/>
      <c r="F4" s="7" t="s">
        <v>19</v>
      </c>
      <c r="G4" s="7" t="s">
        <v>20</v>
      </c>
      <c r="H4" s="7" t="s">
        <v>21</v>
      </c>
      <c r="I4" s="8" t="s">
        <v>22</v>
      </c>
      <c r="J4" s="8" t="s">
        <v>23</v>
      </c>
      <c r="K4" s="8" t="s">
        <v>24</v>
      </c>
      <c r="L4" s="8" t="s">
        <v>25</v>
      </c>
      <c r="M4" s="8" t="s">
        <v>26</v>
      </c>
      <c r="N4" s="8" t="s">
        <v>27</v>
      </c>
      <c r="O4" s="3"/>
      <c r="P4" s="3"/>
      <c r="Q4" s="3"/>
      <c r="R4" s="4"/>
      <c r="S4" s="4"/>
      <c r="T4" s="4"/>
      <c r="U4" s="4"/>
      <c r="V4" s="4"/>
      <c r="W4" s="4"/>
      <c r="X4" s="4"/>
      <c r="Y4" s="4"/>
      <c r="Z4" s="4"/>
      <c r="AA4" s="4"/>
      <c r="AB4" s="4"/>
    </row>
    <row r="5" spans="1:28" x14ac:dyDescent="0.15">
      <c r="A5" s="22" t="s">
        <v>53</v>
      </c>
      <c r="B5" s="22" t="s">
        <v>54</v>
      </c>
      <c r="C5" s="22" t="s">
        <v>55</v>
      </c>
      <c r="D5" s="22" t="s">
        <v>56</v>
      </c>
      <c r="E5" s="22" t="s">
        <v>57</v>
      </c>
      <c r="F5" s="9">
        <f>1634</f>
      </c>
      <c r="G5" s="10">
        <f>16.8</f>
      </c>
      <c r="H5" s="10">
        <f>1.2</f>
      </c>
      <c r="I5" s="11">
        <f>162.36</f>
      </c>
      <c r="J5" s="11">
        <f>2243.45</f>
      </c>
      <c r="K5" s="10">
        <f>16.7</f>
      </c>
      <c r="L5" s="10">
        <f>1.4</f>
      </c>
      <c r="M5" s="21">
        <f>56218119350496</f>
      </c>
      <c r="N5" s="21">
        <f>695662516950204</f>
      </c>
      <c r="O5" s="3"/>
      <c r="P5" s="3"/>
      <c r="Q5" s="4"/>
      <c r="R5" s="4"/>
      <c r="S5" s="4"/>
      <c r="T5" s="4"/>
      <c r="U5" s="4"/>
      <c r="V5" s="4"/>
      <c r="W5" s="4"/>
      <c r="X5" s="4"/>
      <c r="Y5" s="4"/>
      <c r="Z5" s="4"/>
      <c r="AA5" s="4"/>
    </row>
    <row r="6">
      <c r="A6" s="22" t="s">
        <v>53</v>
      </c>
      <c r="B6" s="22" t="s">
        <v>54</v>
      </c>
      <c r="C6" s="22" t="s">
        <v>55</v>
      </c>
      <c r="D6" s="22" t="s">
        <v>58</v>
      </c>
      <c r="E6" s="22" t="s">
        <v>59</v>
      </c>
      <c r="F6" s="9">
        <f>1518</f>
      </c>
      <c r="G6" s="10">
        <f>17.2</f>
      </c>
      <c r="H6" s="10">
        <f>1.3</f>
      </c>
      <c r="I6" s="11">
        <f>161.35</f>
      </c>
      <c r="J6" s="11">
        <f>2122.36</f>
      </c>
      <c r="K6" s="10">
        <f>17.3</f>
      </c>
      <c r="L6" s="10">
        <f>1.5</f>
      </c>
      <c r="M6" s="21">
        <f>48109069503496</f>
      </c>
      <c r="N6" s="21">
        <f>568812288647204</f>
      </c>
    </row>
    <row r="7">
      <c r="A7" s="22" t="s">
        <v>53</v>
      </c>
      <c r="B7" s="22" t="s">
        <v>54</v>
      </c>
      <c r="C7" s="22" t="s">
        <v>55</v>
      </c>
      <c r="D7" s="22" t="s">
        <v>60</v>
      </c>
      <c r="E7" s="22" t="s">
        <v>61</v>
      </c>
      <c r="F7" s="9">
        <f>709</f>
      </c>
      <c r="G7" s="10">
        <f>18.5</f>
      </c>
      <c r="H7" s="10">
        <f>1.2</f>
      </c>
      <c r="I7" s="11">
        <f>167.3</f>
      </c>
      <c r="J7" s="11">
        <f>2575.59</f>
      </c>
      <c r="K7" s="10">
        <f>17.8</f>
      </c>
      <c r="L7" s="10">
        <f>1.5</f>
      </c>
      <c r="M7" s="21">
        <f>27786254053306</f>
      </c>
      <c r="N7" s="21">
        <f>328658642365433</f>
      </c>
    </row>
    <row r="8">
      <c r="A8" s="22" t="s">
        <v>53</v>
      </c>
      <c r="B8" s="22" t="s">
        <v>54</v>
      </c>
      <c r="C8" s="22" t="s">
        <v>55</v>
      </c>
      <c r="D8" s="22" t="s">
        <v>62</v>
      </c>
      <c r="E8" s="22" t="s">
        <v>63</v>
      </c>
      <c r="F8" s="9">
        <f>809</f>
      </c>
      <c r="G8" s="10">
        <f>16</f>
      </c>
      <c r="H8" s="10">
        <f>1.5</f>
      </c>
      <c r="I8" s="11">
        <f>156.13</f>
      </c>
      <c r="J8" s="11">
        <f>1725.16</f>
      </c>
      <c r="K8" s="10">
        <f>16.6</f>
      </c>
      <c r="L8" s="10">
        <f>1.4</f>
      </c>
      <c r="M8" s="21">
        <f>20322815450190</f>
      </c>
      <c r="N8" s="21">
        <f>240153646281771</f>
      </c>
    </row>
    <row r="9">
      <c r="A9" s="22" t="s">
        <v>53</v>
      </c>
      <c r="B9" s="22" t="s">
        <v>54</v>
      </c>
      <c r="C9" s="22" t="s">
        <v>55</v>
      </c>
      <c r="D9" s="22" t="s">
        <v>64</v>
      </c>
      <c r="E9" s="22" t="s">
        <v>65</v>
      </c>
      <c r="F9" s="9">
        <f>6</f>
      </c>
      <c r="G9" s="10">
        <f>9.9</f>
      </c>
      <c r="H9" s="10">
        <f>0.9</f>
      </c>
      <c r="I9" s="11">
        <f>244.67</f>
      </c>
      <c r="J9" s="11">
        <f>2656.87</f>
      </c>
      <c r="K9" s="10">
        <f>10.6</f>
      </c>
      <c r="L9" s="10">
        <f>1</f>
      </c>
      <c r="M9" s="21">
        <f>71684000000</f>
      </c>
      <c r="N9" s="21">
        <f>788521000000</f>
      </c>
    </row>
    <row r="10">
      <c r="A10" s="22" t="s">
        <v>53</v>
      </c>
      <c r="B10" s="22" t="s">
        <v>54</v>
      </c>
      <c r="C10" s="22" t="s">
        <v>55</v>
      </c>
      <c r="D10" s="22" t="s">
        <v>66</v>
      </c>
      <c r="E10" s="22" t="s">
        <v>67</v>
      </c>
      <c r="F10" s="9">
        <f>4</f>
      </c>
      <c r="G10" s="10">
        <f>9.5</f>
      </c>
      <c r="H10" s="10">
        <f>0.6</f>
      </c>
      <c r="I10" s="11">
        <f>281.8</f>
      </c>
      <c r="J10" s="11">
        <f>4475.93</f>
      </c>
      <c r="K10" s="10">
        <f>6.8</f>
      </c>
      <c r="L10" s="10">
        <f>0.6</f>
      </c>
      <c r="M10" s="21">
        <f>438258000000</f>
      </c>
      <c r="N10" s="21">
        <f>5200407000000</f>
      </c>
    </row>
    <row r="11">
      <c r="A11" s="22" t="s">
        <v>53</v>
      </c>
      <c r="B11" s="22" t="s">
        <v>54</v>
      </c>
      <c r="C11" s="22" t="s">
        <v>55</v>
      </c>
      <c r="D11" s="22" t="s">
        <v>68</v>
      </c>
      <c r="E11" s="22" t="s">
        <v>69</v>
      </c>
      <c r="F11" s="9">
        <f>74</f>
      </c>
      <c r="G11" s="10">
        <f>14</f>
      </c>
      <c r="H11" s="10">
        <f>1.1</f>
      </c>
      <c r="I11" s="11">
        <f>172.31</f>
      </c>
      <c r="J11" s="11">
        <f>2273</f>
      </c>
      <c r="K11" s="10">
        <f>14</f>
      </c>
      <c r="L11" s="10">
        <f>1.1</f>
      </c>
      <c r="M11" s="21">
        <f>1470386000000</f>
      </c>
      <c r="N11" s="21">
        <f>18176707978000</f>
      </c>
    </row>
    <row r="12">
      <c r="A12" s="22" t="s">
        <v>53</v>
      </c>
      <c r="B12" s="22" t="s">
        <v>54</v>
      </c>
      <c r="C12" s="22" t="s">
        <v>55</v>
      </c>
      <c r="D12" s="22" t="s">
        <v>70</v>
      </c>
      <c r="E12" s="22" t="s">
        <v>71</v>
      </c>
      <c r="F12" s="9">
        <f>67</f>
      </c>
      <c r="G12" s="10">
        <f>19.5</f>
      </c>
      <c r="H12" s="10">
        <f>1.3</f>
      </c>
      <c r="I12" s="11">
        <f>146.46</f>
      </c>
      <c r="J12" s="11">
        <f>2271.39</f>
      </c>
      <c r="K12" s="10">
        <f>20</f>
      </c>
      <c r="L12" s="10">
        <f>1.7</f>
      </c>
      <c r="M12" s="21">
        <f>1697915000000</f>
      </c>
      <c r="N12" s="21">
        <f>20416776358217</f>
      </c>
    </row>
    <row r="13">
      <c r="A13" s="22" t="s">
        <v>53</v>
      </c>
      <c r="B13" s="22" t="s">
        <v>54</v>
      </c>
      <c r="C13" s="22" t="s">
        <v>55</v>
      </c>
      <c r="D13" s="22" t="s">
        <v>72</v>
      </c>
      <c r="E13" s="22" t="s">
        <v>73</v>
      </c>
      <c r="F13" s="9">
        <f>21</f>
      </c>
      <c r="G13" s="10">
        <f>21.7</f>
      </c>
      <c r="H13" s="10">
        <f>1</f>
      </c>
      <c r="I13" s="11">
        <f>123.88</f>
      </c>
      <c r="J13" s="11">
        <f>2688.65</f>
      </c>
      <c r="K13" s="10">
        <f>30.6</f>
      </c>
      <c r="L13" s="10">
        <f>0.9</f>
      </c>
      <c r="M13" s="21">
        <f>121325909091</f>
      </c>
      <c r="N13" s="21">
        <f>4097221000000</f>
      </c>
    </row>
    <row r="14">
      <c r="A14" s="22" t="s">
        <v>53</v>
      </c>
      <c r="B14" s="22" t="s">
        <v>54</v>
      </c>
      <c r="C14" s="22" t="s">
        <v>55</v>
      </c>
      <c r="D14" s="22" t="s">
        <v>74</v>
      </c>
      <c r="E14" s="22" t="s">
        <v>75</v>
      </c>
      <c r="F14" s="9">
        <f>10</f>
      </c>
      <c r="G14" s="10">
        <f>9.5</f>
      </c>
      <c r="H14" s="10">
        <f>0.5</f>
      </c>
      <c r="I14" s="11">
        <f>172.08</f>
      </c>
      <c r="J14" s="11">
        <f>3068.24</f>
      </c>
      <c r="K14" s="10">
        <f>11</f>
      </c>
      <c r="L14" s="10">
        <f>0.5</f>
      </c>
      <c r="M14" s="21">
        <f>142908000000</f>
      </c>
      <c r="N14" s="21">
        <f>2933226000000</f>
      </c>
    </row>
    <row r="15">
      <c r="A15" s="22" t="s">
        <v>53</v>
      </c>
      <c r="B15" s="22" t="s">
        <v>54</v>
      </c>
      <c r="C15" s="22" t="s">
        <v>55</v>
      </c>
      <c r="D15" s="22" t="s">
        <v>76</v>
      </c>
      <c r="E15" s="22" t="s">
        <v>77</v>
      </c>
      <c r="F15" s="9">
        <f>120</f>
      </c>
      <c r="G15" s="10">
        <f>20.4</f>
      </c>
      <c r="H15" s="10">
        <f>1.1</f>
      </c>
      <c r="I15" s="11">
        <f>125.75</f>
      </c>
      <c r="J15" s="11">
        <f>2428.85</f>
      </c>
      <c r="K15" s="10">
        <f>24.4</f>
      </c>
      <c r="L15" s="10">
        <f>1.5</f>
      </c>
      <c r="M15" s="21">
        <f>2175585000000</f>
      </c>
      <c r="N15" s="21">
        <f>36160014000000</f>
      </c>
    </row>
    <row r="16">
      <c r="A16" s="22" t="s">
        <v>53</v>
      </c>
      <c r="B16" s="22" t="s">
        <v>54</v>
      </c>
      <c r="C16" s="22" t="s">
        <v>55</v>
      </c>
      <c r="D16" s="22" t="s">
        <v>78</v>
      </c>
      <c r="E16" s="22" t="s">
        <v>79</v>
      </c>
      <c r="F16" s="9">
        <f>34</f>
      </c>
      <c r="G16" s="10">
        <f>27.8</f>
      </c>
      <c r="H16" s="10">
        <f>1.4</f>
      </c>
      <c r="I16" s="11">
        <f>106.9</f>
      </c>
      <c r="J16" s="11">
        <f>2071.56</f>
      </c>
      <c r="K16" s="10">
        <f>43.1</f>
      </c>
      <c r="L16" s="10">
        <f>2.2</f>
      </c>
      <c r="M16" s="21">
        <f>1111573000000</f>
      </c>
      <c r="N16" s="21">
        <f>21582959000000</f>
      </c>
    </row>
    <row r="17">
      <c r="A17" s="22" t="s">
        <v>53</v>
      </c>
      <c r="B17" s="22" t="s">
        <v>54</v>
      </c>
      <c r="C17" s="22" t="s">
        <v>55</v>
      </c>
      <c r="D17" s="22" t="s">
        <v>80</v>
      </c>
      <c r="E17" s="22" t="s">
        <v>81</v>
      </c>
      <c r="F17" s="9">
        <f>6</f>
      </c>
      <c r="G17" s="10">
        <f>8</f>
      </c>
      <c r="H17" s="10">
        <f>0.9</f>
      </c>
      <c r="I17" s="11">
        <f>255.71</f>
      </c>
      <c r="J17" s="11">
        <f>2400.18</f>
      </c>
      <c r="K17" s="10">
        <f>7.4</f>
      </c>
      <c r="L17" s="10">
        <f>0.7</f>
      </c>
      <c r="M17" s="21">
        <f>620601000000</f>
      </c>
      <c r="N17" s="21">
        <f>6460661000000</f>
      </c>
    </row>
    <row r="18">
      <c r="A18" s="22" t="s">
        <v>53</v>
      </c>
      <c r="B18" s="22" t="s">
        <v>54</v>
      </c>
      <c r="C18" s="22" t="s">
        <v>55</v>
      </c>
      <c r="D18" s="22" t="s">
        <v>82</v>
      </c>
      <c r="E18" s="22" t="s">
        <v>83</v>
      </c>
      <c r="F18" s="9">
        <f>11</f>
      </c>
      <c r="G18" s="10">
        <f>10.3</f>
      </c>
      <c r="H18" s="10">
        <f>0.9</f>
      </c>
      <c r="I18" s="11">
        <f>279.93</f>
      </c>
      <c r="J18" s="11">
        <f>3211.98</f>
      </c>
      <c r="K18" s="10">
        <f>10.4</f>
      </c>
      <c r="L18" s="10">
        <f>1</f>
      </c>
      <c r="M18" s="21">
        <f>563330000000</f>
      </c>
      <c r="N18" s="21">
        <f>5909134000000</f>
      </c>
    </row>
    <row r="19">
      <c r="A19" s="22" t="s">
        <v>53</v>
      </c>
      <c r="B19" s="22" t="s">
        <v>54</v>
      </c>
      <c r="C19" s="22" t="s">
        <v>55</v>
      </c>
      <c r="D19" s="22" t="s">
        <v>84</v>
      </c>
      <c r="E19" s="22" t="s">
        <v>85</v>
      </c>
      <c r="F19" s="9">
        <f>23</f>
      </c>
      <c r="G19" s="10">
        <f>18.3</f>
      </c>
      <c r="H19" s="10">
        <f>1.4</f>
      </c>
      <c r="I19" s="11">
        <f>263.43</f>
      </c>
      <c r="J19" s="11">
        <f>3360.66</f>
      </c>
      <c r="K19" s="10">
        <f>15.4</f>
      </c>
      <c r="L19" s="10">
        <f>1</f>
      </c>
      <c r="M19" s="21">
        <f>417771000000</f>
      </c>
      <c r="N19" s="21">
        <f>6538880093647</f>
      </c>
    </row>
    <row r="20">
      <c r="A20" s="22" t="s">
        <v>53</v>
      </c>
      <c r="B20" s="22" t="s">
        <v>54</v>
      </c>
      <c r="C20" s="22" t="s">
        <v>55</v>
      </c>
      <c r="D20" s="22" t="s">
        <v>86</v>
      </c>
      <c r="E20" s="22" t="s">
        <v>87</v>
      </c>
      <c r="F20" s="9">
        <f>22</f>
      </c>
      <c r="G20" s="10">
        <f>8</f>
      </c>
      <c r="H20" s="10">
        <f>0.6</f>
      </c>
      <c r="I20" s="11">
        <f>333.52</f>
      </c>
      <c r="J20" s="11">
        <f>4353.7</f>
      </c>
      <c r="K20" s="10">
        <f>6.4</f>
      </c>
      <c r="L20" s="10">
        <f>0.6</f>
      </c>
      <c r="M20" s="21">
        <f>1127737000000</f>
      </c>
      <c r="N20" s="21">
        <f>12296056000000</f>
      </c>
    </row>
    <row r="21">
      <c r="A21" s="22" t="s">
        <v>53</v>
      </c>
      <c r="B21" s="22" t="s">
        <v>54</v>
      </c>
      <c r="C21" s="22" t="s">
        <v>55</v>
      </c>
      <c r="D21" s="22" t="s">
        <v>88</v>
      </c>
      <c r="E21" s="22" t="s">
        <v>89</v>
      </c>
      <c r="F21" s="9">
        <f>20</f>
      </c>
      <c r="G21" s="10">
        <f>80.4</f>
      </c>
      <c r="H21" s="10">
        <f>0.8</f>
      </c>
      <c r="I21" s="11">
        <f>35.82</f>
      </c>
      <c r="J21" s="11">
        <f>3445.28</f>
      </c>
      <c r="K21" s="10">
        <f>17.8</f>
      </c>
      <c r="L21" s="10">
        <f>0.9</f>
      </c>
      <c r="M21" s="21">
        <f>400905000000</f>
      </c>
      <c r="N21" s="21">
        <f>7840584000000</f>
      </c>
    </row>
    <row r="22">
      <c r="A22" s="22" t="s">
        <v>53</v>
      </c>
      <c r="B22" s="22" t="s">
        <v>54</v>
      </c>
      <c r="C22" s="22" t="s">
        <v>55</v>
      </c>
      <c r="D22" s="22" t="s">
        <v>90</v>
      </c>
      <c r="E22" s="22" t="s">
        <v>91</v>
      </c>
      <c r="F22" s="9">
        <f>28</f>
      </c>
      <c r="G22" s="10">
        <f>17.5</f>
      </c>
      <c r="H22" s="10">
        <f>0.7</f>
      </c>
      <c r="I22" s="11">
        <f>105.21</f>
      </c>
      <c r="J22" s="11">
        <f>2672.95</f>
      </c>
      <c r="K22" s="10">
        <f>17.8</f>
      </c>
      <c r="L22" s="10">
        <f>0.9</f>
      </c>
      <c r="M22" s="21">
        <f>255128000000</f>
      </c>
      <c r="N22" s="21">
        <f>4978567000000</f>
      </c>
    </row>
    <row r="23">
      <c r="A23" s="22" t="s">
        <v>53</v>
      </c>
      <c r="B23" s="22" t="s">
        <v>54</v>
      </c>
      <c r="C23" s="22" t="s">
        <v>55</v>
      </c>
      <c r="D23" s="22" t="s">
        <v>92</v>
      </c>
      <c r="E23" s="22" t="s">
        <v>93</v>
      </c>
      <c r="F23" s="9">
        <f>113</f>
      </c>
      <c r="G23" s="10">
        <f>16.6</f>
      </c>
      <c r="H23" s="10">
        <f>1.4</f>
      </c>
      <c r="I23" s="11">
        <f>219.76</f>
      </c>
      <c r="J23" s="11">
        <f>2557.56</f>
      </c>
      <c r="K23" s="10">
        <f>19</f>
      </c>
      <c r="L23" s="10">
        <f>1.7</f>
      </c>
      <c r="M23" s="21">
        <f>2557914000000</f>
      </c>
      <c r="N23" s="21">
        <f>28777863000000</f>
      </c>
    </row>
    <row r="24">
      <c r="A24" s="22" t="s">
        <v>53</v>
      </c>
      <c r="B24" s="22" t="s">
        <v>54</v>
      </c>
      <c r="C24" s="22" t="s">
        <v>55</v>
      </c>
      <c r="D24" s="22" t="s">
        <v>94</v>
      </c>
      <c r="E24" s="22" t="s">
        <v>95</v>
      </c>
      <c r="F24" s="9">
        <f>129</f>
      </c>
      <c r="G24" s="10">
        <f>24.2</f>
      </c>
      <c r="H24" s="10">
        <f>1.6</f>
      </c>
      <c r="I24" s="11">
        <f>156.37</f>
      </c>
      <c r="J24" s="11">
        <f>2367.18</f>
      </c>
      <c r="K24" s="10">
        <f>25.1</f>
      </c>
      <c r="L24" s="10">
        <f>2.2</f>
      </c>
      <c r="M24" s="21">
        <f>5891927644215</f>
      </c>
      <c r="N24" s="21">
        <f>67903584815509</f>
      </c>
    </row>
    <row r="25">
      <c r="A25" s="22" t="s">
        <v>53</v>
      </c>
      <c r="B25" s="22" t="s">
        <v>54</v>
      </c>
      <c r="C25" s="22" t="s">
        <v>55</v>
      </c>
      <c r="D25" s="22" t="s">
        <v>96</v>
      </c>
      <c r="E25" s="22" t="s">
        <v>97</v>
      </c>
      <c r="F25" s="9">
        <f>41</f>
      </c>
      <c r="G25" s="10">
        <f>13.3</f>
      </c>
      <c r="H25" s="10">
        <f>0.8</f>
      </c>
      <c r="I25" s="11">
        <f>194.44</f>
      </c>
      <c r="J25" s="11">
        <f>3301.59</f>
      </c>
      <c r="K25" s="10">
        <f>9</f>
      </c>
      <c r="L25" s="10">
        <f>0.9</f>
      </c>
      <c r="M25" s="21">
        <f>8867944500000</f>
      </c>
      <c r="N25" s="21">
        <f>87080861098060</f>
      </c>
    </row>
    <row r="26">
      <c r="A26" s="22" t="s">
        <v>53</v>
      </c>
      <c r="B26" s="22" t="s">
        <v>54</v>
      </c>
      <c r="C26" s="22" t="s">
        <v>55</v>
      </c>
      <c r="D26" s="22" t="s">
        <v>98</v>
      </c>
      <c r="E26" s="22" t="s">
        <v>99</v>
      </c>
      <c r="F26" s="9">
        <f>27</f>
      </c>
      <c r="G26" s="10">
        <f>21.1</f>
      </c>
      <c r="H26" s="10">
        <f>1.8</f>
      </c>
      <c r="I26" s="11">
        <f>157</f>
      </c>
      <c r="J26" s="11">
        <f>1886.43</f>
      </c>
      <c r="K26" s="10">
        <f>25.7</f>
      </c>
      <c r="L26" s="10">
        <f>3.2</f>
      </c>
      <c r="M26" s="21">
        <f>778555000000</f>
      </c>
      <c r="N26" s="21">
        <f>6250418000000</f>
      </c>
    </row>
    <row r="27">
      <c r="A27" s="22" t="s">
        <v>53</v>
      </c>
      <c r="B27" s="22" t="s">
        <v>54</v>
      </c>
      <c r="C27" s="22" t="s">
        <v>55</v>
      </c>
      <c r="D27" s="22" t="s">
        <v>100</v>
      </c>
      <c r="E27" s="22" t="s">
        <v>101</v>
      </c>
      <c r="F27" s="9">
        <f>37</f>
      </c>
      <c r="G27" s="10">
        <f>14.5</f>
      </c>
      <c r="H27" s="10">
        <f>1.3</f>
      </c>
      <c r="I27" s="11">
        <f>185.56</f>
      </c>
      <c r="J27" s="11">
        <f>2098.47</f>
      </c>
      <c r="K27" s="10">
        <f>20.7</f>
      </c>
      <c r="L27" s="10">
        <f>2.3</f>
      </c>
      <c r="M27" s="21">
        <f>1055134000000</f>
      </c>
      <c r="N27" s="21">
        <f>9431837000000</f>
      </c>
    </row>
    <row r="28">
      <c r="A28" s="22" t="s">
        <v>53</v>
      </c>
      <c r="B28" s="22" t="s">
        <v>54</v>
      </c>
      <c r="C28" s="22" t="s">
        <v>55</v>
      </c>
      <c r="D28" s="22" t="s">
        <v>102</v>
      </c>
      <c r="E28" s="22" t="s">
        <v>103</v>
      </c>
      <c r="F28" s="9">
        <f>22</f>
      </c>
      <c r="G28" s="10">
        <f>7</f>
      </c>
      <c r="H28" s="10">
        <f>0.7</f>
      </c>
      <c r="I28" s="11">
        <f>238.84</f>
      </c>
      <c r="J28" s="11">
        <f>2248.86</f>
      </c>
      <c r="K28" s="10">
        <f>5.2</f>
      </c>
      <c r="L28" s="10">
        <f>0.7</f>
      </c>
      <c r="M28" s="21">
        <f>2257724334000</f>
      </c>
      <c r="N28" s="21">
        <f>16650437874171</f>
      </c>
    </row>
    <row r="29">
      <c r="A29" s="22" t="s">
        <v>53</v>
      </c>
      <c r="B29" s="22" t="s">
        <v>54</v>
      </c>
      <c r="C29" s="22" t="s">
        <v>55</v>
      </c>
      <c r="D29" s="22" t="s">
        <v>104</v>
      </c>
      <c r="E29" s="22" t="s">
        <v>105</v>
      </c>
      <c r="F29" s="9">
        <f>38</f>
      </c>
      <c r="G29" s="10">
        <f>13.9</f>
      </c>
      <c r="H29" s="10">
        <f>1</f>
      </c>
      <c r="I29" s="11">
        <f>215.54</f>
      </c>
      <c r="J29" s="11">
        <f>2941.42</f>
      </c>
      <c r="K29" s="10">
        <f>13</f>
      </c>
      <c r="L29" s="10">
        <f>1.1</f>
      </c>
      <c r="M29" s="21">
        <f>1657858000000</f>
      </c>
      <c r="N29" s="21">
        <f>19648014000000</f>
      </c>
    </row>
    <row r="30">
      <c r="A30" s="22" t="s">
        <v>53</v>
      </c>
      <c r="B30" s="22" t="s">
        <v>54</v>
      </c>
      <c r="C30" s="22" t="s">
        <v>55</v>
      </c>
      <c r="D30" s="22" t="s">
        <v>106</v>
      </c>
      <c r="E30" s="22" t="s">
        <v>107</v>
      </c>
      <c r="F30" s="9">
        <f>5</f>
      </c>
      <c r="G30" s="10">
        <f>7.8</f>
      </c>
      <c r="H30" s="10">
        <f>0.8</f>
      </c>
      <c r="I30" s="11">
        <f>460.88</f>
      </c>
      <c r="J30" s="11">
        <f>4447.66</f>
      </c>
      <c r="K30" s="10">
        <f>9.4</f>
      </c>
      <c r="L30" s="10">
        <f>0.9</f>
      </c>
      <c r="M30" s="21">
        <f>632761000000</f>
      </c>
      <c r="N30" s="21">
        <f>6969357000000</f>
      </c>
    </row>
    <row r="31">
      <c r="A31" s="22" t="s">
        <v>53</v>
      </c>
      <c r="B31" s="22" t="s">
        <v>54</v>
      </c>
      <c r="C31" s="22" t="s">
        <v>55</v>
      </c>
      <c r="D31" s="22" t="s">
        <v>108</v>
      </c>
      <c r="E31" s="22" t="s">
        <v>109</v>
      </c>
      <c r="F31" s="9">
        <f>2</f>
      </c>
      <c r="G31" s="10">
        <f>10.1</f>
      </c>
      <c r="H31" s="10">
        <f>1.3</f>
      </c>
      <c r="I31" s="11">
        <f>271.46</f>
      </c>
      <c r="J31" s="11">
        <f>2171.47</f>
      </c>
      <c r="K31" s="10">
        <f>10</f>
      </c>
      <c r="L31" s="10">
        <f>1.3</f>
      </c>
      <c r="M31" s="21">
        <f>252631000000</f>
      </c>
      <c r="N31" s="21">
        <f>2000972000000</f>
      </c>
    </row>
    <row r="32">
      <c r="A32" s="22" t="s">
        <v>53</v>
      </c>
      <c r="B32" s="22" t="s">
        <v>54</v>
      </c>
      <c r="C32" s="22" t="s">
        <v>55</v>
      </c>
      <c r="D32" s="22" t="s">
        <v>110</v>
      </c>
      <c r="E32" s="22" t="s">
        <v>111</v>
      </c>
      <c r="F32" s="9">
        <f>13</f>
      </c>
      <c r="G32" s="10">
        <f>14.8</f>
      </c>
      <c r="H32" s="10">
        <f>1.1</f>
      </c>
      <c r="I32" s="11">
        <f>220.44</f>
      </c>
      <c r="J32" s="11">
        <f>2882.39</f>
      </c>
      <c r="K32" s="10">
        <f>14.7</f>
      </c>
      <c r="L32" s="10">
        <f>1</f>
      </c>
      <c r="M32" s="21">
        <f>111436000000</f>
      </c>
      <c r="N32" s="21">
        <f>1684816000000</f>
      </c>
    </row>
    <row r="33">
      <c r="A33" s="22" t="s">
        <v>53</v>
      </c>
      <c r="B33" s="22" t="s">
        <v>54</v>
      </c>
      <c r="C33" s="22" t="s">
        <v>55</v>
      </c>
      <c r="D33" s="22" t="s">
        <v>112</v>
      </c>
      <c r="E33" s="22" t="s">
        <v>113</v>
      </c>
      <c r="F33" s="9">
        <f>179</f>
      </c>
      <c r="G33" s="10">
        <f>23.2</f>
      </c>
      <c r="H33" s="10">
        <f>2.3</f>
      </c>
      <c r="I33" s="11">
        <f>112.43</f>
      </c>
      <c r="J33" s="11">
        <f>1153.8</f>
      </c>
      <c r="K33" s="10">
        <f>23.8</f>
      </c>
      <c r="L33" s="10">
        <f>1.7</f>
      </c>
      <c r="M33" s="21">
        <f>3799015100000</f>
      </c>
      <c r="N33" s="21">
        <f>54574483000000</f>
      </c>
    </row>
    <row r="34">
      <c r="A34" s="22" t="s">
        <v>53</v>
      </c>
      <c r="B34" s="22" t="s">
        <v>54</v>
      </c>
      <c r="C34" s="22" t="s">
        <v>55</v>
      </c>
      <c r="D34" s="22" t="s">
        <v>114</v>
      </c>
      <c r="E34" s="22" t="s">
        <v>115</v>
      </c>
      <c r="F34" s="9">
        <f>123</f>
      </c>
      <c r="G34" s="10">
        <f>12.1</f>
      </c>
      <c r="H34" s="10">
        <f>1</f>
      </c>
      <c r="I34" s="11">
        <f>213.19</f>
      </c>
      <c r="J34" s="11">
        <f>2470.17</f>
      </c>
      <c r="K34" s="10">
        <f>11.6</f>
      </c>
      <c r="L34" s="10">
        <f>1.3</f>
      </c>
      <c r="M34" s="21">
        <f>5139410000000</f>
      </c>
      <c r="N34" s="21">
        <f>47348815000000</f>
      </c>
    </row>
    <row r="35">
      <c r="A35" s="22" t="s">
        <v>53</v>
      </c>
      <c r="B35" s="22" t="s">
        <v>54</v>
      </c>
      <c r="C35" s="22" t="s">
        <v>55</v>
      </c>
      <c r="D35" s="22" t="s">
        <v>116</v>
      </c>
      <c r="E35" s="22" t="s">
        <v>117</v>
      </c>
      <c r="F35" s="9">
        <f>134</f>
      </c>
      <c r="G35" s="10">
        <f>21.3</f>
      </c>
      <c r="H35" s="10">
        <f>1.8</f>
      </c>
      <c r="I35" s="11">
        <f>139.66</f>
      </c>
      <c r="J35" s="11">
        <f>1611.47</f>
      </c>
      <c r="K35" s="10">
        <f>28</f>
      </c>
      <c r="L35" s="10">
        <f>2.3</f>
      </c>
      <c r="M35" s="21">
        <f>1915060947710</f>
      </c>
      <c r="N35" s="21">
        <f>23107800630420</f>
      </c>
    </row>
    <row r="36">
      <c r="A36" s="22" t="s">
        <v>53</v>
      </c>
      <c r="B36" s="22" t="s">
        <v>54</v>
      </c>
      <c r="C36" s="22" t="s">
        <v>55</v>
      </c>
      <c r="D36" s="22" t="s">
        <v>118</v>
      </c>
      <c r="E36" s="22" t="s">
        <v>119</v>
      </c>
      <c r="F36" s="9">
        <f>68</f>
      </c>
      <c r="G36" s="10">
        <f>10.7</f>
      </c>
      <c r="H36" s="10">
        <f>0.4</f>
      </c>
      <c r="I36" s="11">
        <f>171.82</f>
      </c>
      <c r="J36" s="11">
        <f>4925.68</f>
      </c>
      <c r="K36" s="10">
        <f>13.4</f>
      </c>
      <c r="L36" s="10">
        <f>0.7</f>
      </c>
      <c r="M36" s="21">
        <f>4723151847000</f>
      </c>
      <c r="N36" s="21">
        <f>86472003303000</f>
      </c>
    </row>
    <row r="37">
      <c r="A37" s="22" t="s">
        <v>53</v>
      </c>
      <c r="B37" s="22" t="s">
        <v>54</v>
      </c>
      <c r="C37" s="22" t="s">
        <v>55</v>
      </c>
      <c r="D37" s="22" t="s">
        <v>120</v>
      </c>
      <c r="E37" s="22" t="s">
        <v>121</v>
      </c>
      <c r="F37" s="9">
        <f>19</f>
      </c>
      <c r="G37" s="10">
        <f>13.3</f>
      </c>
      <c r="H37" s="10">
        <f>1</f>
      </c>
      <c r="I37" s="11">
        <f>92.52</f>
      </c>
      <c r="J37" s="11">
        <f>1292.12</f>
      </c>
      <c r="K37" s="10">
        <f>13.5</f>
      </c>
      <c r="L37" s="10">
        <f>0.8</f>
      </c>
      <c r="M37" s="21">
        <f>490360000000</f>
      </c>
      <c r="N37" s="21">
        <f>8383904000000</f>
      </c>
    </row>
    <row r="38">
      <c r="A38" s="22" t="s">
        <v>53</v>
      </c>
      <c r="B38" s="22" t="s">
        <v>54</v>
      </c>
      <c r="C38" s="22" t="s">
        <v>55</v>
      </c>
      <c r="D38" s="22" t="s">
        <v>122</v>
      </c>
      <c r="E38" s="22" t="s">
        <v>123</v>
      </c>
      <c r="F38" s="9">
        <f>9</f>
      </c>
      <c r="G38" s="10">
        <f>13.7</f>
      </c>
      <c r="H38" s="10">
        <f>1</f>
      </c>
      <c r="I38" s="11">
        <f>208.42</f>
      </c>
      <c r="J38" s="11">
        <f>2775.08</f>
      </c>
      <c r="K38" s="10">
        <f>13</f>
      </c>
      <c r="L38" s="10">
        <f>1.2</f>
      </c>
      <c r="M38" s="21">
        <f>1992639000000</f>
      </c>
      <c r="N38" s="21">
        <f>21300430000000</f>
      </c>
    </row>
    <row r="39">
      <c r="A39" s="22" t="s">
        <v>53</v>
      </c>
      <c r="B39" s="22" t="s">
        <v>54</v>
      </c>
      <c r="C39" s="22" t="s">
        <v>55</v>
      </c>
      <c r="D39" s="22" t="s">
        <v>124</v>
      </c>
      <c r="E39" s="22" t="s">
        <v>125</v>
      </c>
      <c r="F39" s="9">
        <f>20</f>
      </c>
      <c r="G39" s="10">
        <f>10.3</f>
      </c>
      <c r="H39" s="10">
        <f>0.9</f>
      </c>
      <c r="I39" s="11">
        <f>252.42</f>
      </c>
      <c r="J39" s="11">
        <f>2978.84</f>
      </c>
      <c r="K39" s="10">
        <f>12.4</f>
      </c>
      <c r="L39" s="10">
        <f>1</f>
      </c>
      <c r="M39" s="21">
        <f>902899000000</f>
      </c>
      <c r="N39" s="21">
        <f>10693891000000</f>
      </c>
    </row>
    <row r="40">
      <c r="A40" s="22" t="s">
        <v>53</v>
      </c>
      <c r="B40" s="22" t="s">
        <v>54</v>
      </c>
      <c r="C40" s="22" t="s">
        <v>55</v>
      </c>
      <c r="D40" s="22" t="s">
        <v>126</v>
      </c>
      <c r="E40" s="22" t="s">
        <v>127</v>
      </c>
      <c r="F40" s="9">
        <f>50</f>
      </c>
      <c r="G40" s="10">
        <f>13.6</f>
      </c>
      <c r="H40" s="10">
        <f>1.6</f>
      </c>
      <c r="I40" s="11">
        <f>181.48</f>
      </c>
      <c r="J40" s="11">
        <f>1572.96</f>
      </c>
      <c r="K40" s="10">
        <f>13.6</f>
      </c>
      <c r="L40" s="10">
        <f>1.2</f>
      </c>
      <c r="M40" s="21">
        <f>1330961000000</f>
      </c>
      <c r="N40" s="21">
        <f>14965709000000</f>
      </c>
    </row>
    <row r="41">
      <c r="A41" s="22" t="s">
        <v>53</v>
      </c>
      <c r="B41" s="22" t="s">
        <v>54</v>
      </c>
      <c r="C41" s="22" t="s">
        <v>55</v>
      </c>
      <c r="D41" s="22" t="s">
        <v>128</v>
      </c>
      <c r="E41" s="22" t="s">
        <v>129</v>
      </c>
      <c r="F41" s="9">
        <f>159</f>
      </c>
      <c r="G41" s="10">
        <f>17</f>
      </c>
      <c r="H41" s="10">
        <f>1.8</f>
      </c>
      <c r="I41" s="11">
        <f>111.15</f>
      </c>
      <c r="J41" s="11">
        <f>1027.4</f>
      </c>
      <c r="K41" s="10">
        <f>38.9</f>
      </c>
      <c r="L41" s="10">
        <f>1.7</f>
      </c>
      <c r="M41" s="21">
        <f>1245630068480</f>
      </c>
      <c r="N41" s="21">
        <f>29037605799180</f>
      </c>
    </row>
    <row r="42">
      <c r="A42" s="22" t="s">
        <v>53</v>
      </c>
      <c r="B42" s="22" t="s">
        <v>130</v>
      </c>
      <c r="C42" s="22" t="s">
        <v>131</v>
      </c>
      <c r="D42" s="22" t="s">
        <v>56</v>
      </c>
      <c r="E42" s="22" t="s">
        <v>57</v>
      </c>
      <c r="F42" s="9">
        <f>1583</f>
      </c>
      <c r="G42" s="10">
        <f>12.6</f>
      </c>
      <c r="H42" s="10">
        <f>0.8</f>
      </c>
      <c r="I42" s="11">
        <f>110.46</f>
      </c>
      <c r="J42" s="11">
        <f>1777.26</f>
      </c>
      <c r="K42" s="10">
        <f>15.6</f>
      </c>
      <c r="L42" s="10">
        <f>1</f>
      </c>
      <c r="M42" s="21">
        <f>1744388794557</f>
      </c>
      <c r="N42" s="21">
        <f>26500324050991</f>
      </c>
    </row>
    <row r="43">
      <c r="A43" s="22" t="s">
        <v>53</v>
      </c>
      <c r="B43" s="22" t="s">
        <v>130</v>
      </c>
      <c r="C43" s="22" t="s">
        <v>131</v>
      </c>
      <c r="D43" s="22" t="s">
        <v>58</v>
      </c>
      <c r="E43" s="22" t="s">
        <v>59</v>
      </c>
      <c r="F43" s="9">
        <f>1542</f>
      </c>
      <c r="G43" s="10">
        <f>12.5</f>
      </c>
      <c r="H43" s="10">
        <f>0.8</f>
      </c>
      <c r="I43" s="11">
        <f>111.92</f>
      </c>
      <c r="J43" s="11">
        <f>1784.61</f>
      </c>
      <c r="K43" s="10">
        <f>15.8</f>
      </c>
      <c r="L43" s="10">
        <f>1</f>
      </c>
      <c r="M43" s="21">
        <f>1624158404523</f>
      </c>
      <c r="N43" s="21">
        <f>24727583890991</f>
      </c>
    </row>
    <row r="44">
      <c r="A44" s="22" t="s">
        <v>53</v>
      </c>
      <c r="B44" s="22" t="s">
        <v>130</v>
      </c>
      <c r="C44" s="22" t="s">
        <v>131</v>
      </c>
      <c r="D44" s="22" t="s">
        <v>60</v>
      </c>
      <c r="E44" s="22" t="s">
        <v>61</v>
      </c>
      <c r="F44" s="9">
        <f>638</f>
      </c>
      <c r="G44" s="10">
        <f>11.6</f>
      </c>
      <c r="H44" s="10">
        <f>0.7</f>
      </c>
      <c r="I44" s="11">
        <f>132.82</f>
      </c>
      <c r="J44" s="11">
        <f>2305.03</f>
      </c>
      <c r="K44" s="10">
        <f>13.4</f>
      </c>
      <c r="L44" s="10">
        <f>0.8</f>
      </c>
      <c r="M44" s="21">
        <f>753165960000</f>
      </c>
      <c r="N44" s="21">
        <f>12901702891697</f>
      </c>
    </row>
    <row r="45">
      <c r="A45" s="22" t="s">
        <v>53</v>
      </c>
      <c r="B45" s="22" t="s">
        <v>130</v>
      </c>
      <c r="C45" s="22" t="s">
        <v>131</v>
      </c>
      <c r="D45" s="22" t="s">
        <v>62</v>
      </c>
      <c r="E45" s="22" t="s">
        <v>63</v>
      </c>
      <c r="F45" s="9">
        <f>904</f>
      </c>
      <c r="G45" s="10">
        <f>13.4</f>
      </c>
      <c r="H45" s="10">
        <f>0.9</f>
      </c>
      <c r="I45" s="11">
        <f>97.17</f>
      </c>
      <c r="J45" s="11">
        <f>1417.32</f>
      </c>
      <c r="K45" s="10">
        <f>17.9</f>
      </c>
      <c r="L45" s="10">
        <f>1.3</f>
      </c>
      <c r="M45" s="21">
        <f>870992444523</f>
      </c>
      <c r="N45" s="21">
        <f>11825880999294</f>
      </c>
    </row>
    <row r="46">
      <c r="A46" s="22" t="s">
        <v>53</v>
      </c>
      <c r="B46" s="22" t="s">
        <v>130</v>
      </c>
      <c r="C46" s="22" t="s">
        <v>131</v>
      </c>
      <c r="D46" s="22" t="s">
        <v>64</v>
      </c>
      <c r="E46" s="22" t="s">
        <v>65</v>
      </c>
      <c r="F46" s="9">
        <f>6</f>
      </c>
      <c r="G46" s="10">
        <f>17.7</f>
      </c>
      <c r="H46" s="10">
        <f>1.1</f>
      </c>
      <c r="I46" s="11">
        <f>102.41</f>
      </c>
      <c r="J46" s="11">
        <f>1674.43</f>
      </c>
      <c r="K46" s="10">
        <f>11.8</f>
      </c>
      <c r="L46" s="10">
        <f>0.8</f>
      </c>
      <c r="M46" s="21">
        <f>4268000000</f>
      </c>
      <c r="N46" s="21">
        <f>62520000000</f>
      </c>
    </row>
    <row r="47">
      <c r="A47" s="22" t="s">
        <v>53</v>
      </c>
      <c r="B47" s="22" t="s">
        <v>130</v>
      </c>
      <c r="C47" s="22" t="s">
        <v>131</v>
      </c>
      <c r="D47" s="22" t="s">
        <v>66</v>
      </c>
      <c r="E47" s="22" t="s">
        <v>67</v>
      </c>
      <c r="F47" s="9">
        <f>1</f>
      </c>
      <c r="G47" s="10">
        <f>7.4</f>
      </c>
      <c r="H47" s="10">
        <f>2.3</f>
      </c>
      <c r="I47" s="11">
        <f>127.62</f>
      </c>
      <c r="J47" s="11">
        <f>415.6</f>
      </c>
      <c r="K47" s="10">
        <f>7.4</f>
      </c>
      <c r="L47" s="10">
        <f>2.3</f>
      </c>
      <c r="M47" s="21">
        <f>7515720000</f>
      </c>
      <c r="N47" s="21">
        <f>24475720000</f>
      </c>
    </row>
    <row r="48">
      <c r="A48" s="22" t="s">
        <v>53</v>
      </c>
      <c r="B48" s="22" t="s">
        <v>130</v>
      </c>
      <c r="C48" s="22" t="s">
        <v>131</v>
      </c>
      <c r="D48" s="22" t="s">
        <v>68</v>
      </c>
      <c r="E48" s="22" t="s">
        <v>69</v>
      </c>
      <c r="F48" s="9">
        <f>69</f>
      </c>
      <c r="G48" s="10">
        <f>11.3</f>
      </c>
      <c r="H48" s="10">
        <f>0.7</f>
      </c>
      <c r="I48" s="11">
        <f>159.19</f>
      </c>
      <c r="J48" s="11">
        <f>2591.89</f>
      </c>
      <c r="K48" s="10">
        <f>19.2</f>
      </c>
      <c r="L48" s="10">
        <f>0.9</f>
      </c>
      <c r="M48" s="21">
        <f>59096000000</f>
      </c>
      <c r="N48" s="21">
        <f>1289486000000</f>
      </c>
    </row>
    <row r="49">
      <c r="A49" s="22" t="s">
        <v>53</v>
      </c>
      <c r="B49" s="22" t="s">
        <v>130</v>
      </c>
      <c r="C49" s="22" t="s">
        <v>131</v>
      </c>
      <c r="D49" s="22" t="s">
        <v>70</v>
      </c>
      <c r="E49" s="22" t="s">
        <v>71</v>
      </c>
      <c r="F49" s="9">
        <f>53</f>
      </c>
      <c r="G49" s="10">
        <f>16.8</f>
      </c>
      <c r="H49" s="10">
        <f>1.2</f>
      </c>
      <c r="I49" s="11">
        <f>132.6</f>
      </c>
      <c r="J49" s="11">
        <f>1835.35</f>
      </c>
      <c r="K49" s="10">
        <f>16.3</f>
      </c>
      <c r="L49" s="10">
        <f>1.2</f>
      </c>
      <c r="M49" s="21">
        <f>70208960000</f>
      </c>
      <c r="N49" s="21">
        <f>962849880000</f>
      </c>
    </row>
    <row r="50">
      <c r="A50" s="22" t="s">
        <v>53</v>
      </c>
      <c r="B50" s="22" t="s">
        <v>130</v>
      </c>
      <c r="C50" s="22" t="s">
        <v>131</v>
      </c>
      <c r="D50" s="22" t="s">
        <v>72</v>
      </c>
      <c r="E50" s="22" t="s">
        <v>73</v>
      </c>
      <c r="F50" s="9">
        <f>28</f>
      </c>
      <c r="G50" s="10">
        <f>12.6</f>
      </c>
      <c r="H50" s="10">
        <f>0.5</f>
      </c>
      <c r="I50" s="11">
        <f>87.65</f>
      </c>
      <c r="J50" s="11">
        <f>2126.71</f>
      </c>
      <c r="K50" s="10">
        <f>14.2</f>
      </c>
      <c r="L50" s="10">
        <f>0.6</f>
      </c>
      <c r="M50" s="21">
        <f>19896000000</f>
      </c>
      <c r="N50" s="21">
        <f>468030000000</f>
      </c>
    </row>
    <row r="51">
      <c r="A51" s="22" t="s">
        <v>53</v>
      </c>
      <c r="B51" s="22" t="s">
        <v>130</v>
      </c>
      <c r="C51" s="22" t="s">
        <v>131</v>
      </c>
      <c r="D51" s="22" t="s">
        <v>74</v>
      </c>
      <c r="E51" s="22" t="s">
        <v>75</v>
      </c>
      <c r="F51" s="9">
        <f>14</f>
      </c>
      <c r="G51" s="10">
        <f>8</f>
      </c>
      <c r="H51" s="10">
        <f>0.5</f>
      </c>
      <c r="I51" s="11">
        <f>150.24</f>
      </c>
      <c r="J51" s="11">
        <f>2326.32</f>
      </c>
      <c r="K51" s="10">
        <f>9.8</f>
      </c>
      <c r="L51" s="10">
        <f>0.5</f>
      </c>
      <c r="M51" s="21">
        <f>12269000000</f>
      </c>
      <c r="N51" s="21">
        <f>220644000000</f>
      </c>
    </row>
    <row r="52">
      <c r="A52" s="22" t="s">
        <v>53</v>
      </c>
      <c r="B52" s="22" t="s">
        <v>130</v>
      </c>
      <c r="C52" s="22" t="s">
        <v>131</v>
      </c>
      <c r="D52" s="22" t="s">
        <v>76</v>
      </c>
      <c r="E52" s="22" t="s">
        <v>77</v>
      </c>
      <c r="F52" s="9">
        <f>82</f>
      </c>
      <c r="G52" s="10">
        <f>15.9</f>
      </c>
      <c r="H52" s="10">
        <f>0.7</f>
      </c>
      <c r="I52" s="11">
        <f>119.85</f>
      </c>
      <c r="J52" s="11">
        <f>2550.69</f>
      </c>
      <c r="K52" s="10">
        <f>15.1</f>
      </c>
      <c r="L52" s="10">
        <f>0.8</f>
      </c>
      <c r="M52" s="21">
        <f>90365000000</f>
      </c>
      <c r="N52" s="21">
        <f>1686721011697</f>
      </c>
    </row>
    <row r="53">
      <c r="A53" s="22" t="s">
        <v>53</v>
      </c>
      <c r="B53" s="22" t="s">
        <v>130</v>
      </c>
      <c r="C53" s="22" t="s">
        <v>131</v>
      </c>
      <c r="D53" s="22" t="s">
        <v>78</v>
      </c>
      <c r="E53" s="22" t="s">
        <v>79</v>
      </c>
      <c r="F53" s="9">
        <f>8</f>
      </c>
      <c r="G53" s="10">
        <f>13.6</f>
      </c>
      <c r="H53" s="10">
        <f>0.8</f>
      </c>
      <c r="I53" s="11">
        <f>75.27</f>
      </c>
      <c r="J53" s="11">
        <f>1338.36</f>
      </c>
      <c r="K53" s="10">
        <f>11</f>
      </c>
      <c r="L53" s="10">
        <f>1.5</f>
      </c>
      <c r="M53" s="21">
        <f>11113000000</f>
      </c>
      <c r="N53" s="21">
        <f>83030000000</f>
      </c>
    </row>
    <row r="54">
      <c r="A54" s="22" t="s">
        <v>53</v>
      </c>
      <c r="B54" s="22" t="s">
        <v>130</v>
      </c>
      <c r="C54" s="22" t="s">
        <v>131</v>
      </c>
      <c r="D54" s="22" t="s">
        <v>80</v>
      </c>
      <c r="E54" s="22" t="s">
        <v>81</v>
      </c>
      <c r="F54" s="9">
        <f>4</f>
      </c>
      <c r="G54" s="10">
        <f>12.1</f>
      </c>
      <c r="H54" s="10">
        <f>0.7</f>
      </c>
      <c r="I54" s="11">
        <f>82.09</f>
      </c>
      <c r="J54" s="11">
        <f>1513.66</f>
      </c>
      <c r="K54" s="10">
        <f>15.8</f>
      </c>
      <c r="L54" s="10">
        <f>0.8</f>
      </c>
      <c r="M54" s="21">
        <f>3853000000</f>
      </c>
      <c r="N54" s="21">
        <f>79511000000</f>
      </c>
    </row>
    <row r="55">
      <c r="A55" s="22" t="s">
        <v>53</v>
      </c>
      <c r="B55" s="22" t="s">
        <v>130</v>
      </c>
      <c r="C55" s="22" t="s">
        <v>131</v>
      </c>
      <c r="D55" s="22" t="s">
        <v>82</v>
      </c>
      <c r="E55" s="22" t="s">
        <v>83</v>
      </c>
      <c r="F55" s="9">
        <f>7</f>
      </c>
      <c r="G55" s="10">
        <f>8.5</f>
      </c>
      <c r="H55" s="10">
        <f>0.6</f>
      </c>
      <c r="I55" s="11">
        <f>182.27</f>
      </c>
      <c r="J55" s="11">
        <f>2542.57</f>
      </c>
      <c r="K55" s="10">
        <f>10</f>
      </c>
      <c r="L55" s="10">
        <f>0.7</f>
      </c>
      <c r="M55" s="21">
        <f>11617000000</f>
      </c>
      <c r="N55" s="21">
        <f>176491000000</f>
      </c>
    </row>
    <row r="56">
      <c r="A56" s="22" t="s">
        <v>53</v>
      </c>
      <c r="B56" s="22" t="s">
        <v>130</v>
      </c>
      <c r="C56" s="22" t="s">
        <v>131</v>
      </c>
      <c r="D56" s="22" t="s">
        <v>84</v>
      </c>
      <c r="E56" s="22" t="s">
        <v>85</v>
      </c>
      <c r="F56" s="9">
        <f>29</f>
      </c>
      <c r="G56" s="10">
        <f>7.3</f>
      </c>
      <c r="H56" s="10">
        <f>0.7</f>
      </c>
      <c r="I56" s="11">
        <f>167.4</f>
      </c>
      <c r="J56" s="11">
        <f>1778.47</f>
      </c>
      <c r="K56" s="10">
        <f>9.7</f>
      </c>
      <c r="L56" s="10">
        <f>0.9</f>
      </c>
      <c r="M56" s="21">
        <f>53140000000</f>
      </c>
      <c r="N56" s="21">
        <f>591272000000</f>
      </c>
    </row>
    <row r="57">
      <c r="A57" s="22" t="s">
        <v>53</v>
      </c>
      <c r="B57" s="22" t="s">
        <v>130</v>
      </c>
      <c r="C57" s="22" t="s">
        <v>131</v>
      </c>
      <c r="D57" s="22" t="s">
        <v>86</v>
      </c>
      <c r="E57" s="22" t="s">
        <v>87</v>
      </c>
      <c r="F57" s="9">
        <f>20</f>
      </c>
      <c r="G57" s="10">
        <f>8.7</f>
      </c>
      <c r="H57" s="10">
        <f>0.5</f>
      </c>
      <c r="I57" s="11">
        <f>185.13</f>
      </c>
      <c r="J57" s="11">
        <f>3302.78</f>
      </c>
      <c r="K57" s="10">
        <f>11.3</f>
      </c>
      <c r="L57" s="10">
        <f>0.6</f>
      </c>
      <c r="M57" s="21">
        <f>27677000000</f>
      </c>
      <c r="N57" s="21">
        <f>546406000000</f>
      </c>
    </row>
    <row r="58">
      <c r="A58" s="22" t="s">
        <v>53</v>
      </c>
      <c r="B58" s="22" t="s">
        <v>130</v>
      </c>
      <c r="C58" s="22" t="s">
        <v>131</v>
      </c>
      <c r="D58" s="22" t="s">
        <v>88</v>
      </c>
      <c r="E58" s="22" t="s">
        <v>89</v>
      </c>
      <c r="F58" s="9">
        <f>10</f>
      </c>
      <c r="G58" s="10">
        <f>14.5</f>
      </c>
      <c r="H58" s="10">
        <f>0.7</f>
      </c>
      <c r="I58" s="11">
        <f>75.3</f>
      </c>
      <c r="J58" s="11">
        <f>1664.63</f>
      </c>
      <c r="K58" s="10">
        <f>13.6</f>
      </c>
      <c r="L58" s="10">
        <f>0.7</f>
      </c>
      <c r="M58" s="21">
        <f>4775000000</f>
      </c>
      <c r="N58" s="21">
        <f>90089000000</f>
      </c>
    </row>
    <row r="59">
      <c r="A59" s="22" t="s">
        <v>53</v>
      </c>
      <c r="B59" s="22" t="s">
        <v>130</v>
      </c>
      <c r="C59" s="22" t="s">
        <v>131</v>
      </c>
      <c r="D59" s="22" t="s">
        <v>90</v>
      </c>
      <c r="E59" s="22" t="s">
        <v>91</v>
      </c>
      <c r="F59" s="9">
        <f>58</f>
      </c>
      <c r="G59" s="10">
        <f>11.3</f>
      </c>
      <c r="H59" s="10">
        <f>0.5</f>
      </c>
      <c r="I59" s="11">
        <f>148.42</f>
      </c>
      <c r="J59" s="11">
        <f>3318.27</f>
      </c>
      <c r="K59" s="10">
        <f>18.2</f>
      </c>
      <c r="L59" s="10">
        <f>0.5</f>
      </c>
      <c r="M59" s="21">
        <f>30673000000</f>
      </c>
      <c r="N59" s="21">
        <f>1053069000000</f>
      </c>
    </row>
    <row r="60">
      <c r="A60" s="22" t="s">
        <v>53</v>
      </c>
      <c r="B60" s="22" t="s">
        <v>130</v>
      </c>
      <c r="C60" s="22" t="s">
        <v>131</v>
      </c>
      <c r="D60" s="22" t="s">
        <v>92</v>
      </c>
      <c r="E60" s="22" t="s">
        <v>93</v>
      </c>
      <c r="F60" s="9">
        <f>104</f>
      </c>
      <c r="G60" s="10">
        <f>10.7</f>
      </c>
      <c r="H60" s="10">
        <f>0.7</f>
      </c>
      <c r="I60" s="11">
        <f>151.96</f>
      </c>
      <c r="J60" s="11">
        <f>2315.76</f>
      </c>
      <c r="K60" s="10">
        <f>14.6</f>
      </c>
      <c r="L60" s="10">
        <f>0.7</f>
      </c>
      <c r="M60" s="21">
        <f>103605000000</f>
      </c>
      <c r="N60" s="21">
        <f>2056516000000</f>
      </c>
    </row>
    <row r="61">
      <c r="A61" s="22" t="s">
        <v>53</v>
      </c>
      <c r="B61" s="22" t="s">
        <v>130</v>
      </c>
      <c r="C61" s="22" t="s">
        <v>131</v>
      </c>
      <c r="D61" s="22" t="s">
        <v>94</v>
      </c>
      <c r="E61" s="22" t="s">
        <v>95</v>
      </c>
      <c r="F61" s="9">
        <f>99</f>
      </c>
      <c r="G61" s="10">
        <f>12.9</f>
      </c>
      <c r="H61" s="10">
        <f>0.8</f>
      </c>
      <c r="I61" s="11">
        <f>119.17</f>
      </c>
      <c r="J61" s="11">
        <f>2044.29</f>
      </c>
      <c r="K61" s="10">
        <f>14.9</f>
      </c>
      <c r="L61" s="10">
        <f>1</f>
      </c>
      <c r="M61" s="21">
        <f>135121000000</f>
      </c>
      <c r="N61" s="21">
        <f>2061768000000</f>
      </c>
    </row>
    <row r="62">
      <c r="A62" s="22" t="s">
        <v>53</v>
      </c>
      <c r="B62" s="22" t="s">
        <v>130</v>
      </c>
      <c r="C62" s="22" t="s">
        <v>131</v>
      </c>
      <c r="D62" s="22" t="s">
        <v>96</v>
      </c>
      <c r="E62" s="22" t="s">
        <v>97</v>
      </c>
      <c r="F62" s="9">
        <f>44</f>
      </c>
      <c r="G62" s="10">
        <f>7.3</f>
      </c>
      <c r="H62" s="10">
        <f>0.5</f>
      </c>
      <c r="I62" s="11">
        <f>185.91</f>
      </c>
      <c r="J62" s="11">
        <f>2685.56</f>
      </c>
      <c r="K62" s="10">
        <f>8.7</f>
      </c>
      <c r="L62" s="10">
        <f>0.5</f>
      </c>
      <c r="M62" s="21">
        <f>106763000000</f>
      </c>
      <c r="N62" s="21">
        <f>1739162000000</f>
      </c>
    </row>
    <row r="63">
      <c r="A63" s="22" t="s">
        <v>53</v>
      </c>
      <c r="B63" s="22" t="s">
        <v>130</v>
      </c>
      <c r="C63" s="22" t="s">
        <v>131</v>
      </c>
      <c r="D63" s="22" t="s">
        <v>98</v>
      </c>
      <c r="E63" s="22" t="s">
        <v>99</v>
      </c>
      <c r="F63" s="9">
        <f>16</f>
      </c>
      <c r="G63" s="10">
        <f>17.5</f>
      </c>
      <c r="H63" s="10">
        <f>1.1</f>
      </c>
      <c r="I63" s="11">
        <f>53.85</f>
      </c>
      <c r="J63" s="11">
        <f>822.88</f>
      </c>
      <c r="K63" s="10">
        <f>12.9</f>
      </c>
      <c r="L63" s="10">
        <f>1.4</f>
      </c>
      <c r="M63" s="21">
        <f>31425000000</f>
      </c>
      <c r="N63" s="21">
        <f>288393000000</f>
      </c>
    </row>
    <row r="64">
      <c r="A64" s="22" t="s">
        <v>53</v>
      </c>
      <c r="B64" s="22" t="s">
        <v>130</v>
      </c>
      <c r="C64" s="22" t="s">
        <v>131</v>
      </c>
      <c r="D64" s="22" t="s">
        <v>100</v>
      </c>
      <c r="E64" s="22" t="s">
        <v>101</v>
      </c>
      <c r="F64" s="9">
        <f>62</f>
      </c>
      <c r="G64" s="10">
        <f>10</f>
      </c>
      <c r="H64" s="10">
        <f>0.5</f>
      </c>
      <c r="I64" s="11">
        <f>105.79</f>
      </c>
      <c r="J64" s="11">
        <f>2196.98</f>
      </c>
      <c r="K64" s="10">
        <f>14.1</f>
      </c>
      <c r="L64" s="10">
        <f>0.7</f>
      </c>
      <c r="M64" s="21">
        <f>40665000000</f>
      </c>
      <c r="N64" s="21">
        <f>797751000000</f>
      </c>
    </row>
    <row r="65">
      <c r="A65" s="22" t="s">
        <v>53</v>
      </c>
      <c r="B65" s="22" t="s">
        <v>130</v>
      </c>
      <c r="C65" s="22" t="s">
        <v>131</v>
      </c>
      <c r="D65" s="22" t="s">
        <v>102</v>
      </c>
      <c r="E65" s="22" t="s">
        <v>103</v>
      </c>
      <c r="F65" s="9">
        <f>4</f>
      </c>
      <c r="G65" s="10">
        <f>"－"</f>
      </c>
      <c r="H65" s="10">
        <f>0.3</f>
      </c>
      <c r="I65" s="11">
        <f>-54.65</f>
      </c>
      <c r="J65" s="11">
        <f>4917.27</f>
      </c>
      <c r="K65" s="10">
        <f>479.2</f>
      </c>
      <c r="L65" s="10">
        <f>0.4</f>
      </c>
      <c r="M65" s="21">
        <f>132000000</f>
      </c>
      <c r="N65" s="21">
        <f>161364000000</f>
      </c>
    </row>
    <row r="66">
      <c r="A66" s="22" t="s">
        <v>53</v>
      </c>
      <c r="B66" s="22" t="s">
        <v>130</v>
      </c>
      <c r="C66" s="22" t="s">
        <v>131</v>
      </c>
      <c r="D66" s="22" t="s">
        <v>104</v>
      </c>
      <c r="E66" s="22" t="s">
        <v>105</v>
      </c>
      <c r="F66" s="9">
        <f>20</f>
      </c>
      <c r="G66" s="10">
        <f>8.1</f>
      </c>
      <c r="H66" s="10">
        <f>0.5</f>
      </c>
      <c r="I66" s="11">
        <f>241.52</f>
      </c>
      <c r="J66" s="11">
        <f>3677.11</f>
      </c>
      <c r="K66" s="10">
        <f>10</f>
      </c>
      <c r="L66" s="10">
        <f>0.6</f>
      </c>
      <c r="M66" s="21">
        <f>23690000000</f>
      </c>
      <c r="N66" s="21">
        <f>381599000000</f>
      </c>
    </row>
    <row r="67">
      <c r="A67" s="22" t="s">
        <v>53</v>
      </c>
      <c r="B67" s="22" t="s">
        <v>130</v>
      </c>
      <c r="C67" s="22" t="s">
        <v>131</v>
      </c>
      <c r="D67" s="22" t="s">
        <v>106</v>
      </c>
      <c r="E67" s="22" t="s">
        <v>107</v>
      </c>
      <c r="F67" s="9">
        <f>6</f>
      </c>
      <c r="G67" s="10">
        <f>17.2</f>
      </c>
      <c r="H67" s="10">
        <f>0.5</f>
      </c>
      <c r="I67" s="11">
        <f>75.84</f>
      </c>
      <c r="J67" s="11">
        <f>2471.96</f>
      </c>
      <c r="K67" s="10">
        <f>9.9</f>
      </c>
      <c r="L67" s="10">
        <f>0.5</f>
      </c>
      <c r="M67" s="21">
        <f>8353000000</f>
      </c>
      <c r="N67" s="21">
        <f>175443000000</f>
      </c>
    </row>
    <row r="68">
      <c r="A68" s="22" t="s">
        <v>53</v>
      </c>
      <c r="B68" s="22" t="s">
        <v>130</v>
      </c>
      <c r="C68" s="22" t="s">
        <v>131</v>
      </c>
      <c r="D68" s="22" t="s">
        <v>108</v>
      </c>
      <c r="E68" s="22" t="s">
        <v>109</v>
      </c>
      <c r="F68" s="9">
        <f>3</f>
      </c>
      <c r="G68" s="10">
        <f>8.3</f>
      </c>
      <c r="H68" s="10">
        <f>3.3</f>
      </c>
      <c r="I68" s="11">
        <f>235.25</f>
      </c>
      <c r="J68" s="11">
        <f>589.3</f>
      </c>
      <c r="K68" s="10">
        <f>7.7</f>
      </c>
      <c r="L68" s="10">
        <f>1.3</f>
      </c>
      <c r="M68" s="21">
        <f>7852000000</f>
      </c>
      <c r="N68" s="21">
        <f>47177000000</f>
      </c>
    </row>
    <row r="69">
      <c r="A69" s="22" t="s">
        <v>53</v>
      </c>
      <c r="B69" s="22" t="s">
        <v>130</v>
      </c>
      <c r="C69" s="22" t="s">
        <v>131</v>
      </c>
      <c r="D69" s="22" t="s">
        <v>110</v>
      </c>
      <c r="E69" s="22" t="s">
        <v>111</v>
      </c>
      <c r="F69" s="9">
        <f>22</f>
      </c>
      <c r="G69" s="10">
        <f>11.8</f>
      </c>
      <c r="H69" s="10">
        <f>0.5</f>
      </c>
      <c r="I69" s="11">
        <f>118.86</f>
      </c>
      <c r="J69" s="11">
        <f>2885.36</f>
      </c>
      <c r="K69" s="10">
        <f>17.7</f>
      </c>
      <c r="L69" s="10">
        <f>0.6</f>
      </c>
      <c r="M69" s="21">
        <f>12397000000</f>
      </c>
      <c r="N69" s="21">
        <f>362997000000</f>
      </c>
    </row>
    <row r="70">
      <c r="A70" s="22" t="s">
        <v>53</v>
      </c>
      <c r="B70" s="22" t="s">
        <v>130</v>
      </c>
      <c r="C70" s="22" t="s">
        <v>131</v>
      </c>
      <c r="D70" s="22" t="s">
        <v>112</v>
      </c>
      <c r="E70" s="22" t="s">
        <v>113</v>
      </c>
      <c r="F70" s="9">
        <f>179</f>
      </c>
      <c r="G70" s="10">
        <f>17.6</f>
      </c>
      <c r="H70" s="10">
        <f>1.6</f>
      </c>
      <c r="I70" s="11">
        <f>66.86</f>
      </c>
      <c r="J70" s="11">
        <f>740.4</f>
      </c>
      <c r="K70" s="10">
        <f>29.2</f>
      </c>
      <c r="L70" s="10">
        <f>2.9</f>
      </c>
      <c r="M70" s="21">
        <f>154859560333</f>
      </c>
      <c r="N70" s="21">
        <f>1581000424000</f>
      </c>
    </row>
    <row r="71">
      <c r="A71" s="22" t="s">
        <v>53</v>
      </c>
      <c r="B71" s="22" t="s">
        <v>130</v>
      </c>
      <c r="C71" s="22" t="s">
        <v>131</v>
      </c>
      <c r="D71" s="22" t="s">
        <v>114</v>
      </c>
      <c r="E71" s="22" t="s">
        <v>115</v>
      </c>
      <c r="F71" s="9">
        <f>165</f>
      </c>
      <c r="G71" s="10">
        <f>10.1</f>
      </c>
      <c r="H71" s="10">
        <f>0.7</f>
      </c>
      <c r="I71" s="11">
        <f>158.49</f>
      </c>
      <c r="J71" s="11">
        <f>2249.95</f>
      </c>
      <c r="K71" s="10">
        <f>10.8</f>
      </c>
      <c r="L71" s="10">
        <f>0.8</f>
      </c>
      <c r="M71" s="21">
        <f>210365000000</f>
      </c>
      <c r="N71" s="21">
        <f>2739804000000</f>
      </c>
    </row>
    <row r="72">
      <c r="A72" s="22" t="s">
        <v>53</v>
      </c>
      <c r="B72" s="22" t="s">
        <v>130</v>
      </c>
      <c r="C72" s="22" t="s">
        <v>131</v>
      </c>
      <c r="D72" s="22" t="s">
        <v>116</v>
      </c>
      <c r="E72" s="22" t="s">
        <v>117</v>
      </c>
      <c r="F72" s="9">
        <f>171</f>
      </c>
      <c r="G72" s="10">
        <f>21.1</f>
      </c>
      <c r="H72" s="10">
        <f>1.3</f>
      </c>
      <c r="I72" s="11">
        <f>55.07</f>
      </c>
      <c r="J72" s="11">
        <f>895.12</f>
      </c>
      <c r="K72" s="10">
        <f>25.1</f>
      </c>
      <c r="L72" s="10">
        <f>1.6</f>
      </c>
      <c r="M72" s="21">
        <f>152134371800</f>
      </c>
      <c r="N72" s="21">
        <f>2345100224741</f>
      </c>
    </row>
    <row r="73">
      <c r="A73" s="22" t="s">
        <v>53</v>
      </c>
      <c r="B73" s="22" t="s">
        <v>130</v>
      </c>
      <c r="C73" s="22" t="s">
        <v>131</v>
      </c>
      <c r="D73" s="22" t="s">
        <v>118</v>
      </c>
      <c r="E73" s="22" t="s">
        <v>119</v>
      </c>
      <c r="F73" s="9">
        <f>11</f>
      </c>
      <c r="G73" s="10">
        <f>50.4</f>
      </c>
      <c r="H73" s="10">
        <f>0.3</f>
      </c>
      <c r="I73" s="11">
        <f>20.55</f>
      </c>
      <c r="J73" s="11">
        <f>3441.95</f>
      </c>
      <c r="K73" s="10">
        <f>45.1</f>
      </c>
      <c r="L73" s="10">
        <f>1</f>
      </c>
      <c r="M73" s="21">
        <f>11087390034</f>
      </c>
      <c r="N73" s="21">
        <f>523286160000</f>
      </c>
    </row>
    <row r="74">
      <c r="A74" s="22" t="s">
        <v>53</v>
      </c>
      <c r="B74" s="22" t="s">
        <v>130</v>
      </c>
      <c r="C74" s="22" t="s">
        <v>131</v>
      </c>
      <c r="D74" s="22" t="s">
        <v>120</v>
      </c>
      <c r="E74" s="22" t="s">
        <v>121</v>
      </c>
      <c r="F74" s="9">
        <f>16</f>
      </c>
      <c r="G74" s="10">
        <f>8.7</f>
      </c>
      <c r="H74" s="10">
        <f>0.8</f>
      </c>
      <c r="I74" s="11">
        <f>91.57</f>
      </c>
      <c r="J74" s="11">
        <f>986.77</f>
      </c>
      <c r="K74" s="10">
        <f>8.8</f>
      </c>
      <c r="L74" s="10">
        <f>0.9</f>
      </c>
      <c r="M74" s="21">
        <f>28580000000</f>
      </c>
      <c r="N74" s="21">
        <f>274430000000</f>
      </c>
    </row>
    <row r="75">
      <c r="A75" s="22" t="s">
        <v>53</v>
      </c>
      <c r="B75" s="22" t="s">
        <v>130</v>
      </c>
      <c r="C75" s="22" t="s">
        <v>131</v>
      </c>
      <c r="D75" s="22" t="s">
        <v>122</v>
      </c>
      <c r="E75" s="22" t="s">
        <v>123</v>
      </c>
      <c r="F75" s="9">
        <f>"－"</f>
      </c>
      <c r="G75" s="10">
        <f>"－"</f>
      </c>
      <c r="H75" s="10">
        <f>"－"</f>
      </c>
      <c r="I75" s="11">
        <f>"－"</f>
      </c>
      <c r="J75" s="11">
        <f>"－"</f>
      </c>
      <c r="K75" s="10">
        <f>"－"</f>
      </c>
      <c r="L75" s="10">
        <f>"－"</f>
      </c>
      <c r="M75" s="21">
        <f>"－"</f>
      </c>
      <c r="N75" s="21">
        <f>"－"</f>
      </c>
    </row>
    <row r="76">
      <c r="A76" s="22" t="s">
        <v>53</v>
      </c>
      <c r="B76" s="22" t="s">
        <v>130</v>
      </c>
      <c r="C76" s="22" t="s">
        <v>131</v>
      </c>
      <c r="D76" s="22" t="s">
        <v>124</v>
      </c>
      <c r="E76" s="22" t="s">
        <v>125</v>
      </c>
      <c r="F76" s="9">
        <f>14</f>
      </c>
      <c r="G76" s="10">
        <f>14.1</f>
      </c>
      <c r="H76" s="10">
        <f>1</f>
      </c>
      <c r="I76" s="11">
        <f>41.73</f>
      </c>
      <c r="J76" s="11">
        <f>562.96</f>
      </c>
      <c r="K76" s="10">
        <f>9.5</f>
      </c>
      <c r="L76" s="10">
        <f>0.8</f>
      </c>
      <c r="M76" s="21">
        <f>80563000000</f>
      </c>
      <c r="N76" s="21">
        <f>975024000000</f>
      </c>
    </row>
    <row r="77">
      <c r="A77" s="22" t="s">
        <v>53</v>
      </c>
      <c r="B77" s="22" t="s">
        <v>130</v>
      </c>
      <c r="C77" s="22" t="s">
        <v>131</v>
      </c>
      <c r="D77" s="22" t="s">
        <v>126</v>
      </c>
      <c r="E77" s="22" t="s">
        <v>127</v>
      </c>
      <c r="F77" s="9">
        <f>66</f>
      </c>
      <c r="G77" s="10">
        <f>11.3</f>
      </c>
      <c r="H77" s="10">
        <f>0.9</f>
      </c>
      <c r="I77" s="11">
        <f>93.95</f>
      </c>
      <c r="J77" s="11">
        <f>1219.72</f>
      </c>
      <c r="K77" s="10">
        <f>10.8</f>
      </c>
      <c r="L77" s="10">
        <f>1</f>
      </c>
      <c r="M77" s="21">
        <f>111293000000</f>
      </c>
      <c r="N77" s="21">
        <f>1210536846500</f>
      </c>
    </row>
    <row r="78">
      <c r="A78" s="22" t="s">
        <v>53</v>
      </c>
      <c r="B78" s="22" t="s">
        <v>130</v>
      </c>
      <c r="C78" s="22" t="s">
        <v>131</v>
      </c>
      <c r="D78" s="22" t="s">
        <v>128</v>
      </c>
      <c r="E78" s="22" t="s">
        <v>129</v>
      </c>
      <c r="F78" s="9">
        <f>192</f>
      </c>
      <c r="G78" s="10">
        <f>15</f>
      </c>
      <c r="H78" s="10">
        <f>1.2</f>
      </c>
      <c r="I78" s="11">
        <f>72.87</f>
      </c>
      <c r="J78" s="11">
        <f>944.38</f>
      </c>
      <c r="K78" s="10">
        <f>16.2</f>
      </c>
      <c r="L78" s="10">
        <f>1.3</f>
      </c>
      <c r="M78" s="21">
        <f>119036792390</f>
      </c>
      <c r="N78" s="21">
        <f>1444377784053</f>
      </c>
    </row>
    <row r="79">
      <c r="A79" s="22" t="s">
        <v>53</v>
      </c>
      <c r="B79" s="22" t="s">
        <v>132</v>
      </c>
      <c r="C79" s="22" t="s">
        <v>133</v>
      </c>
      <c r="D79" s="22" t="s">
        <v>56</v>
      </c>
      <c r="E79" s="22" t="s">
        <v>57</v>
      </c>
      <c r="F79" s="9">
        <f>587</f>
      </c>
      <c r="G79" s="10">
        <f>38.8</f>
      </c>
      <c r="H79" s="10">
        <f>2.8</f>
      </c>
      <c r="I79" s="11">
        <f>28.57</f>
      </c>
      <c r="J79" s="11">
        <f>391.41</f>
      </c>
      <c r="K79" s="10">
        <f>102.1</f>
      </c>
      <c r="L79" s="10">
        <f>3.1</f>
      </c>
      <c r="M79" s="21">
        <f>70176465571</f>
      </c>
      <c r="N79" s="21">
        <f>2277556168149</f>
      </c>
    </row>
    <row r="80">
      <c r="A80" s="22" t="s">
        <v>53</v>
      </c>
      <c r="B80" s="22" t="s">
        <v>132</v>
      </c>
      <c r="C80" s="22" t="s">
        <v>133</v>
      </c>
      <c r="D80" s="22" t="s">
        <v>58</v>
      </c>
      <c r="E80" s="22" t="s">
        <v>59</v>
      </c>
      <c r="F80" s="9">
        <f>575</f>
      </c>
      <c r="G80" s="10">
        <f>40.7</f>
      </c>
      <c r="H80" s="10">
        <f>2.9</f>
      </c>
      <c r="I80" s="11">
        <f>26.97</f>
      </c>
      <c r="J80" s="11">
        <f>382.48</f>
      </c>
      <c r="K80" s="10">
        <f>134.2</f>
      </c>
      <c r="L80" s="10">
        <f>3.3</f>
      </c>
      <c r="M80" s="21">
        <f>49998465571</f>
      </c>
      <c r="N80" s="21">
        <f>2054741168149</f>
      </c>
    </row>
    <row r="81">
      <c r="A81" s="22" t="s">
        <v>53</v>
      </c>
      <c r="B81" s="22" t="s">
        <v>132</v>
      </c>
      <c r="C81" s="22" t="s">
        <v>133</v>
      </c>
      <c r="D81" s="22" t="s">
        <v>60</v>
      </c>
      <c r="E81" s="22" t="s">
        <v>61</v>
      </c>
      <c r="F81" s="9">
        <f>76</f>
      </c>
      <c r="G81" s="10">
        <f>"－"</f>
      </c>
      <c r="H81" s="10">
        <f>2.9</f>
      </c>
      <c r="I81" s="11">
        <f>-8.33</f>
      </c>
      <c r="J81" s="11">
        <f>266.37</f>
      </c>
      <c r="K81" s="10">
        <f>"－"</f>
      </c>
      <c r="L81" s="10">
        <f>3</f>
      </c>
      <c r="M81" s="21">
        <f>-41125956000</f>
      </c>
      <c r="N81" s="21">
        <f>377287897000</f>
      </c>
    </row>
    <row r="82">
      <c r="A82" s="22" t="s">
        <v>53</v>
      </c>
      <c r="B82" s="22" t="s">
        <v>132</v>
      </c>
      <c r="C82" s="22" t="s">
        <v>133</v>
      </c>
      <c r="D82" s="22" t="s">
        <v>62</v>
      </c>
      <c r="E82" s="22" t="s">
        <v>63</v>
      </c>
      <c r="F82" s="9">
        <f>499</f>
      </c>
      <c r="G82" s="10">
        <f>35.4</f>
      </c>
      <c r="H82" s="10">
        <f>2.9</f>
      </c>
      <c r="I82" s="11">
        <f>32.35</f>
      </c>
      <c r="J82" s="11">
        <f>400.17</f>
      </c>
      <c r="K82" s="10">
        <f>61.4</f>
      </c>
      <c r="L82" s="10">
        <f>3.3</f>
      </c>
      <c r="M82" s="21">
        <f>91124421571</f>
      </c>
      <c r="N82" s="21">
        <f>1677453271149</f>
      </c>
    </row>
    <row r="83">
      <c r="A83" s="22" t="s">
        <v>53</v>
      </c>
      <c r="B83" s="22" t="s">
        <v>132</v>
      </c>
      <c r="C83" s="22" t="s">
        <v>133</v>
      </c>
      <c r="D83" s="22" t="s">
        <v>64</v>
      </c>
      <c r="E83" s="22" t="s">
        <v>65</v>
      </c>
      <c r="F83" s="9">
        <f>"－"</f>
      </c>
      <c r="G83" s="10">
        <f>"－"</f>
      </c>
      <c r="H83" s="10">
        <f>"－"</f>
      </c>
      <c r="I83" s="11">
        <f>"－"</f>
      </c>
      <c r="J83" s="11">
        <f>"－"</f>
      </c>
      <c r="K83" s="10">
        <f>"－"</f>
      </c>
      <c r="L83" s="10">
        <f>"－"</f>
      </c>
      <c r="M83" s="21">
        <f>"－"</f>
      </c>
      <c r="N83" s="21">
        <f>"－"</f>
      </c>
    </row>
    <row r="84">
      <c r="A84" s="22" t="s">
        <v>53</v>
      </c>
      <c r="B84" s="22" t="s">
        <v>132</v>
      </c>
      <c r="C84" s="22" t="s">
        <v>133</v>
      </c>
      <c r="D84" s="22" t="s">
        <v>66</v>
      </c>
      <c r="E84" s="22" t="s">
        <v>67</v>
      </c>
      <c r="F84" s="9">
        <f>"－"</f>
      </c>
      <c r="G84" s="10">
        <f>"－"</f>
      </c>
      <c r="H84" s="10">
        <f>"－"</f>
      </c>
      <c r="I84" s="11">
        <f>"－"</f>
      </c>
      <c r="J84" s="11">
        <f>"－"</f>
      </c>
      <c r="K84" s="10">
        <f>"－"</f>
      </c>
      <c r="L84" s="10">
        <f>"－"</f>
      </c>
      <c r="M84" s="21">
        <f>"－"</f>
      </c>
      <c r="N84" s="21">
        <f>"－"</f>
      </c>
    </row>
    <row r="85">
      <c r="A85" s="22" t="s">
        <v>53</v>
      </c>
      <c r="B85" s="22" t="s">
        <v>132</v>
      </c>
      <c r="C85" s="22" t="s">
        <v>133</v>
      </c>
      <c r="D85" s="22" t="s">
        <v>68</v>
      </c>
      <c r="E85" s="22" t="s">
        <v>69</v>
      </c>
      <c r="F85" s="9">
        <f>7</f>
      </c>
      <c r="G85" s="10">
        <f>21.2</f>
      </c>
      <c r="H85" s="10">
        <f>2.2</f>
      </c>
      <c r="I85" s="11">
        <f>64.92</f>
      </c>
      <c r="J85" s="11">
        <f>636.49</f>
      </c>
      <c r="K85" s="10">
        <f>21</f>
      </c>
      <c r="L85" s="10">
        <f>2.4</f>
      </c>
      <c r="M85" s="21">
        <f>2734000000</f>
      </c>
      <c r="N85" s="21">
        <f>24263000000</f>
      </c>
    </row>
    <row r="86">
      <c r="A86" s="22" t="s">
        <v>53</v>
      </c>
      <c r="B86" s="22" t="s">
        <v>132</v>
      </c>
      <c r="C86" s="22" t="s">
        <v>133</v>
      </c>
      <c r="D86" s="22" t="s">
        <v>70</v>
      </c>
      <c r="E86" s="22" t="s">
        <v>71</v>
      </c>
      <c r="F86" s="9">
        <f>3</f>
      </c>
      <c r="G86" s="10">
        <f>40.9</f>
      </c>
      <c r="H86" s="10">
        <f>5</f>
      </c>
      <c r="I86" s="11">
        <f>22.42</f>
      </c>
      <c r="J86" s="11">
        <f>182.12</f>
      </c>
      <c r="K86" s="10">
        <f>"－"</f>
      </c>
      <c r="L86" s="10">
        <f>8.9</f>
      </c>
      <c r="M86" s="21">
        <f>-344000000</f>
      </c>
      <c r="N86" s="21">
        <f>6559000000</f>
      </c>
    </row>
    <row r="87">
      <c r="A87" s="22" t="s">
        <v>53</v>
      </c>
      <c r="B87" s="22" t="s">
        <v>132</v>
      </c>
      <c r="C87" s="22" t="s">
        <v>133</v>
      </c>
      <c r="D87" s="22" t="s">
        <v>72</v>
      </c>
      <c r="E87" s="22" t="s">
        <v>73</v>
      </c>
      <c r="F87" s="9">
        <f>"－"</f>
      </c>
      <c r="G87" s="10">
        <f>"－"</f>
      </c>
      <c r="H87" s="10">
        <f>"－"</f>
      </c>
      <c r="I87" s="11">
        <f>"－"</f>
      </c>
      <c r="J87" s="11">
        <f>"－"</f>
      </c>
      <c r="K87" s="10">
        <f>"－"</f>
      </c>
      <c r="L87" s="10">
        <f>"－"</f>
      </c>
      <c r="M87" s="21">
        <f>"－"</f>
      </c>
      <c r="N87" s="21">
        <f>"－"</f>
      </c>
    </row>
    <row r="88">
      <c r="A88" s="22" t="s">
        <v>53</v>
      </c>
      <c r="B88" s="22" t="s">
        <v>132</v>
      </c>
      <c r="C88" s="22" t="s">
        <v>133</v>
      </c>
      <c r="D88" s="22" t="s">
        <v>74</v>
      </c>
      <c r="E88" s="22" t="s">
        <v>75</v>
      </c>
      <c r="F88" s="9">
        <f>"－"</f>
      </c>
      <c r="G88" s="10">
        <f>"－"</f>
      </c>
      <c r="H88" s="10">
        <f>"－"</f>
      </c>
      <c r="I88" s="11">
        <f>"－"</f>
      </c>
      <c r="J88" s="11">
        <f>"－"</f>
      </c>
      <c r="K88" s="10">
        <f>"－"</f>
      </c>
      <c r="L88" s="10">
        <f>"－"</f>
      </c>
      <c r="M88" s="21">
        <f>"－"</f>
      </c>
      <c r="N88" s="21">
        <f>"－"</f>
      </c>
    </row>
    <row r="89">
      <c r="A89" s="22" t="s">
        <v>53</v>
      </c>
      <c r="B89" s="22" t="s">
        <v>132</v>
      </c>
      <c r="C89" s="22" t="s">
        <v>133</v>
      </c>
      <c r="D89" s="22" t="s">
        <v>76</v>
      </c>
      <c r="E89" s="22" t="s">
        <v>77</v>
      </c>
      <c r="F89" s="9">
        <f>6</f>
      </c>
      <c r="G89" s="10">
        <f>"－"</f>
      </c>
      <c r="H89" s="10">
        <f>3.6</f>
      </c>
      <c r="I89" s="11">
        <f>-0.82</f>
      </c>
      <c r="J89" s="11">
        <f>321.39</f>
      </c>
      <c r="K89" s="10">
        <f>"－"</f>
      </c>
      <c r="L89" s="10">
        <f>3.1</f>
      </c>
      <c r="M89" s="21">
        <f>-219883000</f>
      </c>
      <c r="N89" s="21">
        <f>20081830000</f>
      </c>
    </row>
    <row r="90">
      <c r="A90" s="22" t="s">
        <v>53</v>
      </c>
      <c r="B90" s="22" t="s">
        <v>132</v>
      </c>
      <c r="C90" s="22" t="s">
        <v>133</v>
      </c>
      <c r="D90" s="22" t="s">
        <v>78</v>
      </c>
      <c r="E90" s="22" t="s">
        <v>79</v>
      </c>
      <c r="F90" s="9">
        <f>38</f>
      </c>
      <c r="G90" s="10">
        <f>"－"</f>
      </c>
      <c r="H90" s="10">
        <f>5.1</f>
      </c>
      <c r="I90" s="11">
        <f>-30.89</f>
      </c>
      <c r="J90" s="11">
        <f>130.24</f>
      </c>
      <c r="K90" s="10">
        <f>"－"</f>
      </c>
      <c r="L90" s="10">
        <f>4.1</f>
      </c>
      <c r="M90" s="21">
        <f>-38646073000</f>
      </c>
      <c r="N90" s="21">
        <f>154232067000</f>
      </c>
    </row>
    <row r="91">
      <c r="A91" s="22" t="s">
        <v>53</v>
      </c>
      <c r="B91" s="22" t="s">
        <v>132</v>
      </c>
      <c r="C91" s="22" t="s">
        <v>133</v>
      </c>
      <c r="D91" s="22" t="s">
        <v>80</v>
      </c>
      <c r="E91" s="22" t="s">
        <v>81</v>
      </c>
      <c r="F91" s="9">
        <f>"－"</f>
      </c>
      <c r="G91" s="10">
        <f>"－"</f>
      </c>
      <c r="H91" s="10">
        <f>"－"</f>
      </c>
      <c r="I91" s="11">
        <f>"－"</f>
      </c>
      <c r="J91" s="11">
        <f>"－"</f>
      </c>
      <c r="K91" s="10">
        <f>"－"</f>
      </c>
      <c r="L91" s="10">
        <f>"－"</f>
      </c>
      <c r="M91" s="21">
        <f>"－"</f>
      </c>
      <c r="N91" s="21">
        <f>"－"</f>
      </c>
    </row>
    <row r="92">
      <c r="A92" s="22" t="s">
        <v>53</v>
      </c>
      <c r="B92" s="22" t="s">
        <v>132</v>
      </c>
      <c r="C92" s="22" t="s">
        <v>133</v>
      </c>
      <c r="D92" s="22" t="s">
        <v>82</v>
      </c>
      <c r="E92" s="22" t="s">
        <v>83</v>
      </c>
      <c r="F92" s="9">
        <f>"－"</f>
      </c>
      <c r="G92" s="10">
        <f>"－"</f>
      </c>
      <c r="H92" s="10">
        <f>"－"</f>
      </c>
      <c r="I92" s="11">
        <f>"－"</f>
      </c>
      <c r="J92" s="11">
        <f>"－"</f>
      </c>
      <c r="K92" s="10">
        <f>"－"</f>
      </c>
      <c r="L92" s="10">
        <f>"－"</f>
      </c>
      <c r="M92" s="21">
        <f>"－"</f>
      </c>
      <c r="N92" s="21">
        <f>"－"</f>
      </c>
    </row>
    <row r="93">
      <c r="A93" s="22" t="s">
        <v>53</v>
      </c>
      <c r="B93" s="22" t="s">
        <v>132</v>
      </c>
      <c r="C93" s="22" t="s">
        <v>133</v>
      </c>
      <c r="D93" s="22" t="s">
        <v>84</v>
      </c>
      <c r="E93" s="22" t="s">
        <v>85</v>
      </c>
      <c r="F93" s="9">
        <f>"－"</f>
      </c>
      <c r="G93" s="10">
        <f>"－"</f>
      </c>
      <c r="H93" s="10">
        <f>"－"</f>
      </c>
      <c r="I93" s="11">
        <f>"－"</f>
      </c>
      <c r="J93" s="11">
        <f>"－"</f>
      </c>
      <c r="K93" s="10">
        <f>"－"</f>
      </c>
      <c r="L93" s="10">
        <f>"－"</f>
      </c>
      <c r="M93" s="21">
        <f>"－"</f>
      </c>
      <c r="N93" s="21">
        <f>"－"</f>
      </c>
    </row>
    <row r="94">
      <c r="A94" s="22" t="s">
        <v>53</v>
      </c>
      <c r="B94" s="22" t="s">
        <v>132</v>
      </c>
      <c r="C94" s="22" t="s">
        <v>133</v>
      </c>
      <c r="D94" s="22" t="s">
        <v>86</v>
      </c>
      <c r="E94" s="22" t="s">
        <v>87</v>
      </c>
      <c r="F94" s="9">
        <f>"－"</f>
      </c>
      <c r="G94" s="10">
        <f>"－"</f>
      </c>
      <c r="H94" s="10">
        <f>"－"</f>
      </c>
      <c r="I94" s="11">
        <f>"－"</f>
      </c>
      <c r="J94" s="11">
        <f>"－"</f>
      </c>
      <c r="K94" s="10">
        <f>"－"</f>
      </c>
      <c r="L94" s="10">
        <f>"－"</f>
      </c>
      <c r="M94" s="21">
        <f>"－"</f>
      </c>
      <c r="N94" s="21">
        <f>"－"</f>
      </c>
    </row>
    <row r="95">
      <c r="A95" s="22" t="s">
        <v>53</v>
      </c>
      <c r="B95" s="22" t="s">
        <v>132</v>
      </c>
      <c r="C95" s="22" t="s">
        <v>133</v>
      </c>
      <c r="D95" s="22" t="s">
        <v>88</v>
      </c>
      <c r="E95" s="22" t="s">
        <v>89</v>
      </c>
      <c r="F95" s="9">
        <f>3</f>
      </c>
      <c r="G95" s="10">
        <f>17.7</f>
      </c>
      <c r="H95" s="10">
        <f>1.1</f>
      </c>
      <c r="I95" s="11">
        <f>56.55</f>
      </c>
      <c r="J95" s="11">
        <f>942.25</f>
      </c>
      <c r="K95" s="10">
        <f>"－"</f>
      </c>
      <c r="L95" s="10">
        <f>1</f>
      </c>
      <c r="M95" s="21">
        <f>-313000000</f>
      </c>
      <c r="N95" s="21">
        <f>11291000000</f>
      </c>
    </row>
    <row r="96">
      <c r="A96" s="22" t="s">
        <v>53</v>
      </c>
      <c r="B96" s="22" t="s">
        <v>132</v>
      </c>
      <c r="C96" s="22" t="s">
        <v>133</v>
      </c>
      <c r="D96" s="22" t="s">
        <v>90</v>
      </c>
      <c r="E96" s="22" t="s">
        <v>91</v>
      </c>
      <c r="F96" s="9">
        <f>"－"</f>
      </c>
      <c r="G96" s="10">
        <f>"－"</f>
      </c>
      <c r="H96" s="10">
        <f>"－"</f>
      </c>
      <c r="I96" s="11">
        <f>"－"</f>
      </c>
      <c r="J96" s="11">
        <f>"－"</f>
      </c>
      <c r="K96" s="10">
        <f>"－"</f>
      </c>
      <c r="L96" s="10">
        <f>"－"</f>
      </c>
      <c r="M96" s="21">
        <f>"－"</f>
      </c>
      <c r="N96" s="21">
        <f>"－"</f>
      </c>
    </row>
    <row r="97">
      <c r="A97" s="22" t="s">
        <v>53</v>
      </c>
      <c r="B97" s="22" t="s">
        <v>132</v>
      </c>
      <c r="C97" s="22" t="s">
        <v>133</v>
      </c>
      <c r="D97" s="22" t="s">
        <v>92</v>
      </c>
      <c r="E97" s="22" t="s">
        <v>93</v>
      </c>
      <c r="F97" s="9">
        <f>4</f>
      </c>
      <c r="G97" s="10">
        <f>"－"</f>
      </c>
      <c r="H97" s="10">
        <f>3.6</f>
      </c>
      <c r="I97" s="11">
        <f>-11.55</f>
      </c>
      <c r="J97" s="11">
        <f>222.83</f>
      </c>
      <c r="K97" s="10">
        <f>"－"</f>
      </c>
      <c r="L97" s="10">
        <f>3.3</f>
      </c>
      <c r="M97" s="21">
        <f>-559000000</f>
      </c>
      <c r="N97" s="21">
        <f>14989000000</f>
      </c>
    </row>
    <row r="98">
      <c r="A98" s="22" t="s">
        <v>53</v>
      </c>
      <c r="B98" s="22" t="s">
        <v>132</v>
      </c>
      <c r="C98" s="22" t="s">
        <v>133</v>
      </c>
      <c r="D98" s="22" t="s">
        <v>94</v>
      </c>
      <c r="E98" s="22" t="s">
        <v>95</v>
      </c>
      <c r="F98" s="9">
        <f>6</f>
      </c>
      <c r="G98" s="10">
        <f>"－"</f>
      </c>
      <c r="H98" s="10">
        <f>2.3</f>
      </c>
      <c r="I98" s="11">
        <f>-45.18</f>
      </c>
      <c r="J98" s="11">
        <f>375.31</f>
      </c>
      <c r="K98" s="10">
        <f>"－"</f>
      </c>
      <c r="L98" s="10">
        <f>2.4</f>
      </c>
      <c r="M98" s="21">
        <f>-3091000000</f>
      </c>
      <c r="N98" s="21">
        <f>22371000000</f>
      </c>
    </row>
    <row r="99">
      <c r="A99" s="22" t="s">
        <v>53</v>
      </c>
      <c r="B99" s="22" t="s">
        <v>132</v>
      </c>
      <c r="C99" s="22" t="s">
        <v>133</v>
      </c>
      <c r="D99" s="22" t="s">
        <v>96</v>
      </c>
      <c r="E99" s="22" t="s">
        <v>97</v>
      </c>
      <c r="F99" s="9">
        <f>3</f>
      </c>
      <c r="G99" s="10">
        <f>12.4</f>
      </c>
      <c r="H99" s="10">
        <f>1.8</f>
      </c>
      <c r="I99" s="11">
        <f>112.08</f>
      </c>
      <c r="J99" s="11">
        <f>782.24</f>
      </c>
      <c r="K99" s="10">
        <f>13.9</f>
      </c>
      <c r="L99" s="10">
        <f>2.1</f>
      </c>
      <c r="M99" s="21">
        <f>2169000000</f>
      </c>
      <c r="N99" s="21">
        <f>14435000000</f>
      </c>
    </row>
    <row r="100">
      <c r="A100" s="22" t="s">
        <v>53</v>
      </c>
      <c r="B100" s="22" t="s">
        <v>132</v>
      </c>
      <c r="C100" s="22" t="s">
        <v>133</v>
      </c>
      <c r="D100" s="22" t="s">
        <v>98</v>
      </c>
      <c r="E100" s="22" t="s">
        <v>99</v>
      </c>
      <c r="F100" s="9">
        <f>6</f>
      </c>
      <c r="G100" s="10">
        <f>"－"</f>
      </c>
      <c r="H100" s="10">
        <f>3.5</f>
      </c>
      <c r="I100" s="11">
        <f>-15.68</f>
      </c>
      <c r="J100" s="11">
        <f>99.92</f>
      </c>
      <c r="K100" s="10">
        <f>"－"</f>
      </c>
      <c r="L100" s="10">
        <f>2</f>
      </c>
      <c r="M100" s="21">
        <f>-3992000000</f>
      </c>
      <c r="N100" s="21">
        <f>54081000000</f>
      </c>
    </row>
    <row r="101">
      <c r="A101" s="22" t="s">
        <v>53</v>
      </c>
      <c r="B101" s="22" t="s">
        <v>132</v>
      </c>
      <c r="C101" s="22" t="s">
        <v>133</v>
      </c>
      <c r="D101" s="22" t="s">
        <v>100</v>
      </c>
      <c r="E101" s="22" t="s">
        <v>101</v>
      </c>
      <c r="F101" s="9">
        <f>7</f>
      </c>
      <c r="G101" s="10">
        <f>16.8</f>
      </c>
      <c r="H101" s="10">
        <f>1.7</f>
      </c>
      <c r="I101" s="11">
        <f>54.81</f>
      </c>
      <c r="J101" s="11">
        <f>557.71</f>
      </c>
      <c r="K101" s="10">
        <f>29.2</f>
      </c>
      <c r="L101" s="10">
        <f>1.4</f>
      </c>
      <c r="M101" s="21">
        <f>3870000000</f>
      </c>
      <c r="N101" s="21">
        <f>79248000000</f>
      </c>
    </row>
    <row r="102">
      <c r="A102" s="22" t="s">
        <v>53</v>
      </c>
      <c r="B102" s="22" t="s">
        <v>132</v>
      </c>
      <c r="C102" s="22" t="s">
        <v>133</v>
      </c>
      <c r="D102" s="22" t="s">
        <v>102</v>
      </c>
      <c r="E102" s="22" t="s">
        <v>103</v>
      </c>
      <c r="F102" s="9">
        <f>2</f>
      </c>
      <c r="G102" s="10">
        <f>14.5</f>
      </c>
      <c r="H102" s="10">
        <f>2.3</f>
      </c>
      <c r="I102" s="11">
        <f>71.36</f>
      </c>
      <c r="J102" s="11">
        <f>458.92</f>
      </c>
      <c r="K102" s="10">
        <f>14.7</f>
      </c>
      <c r="L102" s="10">
        <f>2</f>
      </c>
      <c r="M102" s="21">
        <f>3074000000</f>
      </c>
      <c r="N102" s="21">
        <f>22460000000</f>
      </c>
    </row>
    <row r="103">
      <c r="A103" s="22" t="s">
        <v>53</v>
      </c>
      <c r="B103" s="22" t="s">
        <v>132</v>
      </c>
      <c r="C103" s="22" t="s">
        <v>133</v>
      </c>
      <c r="D103" s="22" t="s">
        <v>104</v>
      </c>
      <c r="E103" s="22" t="s">
        <v>105</v>
      </c>
      <c r="F103" s="9">
        <f>"－"</f>
      </c>
      <c r="G103" s="10">
        <f>"－"</f>
      </c>
      <c r="H103" s="10">
        <f>"－"</f>
      </c>
      <c r="I103" s="11">
        <f>"－"</f>
      </c>
      <c r="J103" s="11">
        <f>"－"</f>
      </c>
      <c r="K103" s="10">
        <f>"－"</f>
      </c>
      <c r="L103" s="10">
        <f>"－"</f>
      </c>
      <c r="M103" s="21">
        <f>"－"</f>
      </c>
      <c r="N103" s="21">
        <f>"－"</f>
      </c>
    </row>
    <row r="104">
      <c r="A104" s="22" t="s">
        <v>53</v>
      </c>
      <c r="B104" s="22" t="s">
        <v>132</v>
      </c>
      <c r="C104" s="22" t="s">
        <v>133</v>
      </c>
      <c r="D104" s="22" t="s">
        <v>106</v>
      </c>
      <c r="E104" s="22" t="s">
        <v>107</v>
      </c>
      <c r="F104" s="9">
        <f>"－"</f>
      </c>
      <c r="G104" s="10">
        <f>"－"</f>
      </c>
      <c r="H104" s="10">
        <f>"－"</f>
      </c>
      <c r="I104" s="11">
        <f>"－"</f>
      </c>
      <c r="J104" s="11">
        <f>"－"</f>
      </c>
      <c r="K104" s="10">
        <f>"－"</f>
      </c>
      <c r="L104" s="10">
        <f>"－"</f>
      </c>
      <c r="M104" s="21">
        <f>"－"</f>
      </c>
      <c r="N104" s="21">
        <f>"－"</f>
      </c>
    </row>
    <row r="105">
      <c r="A105" s="22" t="s">
        <v>53</v>
      </c>
      <c r="B105" s="22" t="s">
        <v>132</v>
      </c>
      <c r="C105" s="22" t="s">
        <v>133</v>
      </c>
      <c r="D105" s="22" t="s">
        <v>108</v>
      </c>
      <c r="E105" s="22" t="s">
        <v>109</v>
      </c>
      <c r="F105" s="9">
        <f>1</f>
      </c>
      <c r="G105" s="10">
        <f>12.5</f>
      </c>
      <c r="H105" s="10">
        <f>1.3</f>
      </c>
      <c r="I105" s="11">
        <f>49.68</f>
      </c>
      <c r="J105" s="11">
        <f>461.75</f>
      </c>
      <c r="K105" s="10">
        <f>12.5</f>
      </c>
      <c r="L105" s="10">
        <f>1.3</f>
      </c>
      <c r="M105" s="21">
        <f>2997000000</f>
      </c>
      <c r="N105" s="21">
        <f>27857000000</f>
      </c>
    </row>
    <row r="106">
      <c r="A106" s="22" t="s">
        <v>53</v>
      </c>
      <c r="B106" s="22" t="s">
        <v>132</v>
      </c>
      <c r="C106" s="22" t="s">
        <v>133</v>
      </c>
      <c r="D106" s="22" t="s">
        <v>110</v>
      </c>
      <c r="E106" s="22" t="s">
        <v>111</v>
      </c>
      <c r="F106" s="9">
        <f>1</f>
      </c>
      <c r="G106" s="10">
        <f>71.5</f>
      </c>
      <c r="H106" s="10">
        <f>1.2</f>
      </c>
      <c r="I106" s="11">
        <f>4.75</f>
      </c>
      <c r="J106" s="11">
        <f>293.36</f>
      </c>
      <c r="K106" s="10">
        <f>71.5</f>
      </c>
      <c r="L106" s="10">
        <f>1.2</f>
      </c>
      <c r="M106" s="21">
        <f>49000000</f>
      </c>
      <c r="N106" s="21">
        <f>3024000000</f>
      </c>
    </row>
    <row r="107">
      <c r="A107" s="22" t="s">
        <v>53</v>
      </c>
      <c r="B107" s="22" t="s">
        <v>132</v>
      </c>
      <c r="C107" s="22" t="s">
        <v>133</v>
      </c>
      <c r="D107" s="22" t="s">
        <v>112</v>
      </c>
      <c r="E107" s="22" t="s">
        <v>113</v>
      </c>
      <c r="F107" s="9">
        <f>243</f>
      </c>
      <c r="G107" s="10">
        <f>66.2</f>
      </c>
      <c r="H107" s="10">
        <f>3.5</f>
      </c>
      <c r="I107" s="11">
        <f>17.19</f>
      </c>
      <c r="J107" s="11">
        <f>329.64</f>
      </c>
      <c r="K107" s="10">
        <f>"－"</f>
      </c>
      <c r="L107" s="10">
        <f>4</f>
      </c>
      <c r="M107" s="21">
        <f>-1287247000</f>
      </c>
      <c r="N107" s="21">
        <f>677867653000</f>
      </c>
    </row>
    <row r="108">
      <c r="A108" s="22" t="s">
        <v>53</v>
      </c>
      <c r="B108" s="22" t="s">
        <v>132</v>
      </c>
      <c r="C108" s="22" t="s">
        <v>133</v>
      </c>
      <c r="D108" s="22" t="s">
        <v>114</v>
      </c>
      <c r="E108" s="22" t="s">
        <v>115</v>
      </c>
      <c r="F108" s="9">
        <f>9</f>
      </c>
      <c r="G108" s="10">
        <f>"－"</f>
      </c>
      <c r="H108" s="10">
        <f>2.8</f>
      </c>
      <c r="I108" s="11">
        <f>-20.21</f>
      </c>
      <c r="J108" s="11">
        <f>349.25</f>
      </c>
      <c r="K108" s="10">
        <f>82.4</f>
      </c>
      <c r="L108" s="10">
        <f>3.3</f>
      </c>
      <c r="M108" s="21">
        <f>1299000000</f>
      </c>
      <c r="N108" s="21">
        <f>32328000000</f>
      </c>
    </row>
    <row r="109">
      <c r="A109" s="22" t="s">
        <v>53</v>
      </c>
      <c r="B109" s="22" t="s">
        <v>132</v>
      </c>
      <c r="C109" s="22" t="s">
        <v>133</v>
      </c>
      <c r="D109" s="22" t="s">
        <v>116</v>
      </c>
      <c r="E109" s="22" t="s">
        <v>117</v>
      </c>
      <c r="F109" s="9">
        <f>33</f>
      </c>
      <c r="G109" s="10">
        <f>27.5</f>
      </c>
      <c r="H109" s="10">
        <f>2.8</f>
      </c>
      <c r="I109" s="11">
        <f>41.13</f>
      </c>
      <c r="J109" s="11">
        <f>398.37</f>
      </c>
      <c r="K109" s="10">
        <f>32.2</f>
      </c>
      <c r="L109" s="10">
        <f>3</f>
      </c>
      <c r="M109" s="21">
        <f>18135007000</f>
      </c>
      <c r="N109" s="21">
        <f>194902649534</f>
      </c>
    </row>
    <row r="110">
      <c r="A110" s="22" t="s">
        <v>53</v>
      </c>
      <c r="B110" s="22" t="s">
        <v>132</v>
      </c>
      <c r="C110" s="22" t="s">
        <v>133</v>
      </c>
      <c r="D110" s="22" t="s">
        <v>118</v>
      </c>
      <c r="E110" s="22" t="s">
        <v>119</v>
      </c>
      <c r="F110" s="9">
        <f>"－"</f>
      </c>
      <c r="G110" s="10">
        <f>"－"</f>
      </c>
      <c r="H110" s="10">
        <f>"－"</f>
      </c>
      <c r="I110" s="11">
        <f>"－"</f>
      </c>
      <c r="J110" s="11">
        <f>"－"</f>
      </c>
      <c r="K110" s="10">
        <f>"－"</f>
      </c>
      <c r="L110" s="10">
        <f>"－"</f>
      </c>
      <c r="M110" s="21">
        <f>"－"</f>
      </c>
      <c r="N110" s="21">
        <f>"－"</f>
      </c>
    </row>
    <row r="111">
      <c r="A111" s="22" t="s">
        <v>53</v>
      </c>
      <c r="B111" s="22" t="s">
        <v>132</v>
      </c>
      <c r="C111" s="22" t="s">
        <v>133</v>
      </c>
      <c r="D111" s="22" t="s">
        <v>120</v>
      </c>
      <c r="E111" s="22" t="s">
        <v>121</v>
      </c>
      <c r="F111" s="9">
        <f>3</f>
      </c>
      <c r="G111" s="10">
        <f>11.8</f>
      </c>
      <c r="H111" s="10">
        <f>1.9</f>
      </c>
      <c r="I111" s="11">
        <f>221.54</f>
      </c>
      <c r="J111" s="11">
        <f>1350.19</f>
      </c>
      <c r="K111" s="10">
        <f>19.8</f>
      </c>
      <c r="L111" s="10">
        <f>3.1</f>
      </c>
      <c r="M111" s="21">
        <f>11396000000</f>
      </c>
      <c r="N111" s="21">
        <f>73136000000</f>
      </c>
    </row>
    <row r="112">
      <c r="A112" s="22" t="s">
        <v>53</v>
      </c>
      <c r="B112" s="22" t="s">
        <v>132</v>
      </c>
      <c r="C112" s="22" t="s">
        <v>133</v>
      </c>
      <c r="D112" s="22" t="s">
        <v>122</v>
      </c>
      <c r="E112" s="22" t="s">
        <v>123</v>
      </c>
      <c r="F112" s="9">
        <f>4</f>
      </c>
      <c r="G112" s="10">
        <f>20.5</f>
      </c>
      <c r="H112" s="10">
        <f>1.3</f>
      </c>
      <c r="I112" s="11">
        <f>61.95</f>
      </c>
      <c r="J112" s="11">
        <f>961.23</f>
      </c>
      <c r="K112" s="10">
        <f>24.9</f>
      </c>
      <c r="L112" s="10">
        <f>1.4</f>
      </c>
      <c r="M112" s="21">
        <f>7982000000</f>
      </c>
      <c r="N112" s="21">
        <f>138466000000</f>
      </c>
    </row>
    <row r="113">
      <c r="A113" s="22" t="s">
        <v>53</v>
      </c>
      <c r="B113" s="22" t="s">
        <v>132</v>
      </c>
      <c r="C113" s="22" t="s">
        <v>133</v>
      </c>
      <c r="D113" s="22" t="s">
        <v>124</v>
      </c>
      <c r="E113" s="22" t="s">
        <v>125</v>
      </c>
      <c r="F113" s="9">
        <f>5</f>
      </c>
      <c r="G113" s="10">
        <f>18.2</f>
      </c>
      <c r="H113" s="10">
        <f>3.3</f>
      </c>
      <c r="I113" s="11">
        <f>70.05</f>
      </c>
      <c r="J113" s="11">
        <f>387.22</f>
      </c>
      <c r="K113" s="10">
        <f>35.1</f>
      </c>
      <c r="L113" s="10">
        <f>2.5</f>
      </c>
      <c r="M113" s="21">
        <f>800000000</f>
      </c>
      <c r="N113" s="21">
        <f>11213000000</f>
      </c>
    </row>
    <row r="114">
      <c r="A114" s="22" t="s">
        <v>53</v>
      </c>
      <c r="B114" s="22" t="s">
        <v>132</v>
      </c>
      <c r="C114" s="22" t="s">
        <v>133</v>
      </c>
      <c r="D114" s="22" t="s">
        <v>126</v>
      </c>
      <c r="E114" s="22" t="s">
        <v>127</v>
      </c>
      <c r="F114" s="9">
        <f>20</f>
      </c>
      <c r="G114" s="10">
        <f>14.8</f>
      </c>
      <c r="H114" s="10">
        <f>2</f>
      </c>
      <c r="I114" s="11">
        <f>109.1</f>
      </c>
      <c r="J114" s="11">
        <f>804.74</f>
      </c>
      <c r="K114" s="10">
        <f>14.6</f>
      </c>
      <c r="L114" s="10">
        <f>2</f>
      </c>
      <c r="M114" s="21">
        <f>17974000000</f>
      </c>
      <c r="N114" s="21">
        <f>133495993615</f>
      </c>
    </row>
    <row r="115">
      <c r="A115" s="22" t="s">
        <v>53</v>
      </c>
      <c r="B115" s="22" t="s">
        <v>132</v>
      </c>
      <c r="C115" s="22" t="s">
        <v>133</v>
      </c>
      <c r="D115" s="22" t="s">
        <v>128</v>
      </c>
      <c r="E115" s="22" t="s">
        <v>129</v>
      </c>
      <c r="F115" s="9">
        <f>183</f>
      </c>
      <c r="G115" s="10">
        <f>25.7</f>
      </c>
      <c r="H115" s="10">
        <f>2.5</f>
      </c>
      <c r="I115" s="11">
        <f>43.47</f>
      </c>
      <c r="J115" s="11">
        <f>442.99</f>
      </c>
      <c r="K115" s="10">
        <f>39.2</f>
      </c>
      <c r="L115" s="10">
        <f>3.2</f>
      </c>
      <c r="M115" s="21">
        <f>46149661571</f>
      </c>
      <c r="N115" s="21">
        <f>561254975000</f>
      </c>
    </row>
    <row r="116">
      <c r="A116" s="22" t="s">
        <v>53</v>
      </c>
      <c r="B116" s="22" t="s">
        <v>134</v>
      </c>
      <c r="C116" s="22" t="s">
        <v>134</v>
      </c>
      <c r="D116" s="22" t="s">
        <v>135</v>
      </c>
      <c r="E116" s="22" t="s">
        <v>136</v>
      </c>
      <c r="F116" s="9">
        <f>100</f>
      </c>
      <c r="G116" s="10">
        <f>24.3</f>
      </c>
      <c r="H116" s="10">
        <f>2.3</f>
      </c>
      <c r="I116" s="11">
        <f>278.02</f>
      </c>
      <c r="J116" s="11">
        <f>2970.68</f>
      </c>
      <c r="K116" s="10">
        <f>17</f>
      </c>
      <c r="L116" s="10">
        <f>1.5</f>
      </c>
      <c r="M116" s="21">
        <f>35100556100000</f>
      </c>
      <c r="N116" s="21">
        <f>399499048000000</f>
      </c>
    </row>
    <row r="117">
      <c r="A117" s="22" t="s">
        <v>53</v>
      </c>
      <c r="B117" s="22" t="s">
        <v>134</v>
      </c>
      <c r="C117" s="22" t="s">
        <v>134</v>
      </c>
      <c r="D117" s="22" t="s">
        <v>137</v>
      </c>
      <c r="E117" s="22" t="s">
        <v>138</v>
      </c>
      <c r="F117" s="9">
        <f>400</f>
      </c>
      <c r="G117" s="10">
        <f>17.8</f>
      </c>
      <c r="H117" s="10">
        <f>1.4</f>
      </c>
      <c r="I117" s="11">
        <f>191.76</f>
      </c>
      <c r="J117" s="11">
        <f>2489.05</f>
      </c>
      <c r="K117" s="10">
        <f>16.4</f>
      </c>
      <c r="L117" s="10">
        <f>1.2</f>
      </c>
      <c r="M117" s="21">
        <f>15760813292710</f>
      </c>
      <c r="N117" s="21">
        <f>214082335220994</f>
      </c>
    </row>
    <row r="118">
      <c r="A118" s="22" t="s">
        <v>53</v>
      </c>
      <c r="B118" s="22" t="s">
        <v>134</v>
      </c>
      <c r="C118" s="22" t="s">
        <v>134</v>
      </c>
      <c r="D118" s="22" t="s">
        <v>139</v>
      </c>
      <c r="E118" s="22" t="s">
        <v>140</v>
      </c>
      <c r="F118" s="9">
        <f>1625</f>
      </c>
      <c r="G118" s="10">
        <f>14.5</f>
      </c>
      <c r="H118" s="10">
        <f>0.9</f>
      </c>
      <c r="I118" s="11">
        <f>124.29</f>
      </c>
      <c r="J118" s="11">
        <f>1912.43</f>
      </c>
      <c r="K118" s="10">
        <f>15.4</f>
      </c>
      <c r="L118" s="10">
        <f>1</f>
      </c>
      <c r="M118" s="21">
        <f>6022108196260</f>
      </c>
      <c r="N118" s="21">
        <f>93030766178659</f>
      </c>
    </row>
  </sheetData>
  <mergeCells count="8">
    <mergeCell ref="F1:J1"/>
    <mergeCell ref="K1:N1"/>
    <mergeCell ref="F2:J2"/>
    <mergeCell ref="K2:N2"/>
    <mergeCell ref="B3:B4"/>
    <mergeCell ref="C3:C4"/>
    <mergeCell ref="D3:D4"/>
    <mergeCell ref="E3:E4"/>
  </mergeCells>
  <phoneticPr fontId="2"/>
  <pageMargins bottom="0.74803149606299213" footer="0.31496062992125984" header="0.31496062992125984" left="0.23622047244094491" right="0.23622047244094491" top="0.74803149606299213"/>
  <pageSetup orientation="portrait" paperSize="9" r:id="rId1" scale="33"/>
  <headerFooter>
    <oddFooter>&amp;C1-&amp;P&amp;RCopyright (c) Tokyo Stock Exchange, Inc. All Rights Reserved.</oddFooter>
  </headerFooter>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8"/>
  <sheetViews>
    <sheetView showGridLines="0" workbookViewId="0" zoomScaleNormal="100">
      <pane activePane="bottomLeft" state="frozen" topLeftCell="A6" ySplit="5"/>
      <selection activeCell="A6" pane="bottomLeft" sqref="A6"/>
    </sheetView>
  </sheetViews>
  <sheetFormatPr defaultRowHeight="13.5" x14ac:dyDescent="0.15"/>
  <cols>
    <col min="1" max="1" customWidth="true" style="5" width="12.875" collapsed="true"/>
    <col min="2" max="2" customWidth="true" style="5" width="16.625" collapsed="true"/>
    <col min="3" max="4" bestFit="true" customWidth="true" style="5" width="11.75" collapsed="true"/>
    <col min="5" max="5" bestFit="true" customWidth="true" style="5" width="18.75" collapsed="true"/>
    <col min="6" max="6" customWidth="true" style="5" width="18.75" collapsed="true"/>
    <col min="7" max="12" customWidth="true" style="5" width="26.0" collapsed="true"/>
    <col min="13" max="15" style="5" width="9.0" collapsed="true"/>
    <col min="16" max="16" customWidth="true" style="5" width="9.0" collapsed="true"/>
    <col min="17" max="17" style="5" width="9.0" collapsed="true"/>
    <col min="18" max="19" customWidth="true" style="5" width="9.0" collapsed="true"/>
    <col min="20" max="16384" style="5" width="9.0" collapsed="true"/>
  </cols>
  <sheetData>
    <row customHeight="1" ht="33.75" r="1" spans="1:26" x14ac:dyDescent="0.15">
      <c r="A1" s="12" t="s">
        <v>28</v>
      </c>
      <c r="B1" s="2"/>
      <c r="C1" s="2"/>
      <c r="D1" s="2"/>
      <c r="E1" s="2"/>
      <c r="F1" s="13"/>
      <c r="G1" s="25" t="s">
        <v>29</v>
      </c>
      <c r="H1" s="25"/>
      <c r="I1" s="25"/>
      <c r="J1" s="25" t="s">
        <v>30</v>
      </c>
      <c r="K1" s="25"/>
      <c r="L1" s="25"/>
      <c r="M1" s="3"/>
      <c r="N1" s="3"/>
      <c r="O1" s="3"/>
      <c r="P1" s="4"/>
      <c r="Q1" s="3"/>
      <c r="R1" s="3"/>
      <c r="S1" s="3"/>
      <c r="T1" s="3"/>
      <c r="U1" s="3"/>
      <c r="V1" s="3"/>
      <c r="W1" s="3"/>
      <c r="X1" s="3"/>
      <c r="Y1" s="3"/>
      <c r="Z1" s="3"/>
    </row>
    <row customHeight="1" ht="13.5" r="2" spans="1:26" x14ac:dyDescent="0.15">
      <c r="A2" s="14" t="s">
        <v>31</v>
      </c>
      <c r="B2" s="2"/>
      <c r="C2" s="2"/>
      <c r="D2" s="2"/>
      <c r="E2" s="2"/>
      <c r="F2" s="15"/>
      <c r="G2" s="33" t="s">
        <v>51</v>
      </c>
      <c r="H2" s="33"/>
      <c r="I2" s="33"/>
      <c r="J2" s="26" t="s">
        <v>32</v>
      </c>
      <c r="K2" s="26"/>
      <c r="L2" s="26"/>
      <c r="M2" s="3"/>
      <c r="N2" s="3"/>
      <c r="O2" s="3"/>
      <c r="P2" s="4"/>
      <c r="Q2" s="3"/>
      <c r="R2" s="3"/>
      <c r="S2" s="3"/>
      <c r="T2" s="3"/>
      <c r="U2" s="3"/>
      <c r="V2" s="3"/>
      <c r="W2" s="3"/>
      <c r="X2" s="3"/>
      <c r="Y2" s="3"/>
      <c r="Z2" s="3"/>
    </row>
    <row customHeight="1" ht="13.5" r="3" spans="1:26" x14ac:dyDescent="0.15">
      <c r="A3" s="16"/>
      <c r="B3" s="2"/>
      <c r="C3" s="2"/>
      <c r="D3" s="2"/>
      <c r="E3" s="2"/>
      <c r="F3" s="17"/>
      <c r="G3" s="17"/>
      <c r="H3" s="17"/>
      <c r="I3" s="17"/>
      <c r="J3" s="27" t="s">
        <v>52</v>
      </c>
      <c r="K3" s="27"/>
      <c r="L3" s="27"/>
      <c r="M3" s="3"/>
      <c r="N3" s="3"/>
      <c r="O3" s="3"/>
      <c r="P3" s="4"/>
      <c r="Q3" s="3"/>
      <c r="R3" s="3"/>
      <c r="S3" s="3"/>
      <c r="T3" s="3"/>
      <c r="U3" s="3"/>
      <c r="V3" s="3"/>
      <c r="W3" s="3"/>
      <c r="X3" s="3"/>
      <c r="Y3" s="3"/>
      <c r="Z3" s="3"/>
    </row>
    <row customFormat="1" ht="24" r="4" s="20" spans="1:26" x14ac:dyDescent="0.15">
      <c r="A4" s="7" t="s">
        <v>4</v>
      </c>
      <c r="B4" s="29" t="s">
        <v>5</v>
      </c>
      <c r="C4" s="31" t="s">
        <v>33</v>
      </c>
      <c r="D4" s="7" t="s">
        <v>34</v>
      </c>
      <c r="E4" s="7" t="s">
        <v>35</v>
      </c>
      <c r="F4" s="7" t="s">
        <v>36</v>
      </c>
      <c r="G4" s="8" t="s">
        <v>37</v>
      </c>
      <c r="H4" s="8" t="s">
        <v>38</v>
      </c>
      <c r="I4" s="7" t="s">
        <v>39</v>
      </c>
      <c r="J4" s="7" t="s">
        <v>40</v>
      </c>
      <c r="K4" s="7" t="s">
        <v>41</v>
      </c>
      <c r="L4" s="7" t="s">
        <v>42</v>
      </c>
      <c r="M4" s="18"/>
      <c r="N4" s="18"/>
      <c r="O4" s="18"/>
      <c r="P4" s="19"/>
      <c r="Q4" s="19"/>
      <c r="R4" s="19"/>
      <c r="S4" s="19"/>
      <c r="T4" s="19"/>
      <c r="U4" s="19"/>
      <c r="V4" s="19"/>
      <c r="W4" s="19"/>
      <c r="X4" s="19"/>
      <c r="Y4" s="19"/>
      <c r="Z4" s="19"/>
    </row>
    <row customFormat="1" ht="24" r="5" s="20" spans="1:26" x14ac:dyDescent="0.15">
      <c r="A5" s="7" t="s">
        <v>18</v>
      </c>
      <c r="B5" s="30"/>
      <c r="C5" s="32"/>
      <c r="D5" s="7" t="s">
        <v>19</v>
      </c>
      <c r="E5" s="7" t="s">
        <v>20</v>
      </c>
      <c r="F5" s="7" t="s">
        <v>21</v>
      </c>
      <c r="G5" s="8" t="s">
        <v>43</v>
      </c>
      <c r="H5" s="8" t="s">
        <v>44</v>
      </c>
      <c r="I5" s="8" t="s">
        <v>45</v>
      </c>
      <c r="J5" s="8" t="s">
        <v>46</v>
      </c>
      <c r="K5" s="8" t="s">
        <v>47</v>
      </c>
      <c r="L5" s="8" t="s">
        <v>48</v>
      </c>
      <c r="M5" s="18"/>
      <c r="N5" s="18"/>
      <c r="O5" s="18"/>
      <c r="P5" s="19"/>
      <c r="Q5" s="19"/>
      <c r="R5" s="19"/>
      <c r="S5" s="19"/>
      <c r="T5" s="19"/>
      <c r="U5" s="19"/>
      <c r="V5" s="19"/>
      <c r="W5" s="19"/>
      <c r="X5" s="19"/>
      <c r="Y5" s="19"/>
      <c r="Z5" s="19"/>
    </row>
    <row r="6" spans="1:26" x14ac:dyDescent="0.15">
      <c r="A6" s="22" t="s">
        <v>53</v>
      </c>
      <c r="B6" s="22" t="s">
        <v>54</v>
      </c>
      <c r="C6" s="22" t="s">
        <v>55</v>
      </c>
      <c r="D6" s="9">
        <f>1350</f>
      </c>
      <c r="E6" s="23">
        <f>20.6</f>
      </c>
      <c r="F6" s="23">
        <f>1.7</f>
      </c>
      <c r="G6" s="11">
        <f>131.43</f>
      </c>
      <c r="H6" s="11">
        <f>1591.03</f>
      </c>
      <c r="I6" s="23">
        <f>21.6</f>
      </c>
      <c r="J6" s="23">
        <f>2.5</f>
      </c>
      <c r="K6" s="24">
        <f>33561364872174</f>
      </c>
      <c r="L6" s="24">
        <f>290645856950204</f>
      </c>
    </row>
    <row r="7">
      <c r="A7" s="22" t="s">
        <v>53</v>
      </c>
      <c r="B7" s="22" t="s">
        <v>130</v>
      </c>
      <c r="C7" s="22" t="s">
        <v>131</v>
      </c>
      <c r="D7" s="9">
        <f>1348</f>
      </c>
      <c r="E7" s="23">
        <f>14.4</f>
      </c>
      <c r="F7" s="23">
        <f>0.9</f>
      </c>
      <c r="G7" s="11">
        <f>96.39</f>
      </c>
      <c r="H7" s="11">
        <f>1520.98</f>
      </c>
      <c r="I7" s="23">
        <f>19.7</f>
      </c>
      <c r="J7" s="23">
        <f>1.3</f>
      </c>
      <c r="K7" s="24">
        <f>1149025480510</f>
      </c>
      <c r="L7" s="24">
        <f>18046767693265</f>
      </c>
    </row>
    <row r="8">
      <c r="A8" s="22" t="s">
        <v>53</v>
      </c>
      <c r="B8" s="22" t="s">
        <v>132</v>
      </c>
      <c r="C8" s="22" t="s">
        <v>133</v>
      </c>
      <c r="D8" s="9">
        <f>505</f>
      </c>
      <c r="E8" s="23">
        <f>48.5</f>
      </c>
      <c r="F8" s="23">
        <f>3.2</f>
      </c>
      <c r="G8" s="11">
        <f>22.3</f>
      </c>
      <c r="H8" s="11">
        <f>342.99</f>
      </c>
      <c r="I8" s="23">
        <f>612.7</f>
      </c>
      <c r="J8" s="23">
        <f>3.6</f>
      </c>
      <c r="K8" s="24">
        <f>8811678000</f>
      </c>
      <c r="L8" s="24">
        <f>1493343932875</f>
      </c>
    </row>
  </sheetData>
  <mergeCells count="7">
    <mergeCell ref="B4:B5"/>
    <mergeCell ref="C4:C5"/>
    <mergeCell ref="G1:I1"/>
    <mergeCell ref="J1:L1"/>
    <mergeCell ref="G2:I2"/>
    <mergeCell ref="J2:L2"/>
    <mergeCell ref="J3:L3"/>
  </mergeCells>
  <phoneticPr fontId="2"/>
  <pageMargins bottom="0.74803149606299213" footer="0.31496062992125984" header="0.31496062992125984" left="0.70866141732283472" right="0.70866141732283472" top="0.74803149606299213"/>
  <pageSetup orientation="portrait" paperSize="9" r:id="rId1" scale="37"/>
  <headerFooter>
    <oddFooter>&amp;C2-&amp;P&amp;RCopyright (c) Tokyo Stock Exchange, Inc.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ワークシート</vt:lpstr>
      </vt:variant>
      <vt:variant>
        <vt:i4>2</vt:i4>
      </vt:variant>
      <vt:variant>
        <vt:lpstr>名前付き一覧</vt:lpstr>
      </vt:variant>
      <vt:variant>
        <vt:i4>2</vt:i4>
      </vt:variant>
    </vt:vector>
  </HeadingPairs>
  <TitlesOfParts>
    <vt:vector baseType="lpstr" size="4">
      <vt:lpstr>規模別・業種別（連結）</vt:lpstr>
      <vt:lpstr>市場別（単体）</vt:lpstr>
      <vt:lpstr>'規模別・業種別（連結）'!Print_Titles</vt:lpstr>
      <vt:lpstr>'市場別（単体）'!Print_Titles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2019-02-08T03:54:25Z</dcterms:created>
  <dcterms:modified xsi:type="dcterms:W3CDTF">2021-07-01T04:57:11Z</dcterms:modified>
</cp:coreProperties>
</file>