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sa Sarr Ndiaye\Desktop\Materarbeit\dual patch\"/>
    </mc:Choice>
  </mc:AlternateContent>
  <xr:revisionPtr revIDLastSave="0" documentId="13_ncr:1_{A5637AFD-2587-42FD-97D4-18B0709BB81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Auswertung_" sheetId="2" r:id="rId2"/>
    <sheet name="Sheet4" sheetId="5" r:id="rId3"/>
    <sheet name="plot" sheetId="4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2" l="1"/>
  <c r="N8" i="2"/>
  <c r="N9" i="2"/>
  <c r="N6" i="2"/>
  <c r="L5" i="2"/>
  <c r="L6" i="2"/>
  <c r="L7" i="2"/>
  <c r="L8" i="2"/>
  <c r="L9" i="2"/>
  <c r="L10" i="2"/>
  <c r="L4" i="2"/>
  <c r="E2" i="2"/>
  <c r="E11" i="3"/>
  <c r="E10" i="3"/>
  <c r="E9" i="3"/>
  <c r="E8" i="3"/>
  <c r="E7" i="3"/>
  <c r="E6" i="3"/>
  <c r="E5" i="3"/>
  <c r="E4" i="3"/>
  <c r="E3" i="3"/>
  <c r="D2" i="3"/>
  <c r="E2" i="3" s="1"/>
  <c r="C2" i="3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5" i="2"/>
  <c r="F35" i="2" s="1"/>
  <c r="C35" i="2"/>
  <c r="D34" i="2"/>
  <c r="F34" i="2" s="1"/>
  <c r="C34" i="2"/>
  <c r="D33" i="2"/>
  <c r="F33" i="2" s="1"/>
  <c r="C33" i="2"/>
  <c r="D32" i="2"/>
  <c r="F32" i="2" s="1"/>
  <c r="C32" i="2"/>
  <c r="D31" i="2"/>
  <c r="F31" i="2" s="1"/>
  <c r="C31" i="2"/>
  <c r="D30" i="2"/>
  <c r="F30" i="2" s="1"/>
  <c r="C30" i="2"/>
  <c r="D29" i="2"/>
  <c r="F29" i="2" s="1"/>
  <c r="C29" i="2"/>
  <c r="D28" i="2"/>
  <c r="F28" i="2" s="1"/>
  <c r="C28" i="2"/>
  <c r="D24" i="2"/>
  <c r="C24" i="2"/>
  <c r="D23" i="2"/>
  <c r="F23" i="2" s="1"/>
  <c r="C23" i="2"/>
  <c r="D22" i="2"/>
  <c r="F22" i="2" s="1"/>
  <c r="C22" i="2"/>
  <c r="D21" i="2"/>
  <c r="F21" i="2" s="1"/>
  <c r="C21" i="2"/>
  <c r="D20" i="2"/>
  <c r="F20" i="2" s="1"/>
  <c r="C20" i="2"/>
  <c r="D19" i="2"/>
  <c r="F19" i="2" s="1"/>
  <c r="C19" i="2"/>
  <c r="D18" i="2"/>
  <c r="F18" i="2" s="1"/>
  <c r="C18" i="2"/>
  <c r="D17" i="2"/>
  <c r="F17" i="2" s="1"/>
  <c r="C17" i="2"/>
  <c r="D16" i="2"/>
  <c r="F16" i="2" s="1"/>
  <c r="C16" i="2"/>
  <c r="D15" i="2"/>
  <c r="F15" i="2" s="1"/>
  <c r="C15" i="2"/>
  <c r="D14" i="2"/>
  <c r="F14" i="2" s="1"/>
  <c r="C14" i="2"/>
  <c r="D10" i="2"/>
  <c r="F10" i="2" s="1"/>
  <c r="C10" i="2"/>
  <c r="D9" i="2"/>
  <c r="F9" i="2" s="1"/>
  <c r="C9" i="2"/>
  <c r="D8" i="2"/>
  <c r="F8" i="2" s="1"/>
  <c r="C8" i="2"/>
  <c r="D7" i="2"/>
  <c r="F7" i="2" s="1"/>
  <c r="C7" i="2"/>
  <c r="D6" i="2"/>
  <c r="F6" i="2" s="1"/>
  <c r="C6" i="2"/>
  <c r="D5" i="2"/>
  <c r="F5" i="2" s="1"/>
  <c r="C5" i="2"/>
  <c r="D4" i="2"/>
  <c r="F4" i="2" s="1"/>
  <c r="C4" i="2"/>
  <c r="D3" i="2"/>
  <c r="P3" i="2" s="1"/>
  <c r="C3" i="2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F142" i="1"/>
  <c r="E142" i="1"/>
  <c r="F141" i="1"/>
  <c r="E141" i="1"/>
  <c r="E140" i="1"/>
  <c r="C130" i="1"/>
  <c r="C129" i="1"/>
  <c r="D129" i="1" s="1"/>
  <c r="D128" i="1"/>
  <c r="E126" i="1"/>
  <c r="F125" i="1"/>
  <c r="E125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6" i="1"/>
  <c r="F116" i="1"/>
  <c r="E116" i="1"/>
  <c r="G115" i="1"/>
  <c r="F115" i="1"/>
  <c r="E115" i="1"/>
  <c r="G114" i="1"/>
  <c r="F114" i="1"/>
  <c r="E114" i="1"/>
  <c r="F113" i="1"/>
  <c r="E113" i="1"/>
  <c r="E110" i="1"/>
  <c r="C104" i="1"/>
  <c r="D103" i="1"/>
  <c r="C103" i="1"/>
  <c r="D102" i="1"/>
  <c r="E97" i="1"/>
  <c r="E96" i="1"/>
  <c r="E95" i="1"/>
  <c r="F94" i="1"/>
  <c r="E94" i="1"/>
  <c r="F93" i="1"/>
  <c r="E93" i="1"/>
  <c r="G92" i="1"/>
  <c r="F92" i="1"/>
  <c r="E92" i="1"/>
  <c r="G90" i="1"/>
  <c r="F90" i="1"/>
  <c r="E90" i="1"/>
  <c r="G89" i="1"/>
  <c r="F89" i="1"/>
  <c r="E89" i="1"/>
  <c r="E88" i="1"/>
  <c r="G87" i="1"/>
  <c r="F87" i="1"/>
  <c r="E87" i="1"/>
  <c r="G84" i="1"/>
  <c r="F84" i="1"/>
  <c r="E84" i="1"/>
  <c r="E82" i="1"/>
  <c r="C77" i="1"/>
  <c r="D76" i="1"/>
  <c r="C76" i="1"/>
  <c r="G65" i="1"/>
  <c r="F65" i="1"/>
  <c r="E65" i="1"/>
  <c r="G60" i="1"/>
  <c r="F60" i="1"/>
  <c r="E60" i="1"/>
  <c r="G59" i="1"/>
  <c r="F59" i="1"/>
  <c r="E59" i="1"/>
  <c r="G57" i="1"/>
  <c r="F57" i="1"/>
  <c r="E57" i="1"/>
  <c r="E54" i="1"/>
  <c r="G53" i="1"/>
  <c r="F53" i="1"/>
  <c r="E53" i="1"/>
  <c r="G52" i="1"/>
  <c r="F52" i="1"/>
  <c r="E52" i="1"/>
  <c r="C52" i="1"/>
  <c r="C53" i="1" s="1"/>
  <c r="D53" i="1" s="1"/>
  <c r="G51" i="1"/>
  <c r="F51" i="1"/>
  <c r="E51" i="1"/>
  <c r="D51" i="1"/>
  <c r="G40" i="1"/>
  <c r="F40" i="1"/>
  <c r="E40" i="1"/>
  <c r="F35" i="1"/>
  <c r="E35" i="1"/>
  <c r="F34" i="1"/>
  <c r="E34" i="1"/>
  <c r="F33" i="1"/>
  <c r="E33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C26" i="1"/>
  <c r="E25" i="1"/>
  <c r="D25" i="1"/>
  <c r="D23" i="1"/>
  <c r="D22" i="1"/>
  <c r="D21" i="1"/>
  <c r="D20" i="1"/>
  <c r="F19" i="1"/>
  <c r="E19" i="1"/>
  <c r="D19" i="1"/>
  <c r="G18" i="1"/>
  <c r="F18" i="1"/>
  <c r="E18" i="1"/>
  <c r="D18" i="1"/>
  <c r="G17" i="1"/>
  <c r="F17" i="1"/>
  <c r="E17" i="1"/>
  <c r="D17" i="1"/>
  <c r="D16" i="1"/>
  <c r="G13" i="1"/>
  <c r="F13" i="1"/>
  <c r="E13" i="1"/>
  <c r="G12" i="1"/>
  <c r="F12" i="1"/>
  <c r="E12" i="1"/>
  <c r="F11" i="1"/>
  <c r="E11" i="1"/>
  <c r="F10" i="1"/>
  <c r="E10" i="1"/>
  <c r="E8" i="1"/>
  <c r="C8" i="1"/>
  <c r="C9" i="1" s="1"/>
  <c r="D9" i="1" s="1"/>
  <c r="C6" i="1"/>
  <c r="C7" i="1" s="1"/>
  <c r="D7" i="1" s="1"/>
  <c r="D5" i="1"/>
  <c r="D4" i="1"/>
  <c r="J3" i="2" l="1"/>
  <c r="J7" i="2"/>
  <c r="J10" i="2"/>
  <c r="J6" i="2"/>
  <c r="J9" i="2"/>
  <c r="J5" i="2"/>
  <c r="G10" i="2"/>
  <c r="J8" i="2"/>
  <c r="J4" i="2"/>
  <c r="G3" i="2"/>
  <c r="G6" i="2"/>
  <c r="G7" i="2"/>
  <c r="G9" i="2"/>
  <c r="G5" i="2"/>
  <c r="O3" i="2"/>
  <c r="G8" i="2"/>
  <c r="G4" i="2"/>
  <c r="F3" i="2"/>
  <c r="C54" i="1"/>
  <c r="C131" i="1"/>
  <c r="D130" i="1"/>
  <c r="C78" i="1"/>
  <c r="D77" i="1"/>
  <c r="C10" i="1"/>
  <c r="D8" i="1"/>
  <c r="C27" i="1"/>
  <c r="D26" i="1"/>
  <c r="C105" i="1"/>
  <c r="D104" i="1"/>
  <c r="D6" i="1"/>
  <c r="D52" i="1"/>
  <c r="D105" i="1" l="1"/>
  <c r="C106" i="1"/>
  <c r="D131" i="1"/>
  <c r="C132" i="1"/>
  <c r="C28" i="1"/>
  <c r="D27" i="1"/>
  <c r="D78" i="1"/>
  <c r="C79" i="1"/>
  <c r="D10" i="1"/>
  <c r="C11" i="1"/>
  <c r="C55" i="1"/>
  <c r="D54" i="1"/>
  <c r="C80" i="1" l="1"/>
  <c r="D79" i="1"/>
  <c r="D55" i="1"/>
  <c r="C56" i="1"/>
  <c r="D106" i="1"/>
  <c r="C107" i="1"/>
  <c r="C133" i="1"/>
  <c r="D132" i="1"/>
  <c r="D11" i="1"/>
  <c r="C12" i="1"/>
  <c r="C29" i="1"/>
  <c r="D28" i="1"/>
  <c r="C57" i="1" l="1"/>
  <c r="D56" i="1"/>
  <c r="D133" i="1"/>
  <c r="C134" i="1"/>
  <c r="C30" i="1"/>
  <c r="D29" i="1"/>
  <c r="C13" i="1"/>
  <c r="D12" i="1"/>
  <c r="D107" i="1"/>
  <c r="C108" i="1"/>
  <c r="D80" i="1"/>
  <c r="C81" i="1"/>
  <c r="C82" i="1" l="1"/>
  <c r="D81" i="1"/>
  <c r="D134" i="1"/>
  <c r="C135" i="1"/>
  <c r="C14" i="1"/>
  <c r="D13" i="1"/>
  <c r="C109" i="1"/>
  <c r="D108" i="1"/>
  <c r="C31" i="1"/>
  <c r="D30" i="1"/>
  <c r="C58" i="1"/>
  <c r="D57" i="1"/>
  <c r="C59" i="1" l="1"/>
  <c r="D58" i="1"/>
  <c r="D135" i="1"/>
  <c r="C136" i="1"/>
  <c r="D109" i="1"/>
  <c r="C110" i="1"/>
  <c r="C32" i="1"/>
  <c r="D31" i="1"/>
  <c r="C15" i="1"/>
  <c r="D15" i="1" s="1"/>
  <c r="D14" i="1"/>
  <c r="C83" i="1"/>
  <c r="D82" i="1"/>
  <c r="D83" i="1" l="1"/>
  <c r="C84" i="1"/>
  <c r="C137" i="1"/>
  <c r="D136" i="1"/>
  <c r="C33" i="1"/>
  <c r="D32" i="1"/>
  <c r="C111" i="1"/>
  <c r="D110" i="1"/>
  <c r="C60" i="1"/>
  <c r="D59" i="1"/>
  <c r="C112" i="1" l="1"/>
  <c r="D111" i="1"/>
  <c r="C85" i="1"/>
  <c r="D84" i="1"/>
  <c r="D137" i="1"/>
  <c r="C138" i="1"/>
  <c r="C61" i="1"/>
  <c r="D60" i="1"/>
  <c r="C34" i="1"/>
  <c r="D33" i="1"/>
  <c r="D138" i="1" l="1"/>
  <c r="C139" i="1"/>
  <c r="C62" i="1"/>
  <c r="D61" i="1"/>
  <c r="C86" i="1"/>
  <c r="D85" i="1"/>
  <c r="C35" i="1"/>
  <c r="D34" i="1"/>
  <c r="C113" i="1"/>
  <c r="D112" i="1"/>
  <c r="D139" i="1" l="1"/>
  <c r="C140" i="1"/>
  <c r="C36" i="1"/>
  <c r="D35" i="1"/>
  <c r="D62" i="1"/>
  <c r="C63" i="1"/>
  <c r="C114" i="1"/>
  <c r="D113" i="1"/>
  <c r="D86" i="1"/>
  <c r="C87" i="1"/>
  <c r="C141" i="1" l="1"/>
  <c r="D140" i="1"/>
  <c r="C115" i="1"/>
  <c r="D114" i="1"/>
  <c r="C37" i="1"/>
  <c r="D36" i="1"/>
  <c r="C88" i="1"/>
  <c r="D87" i="1"/>
  <c r="C64" i="1"/>
  <c r="D63" i="1"/>
  <c r="D88" i="1" l="1"/>
  <c r="C89" i="1"/>
  <c r="D115" i="1"/>
  <c r="C116" i="1"/>
  <c r="D64" i="1"/>
  <c r="C65" i="1"/>
  <c r="C38" i="1"/>
  <c r="D37" i="1"/>
  <c r="C142" i="1"/>
  <c r="D141" i="1"/>
  <c r="C117" i="1" l="1"/>
  <c r="D116" i="1"/>
  <c r="C90" i="1"/>
  <c r="D89" i="1"/>
  <c r="C39" i="1"/>
  <c r="D38" i="1"/>
  <c r="C66" i="1"/>
  <c r="D65" i="1"/>
  <c r="C143" i="1"/>
  <c r="D142" i="1"/>
  <c r="C67" i="1" l="1"/>
  <c r="D66" i="1"/>
  <c r="C91" i="1"/>
  <c r="D90" i="1"/>
  <c r="C144" i="1"/>
  <c r="D143" i="1"/>
  <c r="C40" i="1"/>
  <c r="D39" i="1"/>
  <c r="D117" i="1"/>
  <c r="C118" i="1"/>
  <c r="C41" i="1" l="1"/>
  <c r="D40" i="1"/>
  <c r="C92" i="1"/>
  <c r="D91" i="1"/>
  <c r="C119" i="1"/>
  <c r="D118" i="1"/>
  <c r="C145" i="1"/>
  <c r="D144" i="1"/>
  <c r="C68" i="1"/>
  <c r="D67" i="1"/>
  <c r="C146" i="1" l="1"/>
  <c r="D145" i="1"/>
  <c r="C93" i="1"/>
  <c r="D92" i="1"/>
  <c r="C69" i="1"/>
  <c r="D68" i="1"/>
  <c r="C120" i="1"/>
  <c r="D119" i="1"/>
  <c r="C42" i="1"/>
  <c r="D41" i="1"/>
  <c r="C121" i="1" l="1"/>
  <c r="D120" i="1"/>
  <c r="D93" i="1"/>
  <c r="C94" i="1"/>
  <c r="D42" i="1"/>
  <c r="C43" i="1"/>
  <c r="C70" i="1"/>
  <c r="D69" i="1"/>
  <c r="C147" i="1"/>
  <c r="D146" i="1"/>
  <c r="C71" i="1" l="1"/>
  <c r="D70" i="1"/>
  <c r="D94" i="1"/>
  <c r="C95" i="1"/>
  <c r="C44" i="1"/>
  <c r="D43" i="1"/>
  <c r="D147" i="1"/>
  <c r="C148" i="1"/>
  <c r="C122" i="1"/>
  <c r="D121" i="1"/>
  <c r="C149" i="1" l="1"/>
  <c r="D148" i="1"/>
  <c r="D95" i="1"/>
  <c r="C96" i="1"/>
  <c r="D122" i="1"/>
  <c r="C123" i="1"/>
  <c r="D44" i="1"/>
  <c r="C45" i="1"/>
  <c r="C72" i="1"/>
  <c r="D71" i="1"/>
  <c r="C46" i="1" l="1"/>
  <c r="D45" i="1"/>
  <c r="C124" i="1"/>
  <c r="D123" i="1"/>
  <c r="D96" i="1"/>
  <c r="C97" i="1"/>
  <c r="C73" i="1"/>
  <c r="D72" i="1"/>
  <c r="C150" i="1"/>
  <c r="D149" i="1"/>
  <c r="D124" i="1" l="1"/>
  <c r="C125" i="1"/>
  <c r="C74" i="1"/>
  <c r="D74" i="1" s="1"/>
  <c r="D73" i="1"/>
  <c r="C98" i="1"/>
  <c r="D97" i="1"/>
  <c r="C151" i="1"/>
  <c r="D150" i="1"/>
  <c r="D46" i="1"/>
  <c r="C47" i="1"/>
  <c r="D125" i="1" l="1"/>
  <c r="C126" i="1"/>
  <c r="D126" i="1" s="1"/>
  <c r="C152" i="1"/>
  <c r="D152" i="1" s="1"/>
  <c r="D151" i="1"/>
  <c r="C48" i="1"/>
  <c r="D47" i="1"/>
  <c r="D98" i="1"/>
  <c r="C99" i="1"/>
  <c r="C100" i="1" l="1"/>
  <c r="D100" i="1" s="1"/>
  <c r="D99" i="1"/>
  <c r="D48" i="1"/>
  <c r="C49" i="1"/>
  <c r="D49" i="1" s="1"/>
</calcChain>
</file>

<file path=xl/sharedStrings.xml><?xml version="1.0" encoding="utf-8"?>
<sst xmlns="http://schemas.openxmlformats.org/spreadsheetml/2006/main" count="106" uniqueCount="21">
  <si>
    <t xml:space="preserve">4dB </t>
  </si>
  <si>
    <t xml:space="preserve">6dB </t>
  </si>
  <si>
    <t xml:space="preserve">10dB </t>
  </si>
  <si>
    <t>Patch_1</t>
  </si>
  <si>
    <t>Patch 2</t>
  </si>
  <si>
    <t xml:space="preserve">delta BW </t>
  </si>
  <si>
    <t>BW_-4dB</t>
  </si>
  <si>
    <t xml:space="preserve">BW_-6dB </t>
  </si>
  <si>
    <t xml:space="preserve">BW_-10dB </t>
  </si>
  <si>
    <t>relative value</t>
  </si>
  <si>
    <t>Main value</t>
  </si>
  <si>
    <t>Delta width relativ</t>
  </si>
  <si>
    <t>BW -6dB</t>
  </si>
  <si>
    <t>BW -4dB</t>
  </si>
  <si>
    <t>BW -10dB</t>
  </si>
  <si>
    <t>relative</t>
  </si>
  <si>
    <t>BW</t>
  </si>
  <si>
    <t xml:space="preserve">rel. BW </t>
  </si>
  <si>
    <t>soll</t>
  </si>
  <si>
    <t>ist</t>
  </si>
  <si>
    <t>rel.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</si>
</sst>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0" fillId="2" borderId="4" xfId="0" applyFill="1" applyBorder="1"/>
    <xf numFmtId="0" fontId="0" fillId="2" borderId="0" xfId="0" applyFill="1"/>
    <xf numFmtId="0" fontId="0" fillId="2" borderId="17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2" xfId="0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S11 (-4dB)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Sheet1!$M$3:$M$3</c:f>
              <c:strCache>
                <c:ptCount val="1"/>
                <c:pt idx="0">
                  <c:v>BW_-4dB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0">
                  <c:v>31.620000000000005</c:v>
                </c:pt>
                <c:pt idx="1">
                  <c:v>27.009999999999991</c:v>
                </c:pt>
                <c:pt idx="2">
                  <c:v>24.639999999999986</c:v>
                </c:pt>
                <c:pt idx="3">
                  <c:v>22.53000000000003</c:v>
                </c:pt>
                <c:pt idx="4">
                  <c:v>20.610000000000014</c:v>
                </c:pt>
                <c:pt idx="5">
                  <c:v>19.460000000000036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6-4685-9B7B-B713F1374CBD}"/>
            </c:ext>
          </c:extLst>
        </c:ser>
        <c:ser>
          <c:idx val="1"/>
          <c:order val="1"/>
          <c:tx>
            <c:strRef>
              <c:f>Sheet1!$N$3:$N$3</c:f>
              <c:strCache>
                <c:ptCount val="1"/>
                <c:pt idx="0">
                  <c:v>BW_-6dB 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1">
                  <c:v>22.840000000000032</c:v>
                </c:pt>
                <c:pt idx="2">
                  <c:v>20.370000000000005</c:v>
                </c:pt>
                <c:pt idx="3">
                  <c:v>18.139999999999986</c:v>
                </c:pt>
                <c:pt idx="4">
                  <c:v>16.019999999999982</c:v>
                </c:pt>
                <c:pt idx="5">
                  <c:v>14.839999999999975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6-4685-9B7B-B713F1374CBD}"/>
            </c:ext>
          </c:extLst>
        </c:ser>
        <c:ser>
          <c:idx val="2"/>
          <c:order val="2"/>
          <c:tx>
            <c:strRef>
              <c:f>Sheet1!$O$3:$O$3</c:f>
              <c:strCache>
                <c:ptCount val="1"/>
                <c:pt idx="0">
                  <c:v>BW_-10dB 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3">
                  <c:v>13.5</c:v>
                </c:pt>
                <c:pt idx="4">
                  <c:v>11.199999999999989</c:v>
                </c:pt>
                <c:pt idx="5">
                  <c:v>10.019999999999982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6-4685-9B7B-B713F137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03344"/>
        <c:axId val="558801264"/>
      </c:scatterChart>
      <c:valAx>
        <c:axId val="5588012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Bnadwidth [GHz]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8803344"/>
        <c:crosses val="autoZero"/>
        <c:crossBetween val="midCat"/>
      </c:valAx>
      <c:valAx>
        <c:axId val="55880334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Delta bandwidth patch [GHz]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88012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Titre du graphique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Sheet1!$M$3:$M$3</c:f>
              <c:strCache>
                <c:ptCount val="1"/>
                <c:pt idx="0">
                  <c:v>BW_-4dB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Sheet1!$L$4:$L$11</c:f>
              <c:numCache>
                <c:formatCode>General</c:formatCode>
                <c:ptCount val="8"/>
                <c:pt idx="0">
                  <c:v>20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xVal>
          <c:yVal>
            <c:numRef>
              <c:f>Sheet1!$M$4:$M$11</c:f>
              <c:numCache>
                <c:formatCode>General</c:formatCode>
                <c:ptCount val="8"/>
                <c:pt idx="0">
                  <c:v>31.620000000000005</c:v>
                </c:pt>
                <c:pt idx="1">
                  <c:v>27.009999999999991</c:v>
                </c:pt>
                <c:pt idx="2">
                  <c:v>24.639999999999986</c:v>
                </c:pt>
                <c:pt idx="3">
                  <c:v>22.53000000000003</c:v>
                </c:pt>
                <c:pt idx="4">
                  <c:v>20.610000000000014</c:v>
                </c:pt>
                <c:pt idx="5">
                  <c:v>19.460000000000036</c:v>
                </c:pt>
                <c:pt idx="6">
                  <c:v>22.409999999999968</c:v>
                </c:pt>
                <c:pt idx="7">
                  <c:v>25.950000000000045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0-4CE2-82DB-54A091105B77}"/>
            </c:ext>
          </c:extLst>
        </c:ser>
        <c:ser>
          <c:idx val="1"/>
          <c:order val="1"/>
          <c:tx>
            <c:strRef>
              <c:f>Sheet1!$N$3:$N$3</c:f>
              <c:strCache>
                <c:ptCount val="1"/>
                <c:pt idx="0">
                  <c:v>BW_-6dB 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Sheet1!$L$4:$L$11</c:f>
              <c:numCache>
                <c:formatCode>General</c:formatCode>
                <c:ptCount val="8"/>
                <c:pt idx="0">
                  <c:v>20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xVal>
          <c:yVal>
            <c:numRef>
              <c:f>Sheet1!$N$4:$N$11</c:f>
              <c:numCache>
                <c:formatCode>General</c:formatCode>
                <c:ptCount val="8"/>
                <c:pt idx="1">
                  <c:v>22.840000000000032</c:v>
                </c:pt>
                <c:pt idx="2">
                  <c:v>20.370000000000005</c:v>
                </c:pt>
                <c:pt idx="3">
                  <c:v>18.139999999999986</c:v>
                </c:pt>
                <c:pt idx="4">
                  <c:v>16.019999999999982</c:v>
                </c:pt>
                <c:pt idx="5">
                  <c:v>14.839999999999975</c:v>
                </c:pt>
                <c:pt idx="6">
                  <c:v>18.180000000000007</c:v>
                </c:pt>
                <c:pt idx="7">
                  <c:v>21.92999999999995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0-4CE2-82DB-54A091105B77}"/>
            </c:ext>
          </c:extLst>
        </c:ser>
        <c:ser>
          <c:idx val="2"/>
          <c:order val="2"/>
          <c:tx>
            <c:strRef>
              <c:f>Sheet1!$O$3:$O$3</c:f>
              <c:strCache>
                <c:ptCount val="1"/>
                <c:pt idx="0">
                  <c:v>BW_-10dB 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Sheet1!$L$4:$L$11</c:f>
              <c:numCache>
                <c:formatCode>General</c:formatCode>
                <c:ptCount val="8"/>
                <c:pt idx="0">
                  <c:v>20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  <c:pt idx="6">
                  <c:v>7.5</c:v>
                </c:pt>
                <c:pt idx="7">
                  <c:v>10</c:v>
                </c:pt>
              </c:numCache>
            </c:numRef>
          </c:xVal>
          <c:yVal>
            <c:numRef>
              <c:f>Sheet1!$O$4:$O$11</c:f>
              <c:numCache>
                <c:formatCode>General</c:formatCode>
                <c:ptCount val="8"/>
                <c:pt idx="3">
                  <c:v>13.5</c:v>
                </c:pt>
                <c:pt idx="4">
                  <c:v>11.199999999999989</c:v>
                </c:pt>
                <c:pt idx="5">
                  <c:v>10.019999999999982</c:v>
                </c:pt>
                <c:pt idx="6">
                  <c:v>13.680000000000007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00-4CE2-82DB-54A09110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08336"/>
        <c:axId val="558806672"/>
      </c:scatterChart>
      <c:valAx>
        <c:axId val="5588066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Bandwidth [GHz]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8808336"/>
        <c:crosses val="autoZero"/>
        <c:crossBetween val="midCat"/>
      </c:valAx>
      <c:valAx>
        <c:axId val="558808336"/>
        <c:scaling>
          <c:orientation val="minMax"/>
          <c:max val="3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Detlta width [GHz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880667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Titre du graphique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7.5607921020111074E-2"/>
          <c:y val="0.14645330137257773"/>
          <c:w val="0.68992805322617523"/>
          <c:h val="0.80719569551686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Sheet1!$M$25:$M$25</c:f>
              <c:strCache>
                <c:ptCount val="1"/>
                <c:pt idx="0">
                  <c:v>BW_-4dB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Sheet1!$L$29:$L$35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27.5</c:v>
                </c:pt>
              </c:numCache>
            </c:numRef>
          </c:xVal>
          <c:yVal>
            <c:numRef>
              <c:f>Sheet1!$M$29:$M$35</c:f>
              <c:numCache>
                <c:formatCode>General</c:formatCode>
                <c:ptCount val="7"/>
                <c:pt idx="0">
                  <c:v>17.600000000000023</c:v>
                </c:pt>
                <c:pt idx="1">
                  <c:v>20.139999999999986</c:v>
                </c:pt>
                <c:pt idx="2">
                  <c:v>29.760000000000019</c:v>
                </c:pt>
                <c:pt idx="3">
                  <c:v>25.950000000000045</c:v>
                </c:pt>
                <c:pt idx="4">
                  <c:v>26.079999999999984</c:v>
                </c:pt>
                <c:pt idx="5">
                  <c:v>23.740000000000009</c:v>
                </c:pt>
                <c:pt idx="6">
                  <c:v>19.039999999999964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C-4D3F-AC66-6378C47BF72F}"/>
            </c:ext>
          </c:extLst>
        </c:ser>
        <c:ser>
          <c:idx val="1"/>
          <c:order val="1"/>
          <c:tx>
            <c:strRef>
              <c:f>Sheet1!$N$25:$N$25</c:f>
              <c:strCache>
                <c:ptCount val="1"/>
                <c:pt idx="0">
                  <c:v>BW_-6dB 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Sheet1!$L$29:$L$35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27.5</c:v>
                </c:pt>
              </c:numCache>
            </c:numRef>
          </c:xVal>
          <c:yVal>
            <c:numRef>
              <c:f>Sheet1!$N$29:$N$35</c:f>
              <c:numCache>
                <c:formatCode>General</c:formatCode>
                <c:ptCount val="7"/>
                <c:pt idx="0">
                  <c:v>12.79000000000002</c:v>
                </c:pt>
                <c:pt idx="1">
                  <c:v>15.79000000000002</c:v>
                </c:pt>
                <c:pt idx="3">
                  <c:v>21.92999999999995</c:v>
                </c:pt>
                <c:pt idx="4">
                  <c:v>22.199999999999989</c:v>
                </c:pt>
                <c:pt idx="5">
                  <c:v>19.759999999999991</c:v>
                </c:pt>
                <c:pt idx="6">
                  <c:v>14.649999999999977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C-4D3F-AC66-6378C47BF72F}"/>
            </c:ext>
          </c:extLst>
        </c:ser>
        <c:ser>
          <c:idx val="2"/>
          <c:order val="2"/>
          <c:tx>
            <c:strRef>
              <c:f>Sheet1!$O$25:$O$25</c:f>
              <c:strCache>
                <c:ptCount val="1"/>
                <c:pt idx="0">
                  <c:v>BW_-10dB 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Sheet1!$L$29:$L$35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27.5</c:v>
                </c:pt>
              </c:numCache>
            </c:numRef>
          </c:xVal>
          <c:yVal>
            <c:numRef>
              <c:f>Sheet1!$O$29:$O$35</c:f>
              <c:numCache>
                <c:formatCode>General</c:formatCode>
                <c:ptCount val="7"/>
                <c:pt idx="0">
                  <c:v>7.5</c:v>
                </c:pt>
                <c:pt idx="1">
                  <c:v>11.399999999999977</c:v>
                </c:pt>
                <c:pt idx="6">
                  <c:v>10.300000000000011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C-4D3F-AC66-6378C47B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6128"/>
        <c:axId val="559614048"/>
      </c:scatterChart>
      <c:valAx>
        <c:axId val="5596140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6128"/>
        <c:crosses val="autoZero"/>
        <c:crossBetween val="midCat"/>
      </c:valAx>
      <c:valAx>
        <c:axId val="559616128"/>
        <c:scaling>
          <c:orientation val="minMax"/>
          <c:max val="35"/>
          <c:min val="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4048"/>
        <c:crosses val="autoZero"/>
        <c:crossBetween val="midCat"/>
        <c:majorUnit val="5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Titre du graphique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Sheet1!$M$51:$M$51</c:f>
              <c:strCache>
                <c:ptCount val="1"/>
                <c:pt idx="0">
                  <c:v>BW_-4dB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Sheet1!$L$52:$L$59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17.5</c:v>
                </c:pt>
                <c:pt idx="5">
                  <c:v>22.5</c:v>
                </c:pt>
                <c:pt idx="6">
                  <c:v>25</c:v>
                </c:pt>
                <c:pt idx="7">
                  <c:v>37.5</c:v>
                </c:pt>
              </c:numCache>
            </c:numRef>
          </c:xVal>
          <c:yVal>
            <c:numRef>
              <c:f>Sheet1!$M$52:$M$59</c:f>
              <c:numCache>
                <c:formatCode>General</c:formatCode>
                <c:ptCount val="8"/>
                <c:pt idx="0">
                  <c:v>19.349999999999994</c:v>
                </c:pt>
                <c:pt idx="1">
                  <c:v>19.639999999999986</c:v>
                </c:pt>
                <c:pt idx="2">
                  <c:v>20.25</c:v>
                </c:pt>
                <c:pt idx="3">
                  <c:v>27.02000000000001</c:v>
                </c:pt>
                <c:pt idx="4">
                  <c:v>16.370000000000005</c:v>
                </c:pt>
                <c:pt idx="5">
                  <c:v>16.079999999999984</c:v>
                </c:pt>
                <c:pt idx="6">
                  <c:v>16.429999999999978</c:v>
                </c:pt>
                <c:pt idx="7">
                  <c:v>20.870000000000005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3-4E08-8577-4883E0464EBF}"/>
            </c:ext>
          </c:extLst>
        </c:ser>
        <c:ser>
          <c:idx val="1"/>
          <c:order val="1"/>
          <c:tx>
            <c:strRef>
              <c:f>Sheet1!$N$51:$N$51</c:f>
              <c:strCache>
                <c:ptCount val="1"/>
                <c:pt idx="0">
                  <c:v>BW_-6dB 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Sheet1!$L$52:$L$59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17.5</c:v>
                </c:pt>
                <c:pt idx="5">
                  <c:v>22.5</c:v>
                </c:pt>
                <c:pt idx="6">
                  <c:v>25</c:v>
                </c:pt>
                <c:pt idx="7">
                  <c:v>37.5</c:v>
                </c:pt>
              </c:numCache>
            </c:numRef>
          </c:xVal>
          <c:yVal>
            <c:numRef>
              <c:f>Sheet1!$N$52:$N$59</c:f>
              <c:numCache>
                <c:formatCode>General</c:formatCode>
                <c:ptCount val="8"/>
                <c:pt idx="0">
                  <c:v>15.270000000000039</c:v>
                </c:pt>
                <c:pt idx="1">
                  <c:v>15.45999999999998</c:v>
                </c:pt>
                <c:pt idx="2">
                  <c:v>16.099999999999966</c:v>
                </c:pt>
                <c:pt idx="4">
                  <c:v>11.710000000000008</c:v>
                </c:pt>
                <c:pt idx="5">
                  <c:v>11.230999999999995</c:v>
                </c:pt>
                <c:pt idx="6">
                  <c:v>12.25</c:v>
                </c:pt>
                <c:pt idx="7">
                  <c:v>16.800000000000011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3-4E08-8577-4883E0464EBF}"/>
            </c:ext>
          </c:extLst>
        </c:ser>
        <c:ser>
          <c:idx val="2"/>
          <c:order val="2"/>
          <c:tx>
            <c:strRef>
              <c:f>Sheet1!$O$51:$O$51</c:f>
              <c:strCache>
                <c:ptCount val="1"/>
                <c:pt idx="0">
                  <c:v>BW_-10dB 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Sheet1!$L$52:$L$59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17.5</c:v>
                </c:pt>
                <c:pt idx="5">
                  <c:v>22.5</c:v>
                </c:pt>
                <c:pt idx="6">
                  <c:v>25</c:v>
                </c:pt>
                <c:pt idx="7">
                  <c:v>37.5</c:v>
                </c:pt>
              </c:numCache>
            </c:numRef>
          </c:xVal>
          <c:yVal>
            <c:numRef>
              <c:f>Sheet1!$O$52:$O$59</c:f>
              <c:numCache>
                <c:formatCode>General</c:formatCode>
                <c:ptCount val="8"/>
                <c:pt idx="0">
                  <c:v>11.009999999999991</c:v>
                </c:pt>
                <c:pt idx="1">
                  <c:v>11.080000000000041</c:v>
                </c:pt>
                <c:pt idx="2">
                  <c:v>11.730000000000018</c:v>
                </c:pt>
                <c:pt idx="4">
                  <c:v>6.7200000000000273</c:v>
                </c:pt>
                <c:pt idx="5">
                  <c:v>5.9399999999999977</c:v>
                </c:pt>
                <c:pt idx="6">
                  <c:v>7.0999999999999659</c:v>
                </c:pt>
                <c:pt idx="7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E3-4E08-8577-4883E046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4464"/>
        <c:axId val="559617376"/>
      </c:scatterChart>
      <c:valAx>
        <c:axId val="5596173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4464"/>
        <c:crosses val="autoZero"/>
        <c:crossBetween val="midCat"/>
      </c:valAx>
      <c:valAx>
        <c:axId val="55961446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737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Titre du graphique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Sheet1!$M$76:$M$76</c:f>
              <c:strCache>
                <c:ptCount val="1"/>
                <c:pt idx="0">
                  <c:v>BW_-4dB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Sheet1!$L$77:$L$89</c:f>
              <c:numCache>
                <c:formatCode>General</c:formatCode>
                <c:ptCount val="13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2.5</c:v>
                </c:pt>
                <c:pt idx="4">
                  <c:v>0</c:v>
                </c:pt>
                <c:pt idx="5">
                  <c:v>2.5</c:v>
                </c:pt>
                <c:pt idx="6">
                  <c:v>5</c:v>
                </c:pt>
                <c:pt idx="7">
                  <c:v>10</c:v>
                </c:pt>
                <c:pt idx="8">
                  <c:v>12.5</c:v>
                </c:pt>
                <c:pt idx="9">
                  <c:v>15</c:v>
                </c:pt>
                <c:pt idx="10">
                  <c:v>17.5</c:v>
                </c:pt>
                <c:pt idx="11">
                  <c:v>20</c:v>
                </c:pt>
                <c:pt idx="12">
                  <c:v>22.5</c:v>
                </c:pt>
              </c:numCache>
            </c:numRef>
          </c:xVal>
          <c:yVal>
            <c:numRef>
              <c:f>Sheet1!$M$77:$M$89</c:f>
              <c:numCache>
                <c:formatCode>General</c:formatCode>
                <c:ptCount val="13"/>
                <c:pt idx="0">
                  <c:v>28.28000000000003</c:v>
                </c:pt>
                <c:pt idx="2">
                  <c:v>22.53000000000003</c:v>
                </c:pt>
                <c:pt idx="3">
                  <c:v>18</c:v>
                </c:pt>
                <c:pt idx="4">
                  <c:v>17.329999999999984</c:v>
                </c:pt>
                <c:pt idx="5">
                  <c:v>17.78000000000003</c:v>
                </c:pt>
                <c:pt idx="6">
                  <c:v>19.009999999999991</c:v>
                </c:pt>
                <c:pt idx="7">
                  <c:v>22.599999999999966</c:v>
                </c:pt>
                <c:pt idx="8">
                  <c:v>24.990000000000009</c:v>
                </c:pt>
                <c:pt idx="9">
                  <c:v>27.129999999999995</c:v>
                </c:pt>
                <c:pt idx="10">
                  <c:v>28.990000000000009</c:v>
                </c:pt>
                <c:pt idx="11">
                  <c:v>30.920000000000016</c:v>
                </c:pt>
                <c:pt idx="12">
                  <c:v>32.450000000000045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5-41EA-8B97-657CC609AB5C}"/>
            </c:ext>
          </c:extLst>
        </c:ser>
        <c:ser>
          <c:idx val="1"/>
          <c:order val="1"/>
          <c:tx>
            <c:strRef>
              <c:f>Sheet1!$N$76:$N$76</c:f>
              <c:strCache>
                <c:ptCount val="1"/>
                <c:pt idx="0">
                  <c:v>BW_-6dB 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Sheet1!$L$77:$L$89</c:f>
              <c:numCache>
                <c:formatCode>General</c:formatCode>
                <c:ptCount val="13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2.5</c:v>
                </c:pt>
                <c:pt idx="4">
                  <c:v>0</c:v>
                </c:pt>
                <c:pt idx="5">
                  <c:v>2.5</c:v>
                </c:pt>
                <c:pt idx="6">
                  <c:v>5</c:v>
                </c:pt>
                <c:pt idx="7">
                  <c:v>10</c:v>
                </c:pt>
                <c:pt idx="8">
                  <c:v>12.5</c:v>
                </c:pt>
                <c:pt idx="9">
                  <c:v>15</c:v>
                </c:pt>
                <c:pt idx="10">
                  <c:v>17.5</c:v>
                </c:pt>
                <c:pt idx="11">
                  <c:v>20</c:v>
                </c:pt>
                <c:pt idx="12">
                  <c:v>22.5</c:v>
                </c:pt>
              </c:numCache>
            </c:numRef>
          </c:xVal>
          <c:yVal>
            <c:numRef>
              <c:f>Sheet1!$N$77:$N$89</c:f>
              <c:numCache>
                <c:formatCode>General</c:formatCode>
                <c:ptCount val="13"/>
                <c:pt idx="2">
                  <c:v>18.139999999999986</c:v>
                </c:pt>
                <c:pt idx="3">
                  <c:v>13</c:v>
                </c:pt>
                <c:pt idx="5">
                  <c:v>12.599999999999966</c:v>
                </c:pt>
                <c:pt idx="6">
                  <c:v>14.060000000000002</c:v>
                </c:pt>
                <c:pt idx="7">
                  <c:v>18.069999999999993</c:v>
                </c:pt>
                <c:pt idx="8">
                  <c:v>20.599999999999966</c:v>
                </c:pt>
                <c:pt idx="9">
                  <c:v>22.829999999999984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85-41EA-8B97-657CC609AB5C}"/>
            </c:ext>
          </c:extLst>
        </c:ser>
        <c:ser>
          <c:idx val="2"/>
          <c:order val="2"/>
          <c:tx>
            <c:strRef>
              <c:f>Sheet1!$O$76:$O$76</c:f>
              <c:strCache>
                <c:ptCount val="1"/>
                <c:pt idx="0">
                  <c:v>BW_-10dB 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Sheet1!$L$77:$L$89</c:f>
              <c:numCache>
                <c:formatCode>General</c:formatCode>
                <c:ptCount val="13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2.5</c:v>
                </c:pt>
                <c:pt idx="4">
                  <c:v>0</c:v>
                </c:pt>
                <c:pt idx="5">
                  <c:v>2.5</c:v>
                </c:pt>
                <c:pt idx="6">
                  <c:v>5</c:v>
                </c:pt>
                <c:pt idx="7">
                  <c:v>10</c:v>
                </c:pt>
                <c:pt idx="8">
                  <c:v>12.5</c:v>
                </c:pt>
                <c:pt idx="9">
                  <c:v>15</c:v>
                </c:pt>
                <c:pt idx="10">
                  <c:v>17.5</c:v>
                </c:pt>
                <c:pt idx="11">
                  <c:v>20</c:v>
                </c:pt>
                <c:pt idx="12">
                  <c:v>22.5</c:v>
                </c:pt>
              </c:numCache>
            </c:numRef>
          </c:xVal>
          <c:yVal>
            <c:numRef>
              <c:f>Sheet1!$O$77:$O$89</c:f>
              <c:numCache>
                <c:formatCode>General</c:formatCode>
                <c:ptCount val="13"/>
                <c:pt idx="2">
                  <c:v>13.5</c:v>
                </c:pt>
                <c:pt idx="3">
                  <c:v>6.9900000000000091</c:v>
                </c:pt>
                <c:pt idx="5">
                  <c:v>7.0099999999999909</c:v>
                </c:pt>
                <c:pt idx="6">
                  <c:v>8.7900000000000205</c:v>
                </c:pt>
                <c:pt idx="7">
                  <c:v>13.29000000000002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85-41EA-8B97-657CC609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5712"/>
        <c:axId val="559617792"/>
      </c:scatterChart>
      <c:valAx>
        <c:axId val="55961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5712"/>
        <c:crosses val="autoZero"/>
        <c:crossBetween val="midCat"/>
      </c:valAx>
      <c:valAx>
        <c:axId val="55961571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779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patch 290 GHz -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Auswertung_!$F$3:$F$10</c:f>
              <c:numCache>
                <c:formatCode>General</c:formatCode>
                <c:ptCount val="8"/>
                <c:pt idx="0">
                  <c:v>10</c:v>
                </c:pt>
                <c:pt idx="1">
                  <c:v>7.5</c:v>
                </c:pt>
                <c:pt idx="2">
                  <c:v>6.25</c:v>
                </c:pt>
                <c:pt idx="3">
                  <c:v>5</c:v>
                </c:pt>
                <c:pt idx="4">
                  <c:v>3.75</c:v>
                </c:pt>
                <c:pt idx="5">
                  <c:v>-2.5</c:v>
                </c:pt>
                <c:pt idx="6">
                  <c:v>-3.75</c:v>
                </c:pt>
                <c:pt idx="7">
                  <c:v>-5</c:v>
                </c:pt>
              </c:numCache>
            </c:numRef>
          </c:xVal>
          <c:yVal>
            <c:numRef>
              <c:f>Auswertung_!$I$3:$I$10</c:f>
              <c:numCache>
                <c:formatCode>General</c:formatCode>
                <c:ptCount val="8"/>
                <c:pt idx="0">
                  <c:v>31.620000000000005</c:v>
                </c:pt>
                <c:pt idx="1">
                  <c:v>27.009999999999991</c:v>
                </c:pt>
                <c:pt idx="2">
                  <c:v>24.639999999999986</c:v>
                </c:pt>
                <c:pt idx="3">
                  <c:v>22.53000000000003</c:v>
                </c:pt>
                <c:pt idx="4">
                  <c:v>20.610000000000014</c:v>
                </c:pt>
                <c:pt idx="5">
                  <c:v>19.460000000000036</c:v>
                </c:pt>
                <c:pt idx="6">
                  <c:v>22.409999999999968</c:v>
                </c:pt>
                <c:pt idx="7">
                  <c:v>25.950000000000045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1-4579-B3D4-56538EFC160D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Auswertung_!$F$3:$F$10</c:f>
              <c:numCache>
                <c:formatCode>General</c:formatCode>
                <c:ptCount val="8"/>
                <c:pt idx="0">
                  <c:v>10</c:v>
                </c:pt>
                <c:pt idx="1">
                  <c:v>7.5</c:v>
                </c:pt>
                <c:pt idx="2">
                  <c:v>6.25</c:v>
                </c:pt>
                <c:pt idx="3">
                  <c:v>5</c:v>
                </c:pt>
                <c:pt idx="4">
                  <c:v>3.75</c:v>
                </c:pt>
                <c:pt idx="5">
                  <c:v>-2.5</c:v>
                </c:pt>
                <c:pt idx="6">
                  <c:v>-3.75</c:v>
                </c:pt>
                <c:pt idx="7">
                  <c:v>-5</c:v>
                </c:pt>
              </c:numCache>
            </c:numRef>
          </c:xVal>
          <c:yVal>
            <c:numRef>
              <c:f>Auswertung_!$K$3:$K$10</c:f>
              <c:numCache>
                <c:formatCode>General</c:formatCode>
                <c:ptCount val="8"/>
                <c:pt idx="1">
                  <c:v>22.840000000000032</c:v>
                </c:pt>
                <c:pt idx="2">
                  <c:v>20.370000000000005</c:v>
                </c:pt>
                <c:pt idx="3">
                  <c:v>18.139999999999986</c:v>
                </c:pt>
                <c:pt idx="4">
                  <c:v>16.019999999999982</c:v>
                </c:pt>
                <c:pt idx="5">
                  <c:v>14.839999999999975</c:v>
                </c:pt>
                <c:pt idx="6">
                  <c:v>18.180000000000007</c:v>
                </c:pt>
                <c:pt idx="7">
                  <c:v>21.92999999999995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1-4579-B3D4-56538EFC160D}"/>
            </c:ext>
          </c:extLst>
        </c:ser>
        <c:ser>
          <c:idx val="2"/>
          <c:order val="2"/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Auswertung_!$F$3:$F$10</c:f>
              <c:numCache>
                <c:formatCode>General</c:formatCode>
                <c:ptCount val="8"/>
                <c:pt idx="0">
                  <c:v>10</c:v>
                </c:pt>
                <c:pt idx="1">
                  <c:v>7.5</c:v>
                </c:pt>
                <c:pt idx="2">
                  <c:v>6.25</c:v>
                </c:pt>
                <c:pt idx="3">
                  <c:v>5</c:v>
                </c:pt>
                <c:pt idx="4">
                  <c:v>3.75</c:v>
                </c:pt>
                <c:pt idx="5">
                  <c:v>-2.5</c:v>
                </c:pt>
                <c:pt idx="6">
                  <c:v>-3.75</c:v>
                </c:pt>
                <c:pt idx="7">
                  <c:v>-5</c:v>
                </c:pt>
              </c:numCache>
            </c:numRef>
          </c:xVal>
          <c:yVal>
            <c:numRef>
              <c:f>Auswertung_!$M$3:$M$10</c:f>
              <c:numCache>
                <c:formatCode>General</c:formatCode>
                <c:ptCount val="8"/>
                <c:pt idx="3">
                  <c:v>13.5</c:v>
                </c:pt>
                <c:pt idx="4">
                  <c:v>11.199999999999989</c:v>
                </c:pt>
                <c:pt idx="5">
                  <c:v>10.019999999999982</c:v>
                </c:pt>
                <c:pt idx="6">
                  <c:v>13.680000000000007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1-4579-B3D4-56538EFC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9456"/>
        <c:axId val="559613632"/>
      </c:scatterChart>
      <c:valAx>
        <c:axId val="559613632"/>
        <c:scaling>
          <c:orientation val="minMax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Bandwidth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9456"/>
        <c:crosses val="autoZero"/>
        <c:crossBetween val="midCat"/>
      </c:valAx>
      <c:valAx>
        <c:axId val="559619456"/>
        <c:scaling>
          <c:orientation val="minMax"/>
          <c:max val="15"/>
          <c:min val="-1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relativ Bandwidth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36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de-DE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Titre du graphique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Auswertung_!$P$13:$P$13</c:f>
              <c:strCache>
                <c:ptCount val="1"/>
                <c:pt idx="0">
                  <c:v>BW -6dB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Auswertung_!$P$15:$P$22</c:f>
              <c:numCache>
                <c:formatCode>General</c:formatCode>
                <c:ptCount val="8"/>
                <c:pt idx="0">
                  <c:v>-2.5</c:v>
                </c:pt>
                <c:pt idx="1">
                  <c:v>-1.25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13.75</c:v>
                </c:pt>
              </c:numCache>
            </c:numRef>
          </c:xVal>
          <c:yVal>
            <c:numRef>
              <c:f>Auswertung_!$Q$15:$Q$22</c:f>
              <c:numCache>
                <c:formatCode>General</c:formatCode>
                <c:ptCount val="8"/>
                <c:pt idx="0">
                  <c:v>15.879999999999995</c:v>
                </c:pt>
                <c:pt idx="1">
                  <c:v>15.379999999999995</c:v>
                </c:pt>
                <c:pt idx="2">
                  <c:v>12.79000000000002</c:v>
                </c:pt>
                <c:pt idx="3">
                  <c:v>15.79000000000002</c:v>
                </c:pt>
                <c:pt idx="4">
                  <c:v>21.92999999999995</c:v>
                </c:pt>
                <c:pt idx="5">
                  <c:v>22.199999999999989</c:v>
                </c:pt>
                <c:pt idx="6">
                  <c:v>19.759999999999991</c:v>
                </c:pt>
                <c:pt idx="7">
                  <c:v>14.649999999999977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A-4228-9D2B-01A956F35684}"/>
            </c:ext>
          </c:extLst>
        </c:ser>
        <c:ser>
          <c:idx val="1"/>
          <c:order val="1"/>
          <c:tx>
            <c:strRef>
              <c:f>Auswertung_!$S$13:$S$13</c:f>
              <c:strCache>
                <c:ptCount val="1"/>
                <c:pt idx="0">
                  <c:v>BW -4dB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Auswertung_!$S$15:$S$24</c:f>
              <c:numCache>
                <c:formatCode>General</c:formatCode>
                <c:ptCount val="10"/>
                <c:pt idx="0">
                  <c:v>-5</c:v>
                </c:pt>
                <c:pt idx="1">
                  <c:v>-2.5</c:v>
                </c:pt>
                <c:pt idx="2">
                  <c:v>-1.25</c:v>
                </c:pt>
                <c:pt idx="3">
                  <c:v>1.25</c:v>
                </c:pt>
                <c:pt idx="4">
                  <c:v>2.5</c:v>
                </c:pt>
                <c:pt idx="5">
                  <c:v>3.75</c:v>
                </c:pt>
                <c:pt idx="6">
                  <c:v>5</c:v>
                </c:pt>
                <c:pt idx="7">
                  <c:v>6.25</c:v>
                </c:pt>
                <c:pt idx="8">
                  <c:v>7.5</c:v>
                </c:pt>
                <c:pt idx="9">
                  <c:v>13.75</c:v>
                </c:pt>
              </c:numCache>
            </c:numRef>
          </c:xVal>
          <c:yVal>
            <c:numRef>
              <c:f>Auswertung_!$T$15:$T$24</c:f>
              <c:numCache>
                <c:formatCode>General</c:formatCode>
                <c:ptCount val="10"/>
                <c:pt idx="0">
                  <c:v>27.02000000000001</c:v>
                </c:pt>
                <c:pt idx="1">
                  <c:v>20.120000000000005</c:v>
                </c:pt>
                <c:pt idx="2">
                  <c:v>19.699999999999989</c:v>
                </c:pt>
                <c:pt idx="3">
                  <c:v>17.600000000000023</c:v>
                </c:pt>
                <c:pt idx="4">
                  <c:v>20.139999999999986</c:v>
                </c:pt>
                <c:pt idx="5">
                  <c:v>29.760000000000019</c:v>
                </c:pt>
                <c:pt idx="6">
                  <c:v>25.950000000000045</c:v>
                </c:pt>
                <c:pt idx="7">
                  <c:v>26.079999999999984</c:v>
                </c:pt>
                <c:pt idx="8">
                  <c:v>23.740000000000009</c:v>
                </c:pt>
                <c:pt idx="9">
                  <c:v>19.039999999999964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5A-4228-9D2B-01A956F35684}"/>
            </c:ext>
          </c:extLst>
        </c:ser>
        <c:ser>
          <c:idx val="2"/>
          <c:order val="2"/>
          <c:tx>
            <c:strRef>
              <c:f>Auswertung_!$V$13:$V$13</c:f>
              <c:strCache>
                <c:ptCount val="1"/>
                <c:pt idx="0">
                  <c:v>BW -10dB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Auswertung_!$V$15:$V$19</c:f>
              <c:numCache>
                <c:formatCode>General</c:formatCode>
                <c:ptCount val="5"/>
                <c:pt idx="0">
                  <c:v>-2.5</c:v>
                </c:pt>
                <c:pt idx="1">
                  <c:v>-1.25</c:v>
                </c:pt>
                <c:pt idx="2">
                  <c:v>1.25</c:v>
                </c:pt>
                <c:pt idx="3">
                  <c:v>2.5</c:v>
                </c:pt>
                <c:pt idx="4">
                  <c:v>13.75</c:v>
                </c:pt>
              </c:numCache>
            </c:numRef>
          </c:xVal>
          <c:yVal>
            <c:numRef>
              <c:f>Auswertung_!$W$15:$W$19</c:f>
              <c:numCache>
                <c:formatCode>General</c:formatCode>
                <c:ptCount val="5"/>
                <c:pt idx="0">
                  <c:v>11.199999999999989</c:v>
                </c:pt>
                <c:pt idx="1">
                  <c:v>10.299999999999955</c:v>
                </c:pt>
                <c:pt idx="2">
                  <c:v>7.5</c:v>
                </c:pt>
                <c:pt idx="3">
                  <c:v>11.399999999999977</c:v>
                </c:pt>
                <c:pt idx="4">
                  <c:v>10.300000000000011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A-4228-9D2B-01A956F3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20288"/>
        <c:axId val="559616544"/>
      </c:scatterChart>
      <c:valAx>
        <c:axId val="5596165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20288"/>
        <c:crosses val="autoZero"/>
        <c:crossBetween val="midCat"/>
      </c:valAx>
      <c:valAx>
        <c:axId val="5596202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654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Auswertung_!$I$27:$I$27</c:f>
              <c:strCache>
                <c:ptCount val="1"/>
                <c:pt idx="0">
                  <c:v>BW_-4dB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Auswertung_!$F$28:$F$35</c:f>
              <c:numCache>
                <c:formatCode>General</c:formatCode>
                <c:ptCount val="8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8.75</c:v>
                </c:pt>
                <c:pt idx="5">
                  <c:v>11.25</c:v>
                </c:pt>
                <c:pt idx="6">
                  <c:v>12.5</c:v>
                </c:pt>
                <c:pt idx="7">
                  <c:v>18.75</c:v>
                </c:pt>
              </c:numCache>
            </c:numRef>
          </c:xVal>
          <c:yVal>
            <c:numRef>
              <c:f>Auswertung_!$I$28:$I$35</c:f>
              <c:numCache>
                <c:formatCode>General</c:formatCode>
                <c:ptCount val="8"/>
                <c:pt idx="0">
                  <c:v>19.349999999999994</c:v>
                </c:pt>
                <c:pt idx="1">
                  <c:v>19.639999999999986</c:v>
                </c:pt>
                <c:pt idx="2">
                  <c:v>20.25</c:v>
                </c:pt>
                <c:pt idx="3">
                  <c:v>27.02000000000001</c:v>
                </c:pt>
                <c:pt idx="4">
                  <c:v>16.370000000000005</c:v>
                </c:pt>
                <c:pt idx="5">
                  <c:v>16.079999999999984</c:v>
                </c:pt>
                <c:pt idx="6">
                  <c:v>16.429999999999978</c:v>
                </c:pt>
                <c:pt idx="7">
                  <c:v>20.870000000000005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4-4154-993A-CA44FC58C34B}"/>
            </c:ext>
          </c:extLst>
        </c:ser>
        <c:ser>
          <c:idx val="1"/>
          <c:order val="1"/>
          <c:tx>
            <c:strRef>
              <c:f>Auswertung_!$R$27:$R$27</c:f>
              <c:strCache>
                <c:ptCount val="1"/>
                <c:pt idx="0">
                  <c:v>BW_-6dB 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Auswertung_!$Q$28:$Q$34</c:f>
              <c:numCache>
                <c:formatCode>General</c:formatCode>
                <c:ptCount val="7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8.75</c:v>
                </c:pt>
                <c:pt idx="4">
                  <c:v>11.25</c:v>
                </c:pt>
                <c:pt idx="5">
                  <c:v>12.5</c:v>
                </c:pt>
                <c:pt idx="6">
                  <c:v>18.75</c:v>
                </c:pt>
              </c:numCache>
            </c:numRef>
          </c:xVal>
          <c:yVal>
            <c:numRef>
              <c:f>Auswertung_!$R$28:$R$34</c:f>
              <c:numCache>
                <c:formatCode>General</c:formatCode>
                <c:ptCount val="7"/>
                <c:pt idx="0">
                  <c:v>15.270000000000039</c:v>
                </c:pt>
                <c:pt idx="1">
                  <c:v>15.45999999999998</c:v>
                </c:pt>
                <c:pt idx="2">
                  <c:v>16.099999999999966</c:v>
                </c:pt>
                <c:pt idx="3">
                  <c:v>11.710000000000008</c:v>
                </c:pt>
                <c:pt idx="4">
                  <c:v>11.230999999999995</c:v>
                </c:pt>
                <c:pt idx="5">
                  <c:v>12.25</c:v>
                </c:pt>
                <c:pt idx="6">
                  <c:v>16.800000000000011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4-4154-993A-CA44FC58C34B}"/>
            </c:ext>
          </c:extLst>
        </c:ser>
        <c:ser>
          <c:idx val="2"/>
          <c:order val="2"/>
          <c:tx>
            <c:strRef>
              <c:f>Auswertung_!$S$27:$S$27</c:f>
              <c:strCache>
                <c:ptCount val="1"/>
                <c:pt idx="0">
                  <c:v>BW_-10dB 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Auswertung_!$Q$28:$Q$34</c:f>
              <c:numCache>
                <c:formatCode>General</c:formatCode>
                <c:ptCount val="7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8.75</c:v>
                </c:pt>
                <c:pt idx="4">
                  <c:v>11.25</c:v>
                </c:pt>
                <c:pt idx="5">
                  <c:v>12.5</c:v>
                </c:pt>
                <c:pt idx="6">
                  <c:v>18.75</c:v>
                </c:pt>
              </c:numCache>
            </c:numRef>
          </c:xVal>
          <c:yVal>
            <c:numRef>
              <c:f>Auswertung_!$S$28:$S$34</c:f>
              <c:numCache>
                <c:formatCode>General</c:formatCode>
                <c:ptCount val="7"/>
                <c:pt idx="0">
                  <c:v>11.009999999999991</c:v>
                </c:pt>
                <c:pt idx="1">
                  <c:v>11.080000000000041</c:v>
                </c:pt>
                <c:pt idx="2">
                  <c:v>11.730000000000018</c:v>
                </c:pt>
                <c:pt idx="3">
                  <c:v>6.7200000000000273</c:v>
                </c:pt>
                <c:pt idx="4">
                  <c:v>5.9399999999999977</c:v>
                </c:pt>
                <c:pt idx="5">
                  <c:v>7.0999999999999659</c:v>
                </c:pt>
                <c:pt idx="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4-4154-993A-CA44FC58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16960"/>
        <c:axId val="559621120"/>
      </c:scatterChart>
      <c:valAx>
        <c:axId val="5596211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16960"/>
        <c:crosses val="autoZero"/>
        <c:crossBetween val="midCat"/>
      </c:valAx>
      <c:valAx>
        <c:axId val="5596169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96211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608542</xdr:colOff>
      <xdr:row>1</xdr:row>
      <xdr:rowOff>139702</xdr:rowOff>
    </xdr:from>
    <xdr:ext cx="4598453" cy="269451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E433A-92F3-460A-AB36-C499CD305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16</xdr:col>
      <xdr:colOff>17995</xdr:colOff>
      <xdr:row>0</xdr:row>
      <xdr:rowOff>134407</xdr:rowOff>
    </xdr:from>
    <xdr:ext cx="4565654" cy="3267078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E54ACC5-6F03-4601-AEBB-1E466441F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513289</xdr:colOff>
      <xdr:row>21</xdr:row>
      <xdr:rowOff>131234</xdr:rowOff>
    </xdr:from>
    <xdr:ext cx="4654552" cy="2740027"/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30A4F954-49C4-49F4-81A2-C1D86EAF2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15</xdr:col>
      <xdr:colOff>513289</xdr:colOff>
      <xdr:row>49</xdr:row>
      <xdr:rowOff>158748</xdr:rowOff>
    </xdr:from>
    <xdr:ext cx="4578345" cy="2753779"/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C615C551-E020-4353-B65B-3DA0963E5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15</xdr:col>
      <xdr:colOff>584201</xdr:colOff>
      <xdr:row>70</xdr:row>
      <xdr:rowOff>144996</xdr:rowOff>
    </xdr:from>
    <xdr:ext cx="4581528" cy="2736854"/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9A49C96A-C780-45F8-8E6C-56E40093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390521</xdr:colOff>
      <xdr:row>1</xdr:row>
      <xdr:rowOff>76196</xdr:rowOff>
    </xdr:from>
    <xdr:ext cx="3863970" cy="28892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5610F-04A0-4B48-99B5-8DDC2DEA0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107944</xdr:colOff>
      <xdr:row>11</xdr:row>
      <xdr:rowOff>25402</xdr:rowOff>
    </xdr:from>
    <xdr:ext cx="3416298" cy="27146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F5ED51-680D-413D-8002-8101351A8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168277</xdr:colOff>
      <xdr:row>25</xdr:row>
      <xdr:rowOff>19046</xdr:rowOff>
    </xdr:from>
    <xdr:ext cx="3470276" cy="2468559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7276C781-43C9-4F7F-8279-2A4EA71C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52"/>
  <sheetViews>
    <sheetView topLeftCell="A130" workbookViewId="0">
      <selection activeCell="B12" sqref="B12:G12"/>
    </sheetView>
  </sheetViews>
  <sheetFormatPr defaultRowHeight="14.5" x14ac:dyDescent="0.35"/>
  <cols>
    <col min="1" max="4" width="8.7265625" customWidth="1"/>
    <col min="5" max="5" width="9.81640625" customWidth="1"/>
    <col min="6" max="6" width="9.90625" customWidth="1"/>
    <col min="7" max="7" width="10.36328125" customWidth="1"/>
    <col min="8" max="14" width="8.7265625" customWidth="1"/>
    <col min="15" max="15" width="10.453125" customWidth="1"/>
    <col min="16" max="16" width="8.7265625" customWidth="1"/>
  </cols>
  <sheetData>
    <row r="2" spans="2:15" ht="15" thickBot="1" x14ac:dyDescent="0.4">
      <c r="E2" t="s">
        <v>0</v>
      </c>
      <c r="F2" t="s">
        <v>1</v>
      </c>
      <c r="G2" t="s">
        <v>2</v>
      </c>
    </row>
    <row r="3" spans="2:15" ht="15" thickBot="1" x14ac:dyDescent="0.4">
      <c r="B3" s="1" t="s">
        <v>3</v>
      </c>
      <c r="C3" s="2" t="s">
        <v>4</v>
      </c>
      <c r="D3" s="2" t="s">
        <v>5</v>
      </c>
      <c r="E3" s="1" t="s">
        <v>6</v>
      </c>
      <c r="F3" s="2" t="s">
        <v>7</v>
      </c>
      <c r="G3" s="3" t="s">
        <v>8</v>
      </c>
      <c r="J3" s="1" t="s">
        <v>3</v>
      </c>
      <c r="K3" s="2" t="s">
        <v>4</v>
      </c>
      <c r="L3" s="3" t="s">
        <v>5</v>
      </c>
      <c r="M3" s="1" t="s">
        <v>6</v>
      </c>
      <c r="N3" s="2" t="s">
        <v>7</v>
      </c>
      <c r="O3" s="3" t="s">
        <v>8</v>
      </c>
    </row>
    <row r="4" spans="2:15" x14ac:dyDescent="0.35">
      <c r="B4" s="4">
        <v>290</v>
      </c>
      <c r="C4">
        <v>320</v>
      </c>
      <c r="D4" s="5">
        <f t="shared" ref="D4:D15" si="0">C4-B4</f>
        <v>30</v>
      </c>
      <c r="E4" s="4">
        <v>0</v>
      </c>
      <c r="F4">
        <v>0</v>
      </c>
      <c r="G4" s="5">
        <v>0</v>
      </c>
      <c r="J4" s="4">
        <v>290</v>
      </c>
      <c r="K4">
        <v>310</v>
      </c>
      <c r="L4" s="5">
        <v>20</v>
      </c>
      <c r="M4" s="4">
        <v>31.620000000000005</v>
      </c>
      <c r="O4" s="5"/>
    </row>
    <row r="5" spans="2:15" x14ac:dyDescent="0.35">
      <c r="B5" s="4">
        <v>290</v>
      </c>
      <c r="C5">
        <v>317.5</v>
      </c>
      <c r="D5" s="5">
        <f t="shared" si="0"/>
        <v>27.5</v>
      </c>
      <c r="E5" s="4">
        <v>0</v>
      </c>
      <c r="F5">
        <v>0</v>
      </c>
      <c r="G5" s="5">
        <v>0</v>
      </c>
      <c r="J5" s="4">
        <v>290</v>
      </c>
      <c r="K5">
        <v>305</v>
      </c>
      <c r="L5" s="5">
        <v>15</v>
      </c>
      <c r="M5" s="4">
        <v>27.009999999999991</v>
      </c>
      <c r="N5">
        <v>22.840000000000032</v>
      </c>
      <c r="O5" s="5"/>
    </row>
    <row r="6" spans="2:15" x14ac:dyDescent="0.35">
      <c r="B6" s="4">
        <v>290</v>
      </c>
      <c r="C6">
        <f t="shared" ref="C6:C15" si="1">C5-2.5</f>
        <v>315</v>
      </c>
      <c r="D6" s="5">
        <f t="shared" si="0"/>
        <v>25</v>
      </c>
      <c r="E6" s="4">
        <v>0</v>
      </c>
      <c r="F6">
        <v>0</v>
      </c>
      <c r="G6" s="5">
        <v>0</v>
      </c>
      <c r="J6" s="4">
        <v>290</v>
      </c>
      <c r="K6">
        <v>302.5</v>
      </c>
      <c r="L6" s="5">
        <v>12.5</v>
      </c>
      <c r="M6" s="4">
        <v>24.639999999999986</v>
      </c>
      <c r="N6">
        <v>20.370000000000005</v>
      </c>
      <c r="O6" s="5"/>
    </row>
    <row r="7" spans="2:15" x14ac:dyDescent="0.35">
      <c r="B7" s="4">
        <v>290</v>
      </c>
      <c r="C7">
        <f t="shared" si="1"/>
        <v>312.5</v>
      </c>
      <c r="D7" s="5">
        <f t="shared" si="0"/>
        <v>22.5</v>
      </c>
      <c r="E7" s="4">
        <v>0</v>
      </c>
      <c r="F7">
        <v>0</v>
      </c>
      <c r="G7" s="5">
        <v>0</v>
      </c>
      <c r="J7" s="4">
        <v>290</v>
      </c>
      <c r="K7">
        <v>300</v>
      </c>
      <c r="L7" s="5">
        <v>10</v>
      </c>
      <c r="M7" s="4">
        <v>22.53000000000003</v>
      </c>
      <c r="N7">
        <v>18.139999999999986</v>
      </c>
      <c r="O7" s="5">
        <v>13.5</v>
      </c>
    </row>
    <row r="8" spans="2:15" x14ac:dyDescent="0.35">
      <c r="B8" s="4">
        <v>290</v>
      </c>
      <c r="C8">
        <f t="shared" si="1"/>
        <v>310</v>
      </c>
      <c r="D8" s="5">
        <f t="shared" si="0"/>
        <v>20</v>
      </c>
      <c r="E8" s="4">
        <f>316.11-284.49</f>
        <v>31.620000000000005</v>
      </c>
      <c r="F8">
        <v>0</v>
      </c>
      <c r="G8" s="5">
        <v>0</v>
      </c>
      <c r="J8" s="4">
        <v>290</v>
      </c>
      <c r="K8">
        <v>297.5</v>
      </c>
      <c r="L8" s="5">
        <v>7.5</v>
      </c>
      <c r="M8" s="4">
        <v>20.610000000000014</v>
      </c>
      <c r="N8">
        <v>16.019999999999982</v>
      </c>
      <c r="O8" s="5">
        <v>11.199999999999989</v>
      </c>
    </row>
    <row r="9" spans="2:15" x14ac:dyDescent="0.35">
      <c r="B9" s="4">
        <v>290</v>
      </c>
      <c r="C9">
        <f t="shared" si="1"/>
        <v>307.5</v>
      </c>
      <c r="D9" s="5">
        <f t="shared" si="0"/>
        <v>17.5</v>
      </c>
      <c r="E9" s="4">
        <v>0</v>
      </c>
      <c r="F9">
        <v>0</v>
      </c>
      <c r="G9" s="5">
        <v>0</v>
      </c>
      <c r="J9" s="4">
        <v>290</v>
      </c>
      <c r="K9">
        <v>285</v>
      </c>
      <c r="L9" s="5">
        <v>5</v>
      </c>
      <c r="M9" s="4">
        <v>19.460000000000036</v>
      </c>
      <c r="N9">
        <v>14.839999999999975</v>
      </c>
      <c r="O9" s="5">
        <v>10.019999999999982</v>
      </c>
    </row>
    <row r="10" spans="2:15" x14ac:dyDescent="0.35">
      <c r="B10" s="4">
        <v>290</v>
      </c>
      <c r="C10">
        <f t="shared" si="1"/>
        <v>305</v>
      </c>
      <c r="D10" s="5">
        <f t="shared" si="0"/>
        <v>15</v>
      </c>
      <c r="E10" s="4">
        <f>311.45-284.44</f>
        <v>27.009999999999991</v>
      </c>
      <c r="F10">
        <f>309.29-286.45</f>
        <v>22.840000000000032</v>
      </c>
      <c r="G10" s="5">
        <v>0</v>
      </c>
      <c r="J10" s="4">
        <v>290</v>
      </c>
      <c r="K10">
        <v>282.5</v>
      </c>
      <c r="L10" s="5">
        <v>7.5</v>
      </c>
      <c r="M10" s="4">
        <v>22.409999999999968</v>
      </c>
      <c r="N10">
        <v>18.180000000000007</v>
      </c>
      <c r="O10" s="5">
        <v>13.680000000000007</v>
      </c>
    </row>
    <row r="11" spans="2:15" ht="15" thickBot="1" x14ac:dyDescent="0.4">
      <c r="B11" s="4">
        <v>290</v>
      </c>
      <c r="C11">
        <f t="shared" si="1"/>
        <v>302.5</v>
      </c>
      <c r="D11" s="5">
        <f t="shared" si="0"/>
        <v>12.5</v>
      </c>
      <c r="E11" s="4">
        <f>309.03-284.39</f>
        <v>24.639999999999986</v>
      </c>
      <c r="F11">
        <f>306.82-286.45</f>
        <v>20.370000000000005</v>
      </c>
      <c r="G11" s="5">
        <v>0</v>
      </c>
      <c r="J11" s="6">
        <v>290</v>
      </c>
      <c r="K11" s="7">
        <v>280</v>
      </c>
      <c r="L11" s="8">
        <v>10</v>
      </c>
      <c r="M11" s="6">
        <v>25.950000000000045</v>
      </c>
      <c r="N11" s="7">
        <v>21.92999999999995</v>
      </c>
      <c r="O11" s="8"/>
    </row>
    <row r="12" spans="2:15" x14ac:dyDescent="0.35">
      <c r="B12" s="4">
        <v>290</v>
      </c>
      <c r="C12">
        <f t="shared" si="1"/>
        <v>300</v>
      </c>
      <c r="D12" s="5">
        <f t="shared" si="0"/>
        <v>10</v>
      </c>
      <c r="E12" s="4">
        <f>306.8-284.27</f>
        <v>22.53000000000003</v>
      </c>
      <c r="F12">
        <f>304.55-286.41</f>
        <v>18.139999999999986</v>
      </c>
      <c r="G12" s="5">
        <f>302.2-288.7</f>
        <v>13.5</v>
      </c>
    </row>
    <row r="13" spans="2:15" x14ac:dyDescent="0.35">
      <c r="B13" s="4">
        <v>290</v>
      </c>
      <c r="C13">
        <f t="shared" si="1"/>
        <v>297.5</v>
      </c>
      <c r="D13" s="5">
        <f t="shared" si="0"/>
        <v>7.5</v>
      </c>
      <c r="E13" s="4">
        <f>304.73-284.12</f>
        <v>20.610000000000014</v>
      </c>
      <c r="F13">
        <f>302.38-286.36</f>
        <v>16.019999999999982</v>
      </c>
      <c r="G13" s="5">
        <f>299.94-288.74</f>
        <v>11.199999999999989</v>
      </c>
    </row>
    <row r="14" spans="2:15" x14ac:dyDescent="0.35">
      <c r="B14" s="4">
        <v>290</v>
      </c>
      <c r="C14">
        <f t="shared" si="1"/>
        <v>295</v>
      </c>
      <c r="D14" s="5">
        <f t="shared" si="0"/>
        <v>5</v>
      </c>
      <c r="E14" s="4">
        <v>0</v>
      </c>
      <c r="F14">
        <v>0</v>
      </c>
      <c r="G14" s="5">
        <v>0</v>
      </c>
    </row>
    <row r="15" spans="2:15" x14ac:dyDescent="0.35">
      <c r="B15" s="4">
        <v>290</v>
      </c>
      <c r="C15">
        <f t="shared" si="1"/>
        <v>292.5</v>
      </c>
      <c r="D15" s="5">
        <f t="shared" si="0"/>
        <v>2.5</v>
      </c>
      <c r="E15" s="4">
        <v>0</v>
      </c>
      <c r="F15">
        <v>0</v>
      </c>
      <c r="G15" s="5">
        <v>0</v>
      </c>
    </row>
    <row r="16" spans="2:15" x14ac:dyDescent="0.35">
      <c r="B16" s="4">
        <v>290</v>
      </c>
      <c r="C16">
        <v>287.5</v>
      </c>
      <c r="D16" s="5">
        <f t="shared" ref="D16:D23" si="2">B16-C16</f>
        <v>2.5</v>
      </c>
      <c r="E16" s="4">
        <v>0</v>
      </c>
      <c r="F16">
        <v>0</v>
      </c>
      <c r="G16" s="5">
        <v>0</v>
      </c>
    </row>
    <row r="17" spans="2:15" x14ac:dyDescent="0.35">
      <c r="B17" s="4">
        <v>290</v>
      </c>
      <c r="C17">
        <v>285</v>
      </c>
      <c r="D17" s="5">
        <f t="shared" si="2"/>
        <v>5</v>
      </c>
      <c r="E17" s="4">
        <f>297.29-277.83</f>
        <v>19.460000000000036</v>
      </c>
      <c r="F17">
        <f>294.94-280.1</f>
        <v>14.839999999999975</v>
      </c>
      <c r="G17" s="5">
        <f>292.5-282.48</f>
        <v>10.019999999999982</v>
      </c>
    </row>
    <row r="18" spans="2:15" x14ac:dyDescent="0.35">
      <c r="B18" s="9">
        <v>290</v>
      </c>
      <c r="C18" s="10">
        <v>282.5</v>
      </c>
      <c r="D18" s="11">
        <f t="shared" si="2"/>
        <v>7.5</v>
      </c>
      <c r="E18" s="9">
        <f>296.9-274.49</f>
        <v>22.409999999999968</v>
      </c>
      <c r="F18" s="10">
        <f>294.73-276.55</f>
        <v>18.180000000000007</v>
      </c>
      <c r="G18" s="11">
        <f>292.44-278.76</f>
        <v>13.680000000000007</v>
      </c>
    </row>
    <row r="19" spans="2:15" x14ac:dyDescent="0.35">
      <c r="B19" s="4">
        <v>290</v>
      </c>
      <c r="C19">
        <v>280</v>
      </c>
      <c r="D19" s="5">
        <f t="shared" si="2"/>
        <v>10</v>
      </c>
      <c r="E19" s="4">
        <f>296.72-270.77</f>
        <v>25.950000000000045</v>
      </c>
      <c r="F19">
        <f>294.65-272.72</f>
        <v>21.92999999999995</v>
      </c>
      <c r="G19" s="5">
        <v>0</v>
      </c>
    </row>
    <row r="20" spans="2:15" x14ac:dyDescent="0.35">
      <c r="B20" s="4">
        <v>290</v>
      </c>
      <c r="C20">
        <v>277.5</v>
      </c>
      <c r="D20" s="5">
        <f t="shared" si="2"/>
        <v>12.5</v>
      </c>
      <c r="E20" s="4">
        <v>0</v>
      </c>
      <c r="F20">
        <v>0</v>
      </c>
      <c r="G20" s="5">
        <v>0</v>
      </c>
    </row>
    <row r="21" spans="2:15" x14ac:dyDescent="0.35">
      <c r="B21" s="4">
        <v>290</v>
      </c>
      <c r="C21">
        <v>275</v>
      </c>
      <c r="D21" s="5">
        <f t="shared" si="2"/>
        <v>15</v>
      </c>
      <c r="E21" s="4">
        <v>0</v>
      </c>
      <c r="F21">
        <v>0</v>
      </c>
      <c r="G21" s="5">
        <v>0</v>
      </c>
    </row>
    <row r="22" spans="2:15" x14ac:dyDescent="0.35">
      <c r="B22" s="4">
        <v>290</v>
      </c>
      <c r="C22">
        <v>272.5</v>
      </c>
      <c r="D22" s="5">
        <f t="shared" si="2"/>
        <v>17.5</v>
      </c>
      <c r="E22" s="4">
        <v>0</v>
      </c>
      <c r="F22">
        <v>0</v>
      </c>
      <c r="G22" s="5">
        <v>0</v>
      </c>
    </row>
    <row r="23" spans="2:15" ht="15" thickBot="1" x14ac:dyDescent="0.4">
      <c r="B23" s="6">
        <v>290</v>
      </c>
      <c r="C23" s="7">
        <v>270</v>
      </c>
      <c r="D23" s="8">
        <f t="shared" si="2"/>
        <v>20</v>
      </c>
      <c r="E23" s="6">
        <v>0</v>
      </c>
      <c r="F23" s="7">
        <v>0</v>
      </c>
      <c r="G23" s="8">
        <v>0</v>
      </c>
    </row>
    <row r="24" spans="2:15" ht="15" thickBot="1" x14ac:dyDescent="0.4"/>
    <row r="25" spans="2:15" ht="15" thickBot="1" x14ac:dyDescent="0.4">
      <c r="B25" s="12">
        <v>280</v>
      </c>
      <c r="C25" s="13">
        <v>270</v>
      </c>
      <c r="D25" s="14">
        <f>B25-C25</f>
        <v>10</v>
      </c>
      <c r="E25" s="13">
        <f>282.5-255.48</f>
        <v>27.02000000000001</v>
      </c>
      <c r="F25" s="13">
        <v>0</v>
      </c>
      <c r="G25" s="14">
        <v>0</v>
      </c>
      <c r="J25" s="1" t="s">
        <v>3</v>
      </c>
      <c r="K25" s="2" t="s">
        <v>4</v>
      </c>
      <c r="L25" s="3" t="s">
        <v>5</v>
      </c>
      <c r="M25" s="1" t="s">
        <v>6</v>
      </c>
      <c r="N25" s="2" t="s">
        <v>7</v>
      </c>
      <c r="O25" s="3" t="s">
        <v>8</v>
      </c>
    </row>
    <row r="26" spans="2:15" x14ac:dyDescent="0.35">
      <c r="B26" s="4">
        <v>280</v>
      </c>
      <c r="C26">
        <f t="shared" ref="C26:C49" si="3">C25+2.5</f>
        <v>272.5</v>
      </c>
      <c r="D26" s="5">
        <f>B26-C26</f>
        <v>7.5</v>
      </c>
      <c r="E26">
        <v>0</v>
      </c>
      <c r="F26">
        <v>0</v>
      </c>
      <c r="G26" s="5">
        <v>0</v>
      </c>
      <c r="J26" s="12">
        <v>280</v>
      </c>
      <c r="K26" s="13">
        <v>270</v>
      </c>
      <c r="L26" s="14">
        <v>10</v>
      </c>
      <c r="M26" s="13">
        <v>27.02000000000001</v>
      </c>
      <c r="N26" s="13"/>
      <c r="O26" s="14"/>
    </row>
    <row r="27" spans="2:15" x14ac:dyDescent="0.35">
      <c r="B27" s="4">
        <v>280</v>
      </c>
      <c r="C27">
        <f t="shared" si="3"/>
        <v>275</v>
      </c>
      <c r="D27" s="5">
        <f>B27-C27</f>
        <v>5</v>
      </c>
      <c r="E27">
        <f>282.85-262.73</f>
        <v>20.120000000000005</v>
      </c>
      <c r="F27">
        <f>280.68-264.8</f>
        <v>15.879999999999995</v>
      </c>
      <c r="G27" s="5">
        <f>277.9-266.7</f>
        <v>11.199999999999989</v>
      </c>
      <c r="J27" s="4">
        <v>280</v>
      </c>
      <c r="K27">
        <v>275</v>
      </c>
      <c r="L27" s="5">
        <v>5</v>
      </c>
      <c r="M27">
        <v>20.120000000000005</v>
      </c>
      <c r="N27">
        <v>15.879999999999995</v>
      </c>
      <c r="O27" s="5">
        <v>11.199999999999989</v>
      </c>
    </row>
    <row r="28" spans="2:15" x14ac:dyDescent="0.35">
      <c r="B28" s="4">
        <v>280</v>
      </c>
      <c r="C28">
        <f t="shared" si="3"/>
        <v>277.5</v>
      </c>
      <c r="D28" s="5">
        <f>B28-C28</f>
        <v>2.5</v>
      </c>
      <c r="E28">
        <f>282.89-263.19</f>
        <v>19.699999999999989</v>
      </c>
      <c r="F28">
        <f>280.69-265.31</f>
        <v>15.379999999999995</v>
      </c>
      <c r="G28" s="5">
        <f>277.4-267.1</f>
        <v>10.299999999999955</v>
      </c>
      <c r="J28" s="4">
        <v>280</v>
      </c>
      <c r="K28">
        <v>277.5</v>
      </c>
      <c r="L28" s="5">
        <v>2.5</v>
      </c>
      <c r="M28">
        <v>19.699999999999989</v>
      </c>
      <c r="N28">
        <v>15.379999999999995</v>
      </c>
      <c r="O28" s="5">
        <v>10.299999999999955</v>
      </c>
    </row>
    <row r="29" spans="2:15" x14ac:dyDescent="0.35">
      <c r="B29" s="4">
        <v>280</v>
      </c>
      <c r="C29">
        <f t="shared" si="3"/>
        <v>280</v>
      </c>
      <c r="D29" s="5">
        <f>B29-C29</f>
        <v>0</v>
      </c>
      <c r="E29">
        <f>284.1-268.7</f>
        <v>15.400000000000034</v>
      </c>
      <c r="F29">
        <f>282-270.8</f>
        <v>11.199999999999989</v>
      </c>
      <c r="G29" s="5">
        <f>279.5-273.3</f>
        <v>6.1999999999999886</v>
      </c>
      <c r="J29" s="4">
        <v>280</v>
      </c>
      <c r="K29">
        <v>282.5</v>
      </c>
      <c r="L29" s="5">
        <v>2.5</v>
      </c>
      <c r="M29">
        <v>17.600000000000023</v>
      </c>
      <c r="N29">
        <v>12.79000000000002</v>
      </c>
      <c r="O29" s="5">
        <v>7.5</v>
      </c>
    </row>
    <row r="30" spans="2:15" x14ac:dyDescent="0.35">
      <c r="B30" s="4">
        <v>280</v>
      </c>
      <c r="C30">
        <f t="shared" si="3"/>
        <v>282.5</v>
      </c>
      <c r="D30" s="5">
        <f t="shared" ref="D30:D49" si="4">-B30+C30</f>
        <v>2.5</v>
      </c>
      <c r="E30">
        <f>287.1-269.5</f>
        <v>17.600000000000023</v>
      </c>
      <c r="F30">
        <f>285.07-272.28</f>
        <v>12.79000000000002</v>
      </c>
      <c r="G30" s="5">
        <f>281.6-274.1</f>
        <v>7.5</v>
      </c>
      <c r="J30" s="4">
        <v>280</v>
      </c>
      <c r="K30">
        <v>285</v>
      </c>
      <c r="L30" s="5">
        <v>5</v>
      </c>
      <c r="M30">
        <v>20.139999999999986</v>
      </c>
      <c r="N30">
        <v>15.79000000000002</v>
      </c>
      <c r="O30" s="5">
        <v>11.399999999999977</v>
      </c>
    </row>
    <row r="31" spans="2:15" x14ac:dyDescent="0.35">
      <c r="B31" s="4">
        <v>280</v>
      </c>
      <c r="C31">
        <f t="shared" si="3"/>
        <v>285</v>
      </c>
      <c r="D31" s="5">
        <f t="shared" si="4"/>
        <v>5</v>
      </c>
      <c r="E31">
        <f>290.63-270.49</f>
        <v>20.139999999999986</v>
      </c>
      <c r="F31">
        <f>288.42-272.63</f>
        <v>15.79000000000002</v>
      </c>
      <c r="G31" s="5">
        <f>285.7-274.3</f>
        <v>11.399999999999977</v>
      </c>
      <c r="J31" s="4">
        <v>280</v>
      </c>
      <c r="K31">
        <v>287.5</v>
      </c>
      <c r="L31" s="5">
        <v>7.5</v>
      </c>
      <c r="M31">
        <v>29.760000000000019</v>
      </c>
      <c r="O31" s="5"/>
    </row>
    <row r="32" spans="2:15" x14ac:dyDescent="0.35">
      <c r="B32" s="4">
        <v>280</v>
      </c>
      <c r="C32">
        <f t="shared" si="3"/>
        <v>287.5</v>
      </c>
      <c r="D32" s="5">
        <f t="shared" si="4"/>
        <v>7.5</v>
      </c>
      <c r="E32">
        <f>282.36-252.6</f>
        <v>29.760000000000019</v>
      </c>
      <c r="F32">
        <v>0</v>
      </c>
      <c r="G32" s="5">
        <v>0</v>
      </c>
      <c r="J32" s="4">
        <v>280</v>
      </c>
      <c r="K32">
        <v>290</v>
      </c>
      <c r="L32" s="5">
        <v>10</v>
      </c>
      <c r="M32">
        <v>25.950000000000045</v>
      </c>
      <c r="N32">
        <v>21.92999999999995</v>
      </c>
      <c r="O32" s="5"/>
    </row>
    <row r="33" spans="2:15" x14ac:dyDescent="0.35">
      <c r="B33" s="4">
        <v>280</v>
      </c>
      <c r="C33">
        <f t="shared" si="3"/>
        <v>290</v>
      </c>
      <c r="D33" s="5">
        <f t="shared" si="4"/>
        <v>10</v>
      </c>
      <c r="E33">
        <f>296.72-270.77</f>
        <v>25.950000000000045</v>
      </c>
      <c r="F33">
        <f>294.65-272.72</f>
        <v>21.92999999999995</v>
      </c>
      <c r="G33" s="5">
        <v>0</v>
      </c>
      <c r="J33" s="4">
        <v>280</v>
      </c>
      <c r="K33">
        <v>292.5</v>
      </c>
      <c r="L33" s="5">
        <v>12.5</v>
      </c>
      <c r="M33">
        <v>26.079999999999984</v>
      </c>
      <c r="N33">
        <v>22.199999999999989</v>
      </c>
      <c r="O33" s="5"/>
    </row>
    <row r="34" spans="2:15" x14ac:dyDescent="0.35">
      <c r="B34" s="4">
        <v>280</v>
      </c>
      <c r="C34">
        <f t="shared" si="3"/>
        <v>292.5</v>
      </c>
      <c r="D34" s="5">
        <f t="shared" si="4"/>
        <v>12.5</v>
      </c>
      <c r="E34">
        <f>282.46-256.38</f>
        <v>26.079999999999984</v>
      </c>
      <c r="F34">
        <f>280.49-258.29</f>
        <v>22.199999999999989</v>
      </c>
      <c r="G34" s="5">
        <v>0</v>
      </c>
      <c r="J34" s="4">
        <v>280</v>
      </c>
      <c r="K34">
        <v>295</v>
      </c>
      <c r="L34" s="5">
        <v>15</v>
      </c>
      <c r="M34">
        <v>23.740000000000009</v>
      </c>
      <c r="N34">
        <v>19.759999999999991</v>
      </c>
      <c r="O34" s="5"/>
    </row>
    <row r="35" spans="2:15" ht="15" thickBot="1" x14ac:dyDescent="0.4">
      <c r="B35" s="4">
        <v>280</v>
      </c>
      <c r="C35">
        <f t="shared" si="3"/>
        <v>295</v>
      </c>
      <c r="D35" s="5">
        <f t="shared" si="4"/>
        <v>15</v>
      </c>
      <c r="E35">
        <f>282.49-258.75</f>
        <v>23.740000000000009</v>
      </c>
      <c r="F35">
        <f>280.44-260.68</f>
        <v>19.759999999999991</v>
      </c>
      <c r="G35" s="5">
        <v>0</v>
      </c>
      <c r="J35" s="6">
        <v>280</v>
      </c>
      <c r="K35" s="7">
        <v>307.5</v>
      </c>
      <c r="L35" s="8">
        <v>27.5</v>
      </c>
      <c r="M35" s="7">
        <v>19.039999999999964</v>
      </c>
      <c r="N35" s="7">
        <v>14.649999999999977</v>
      </c>
      <c r="O35" s="8">
        <v>10.300000000000011</v>
      </c>
    </row>
    <row r="36" spans="2:15" x14ac:dyDescent="0.35">
      <c r="B36" s="4">
        <v>280</v>
      </c>
      <c r="C36">
        <f t="shared" si="3"/>
        <v>297.5</v>
      </c>
      <c r="D36" s="5">
        <f t="shared" si="4"/>
        <v>17.5</v>
      </c>
      <c r="E36">
        <v>0</v>
      </c>
      <c r="F36">
        <v>0</v>
      </c>
      <c r="G36" s="5">
        <v>0</v>
      </c>
      <c r="J36" s="4">
        <v>280</v>
      </c>
      <c r="K36">
        <v>280</v>
      </c>
      <c r="L36" s="5">
        <v>0</v>
      </c>
      <c r="M36">
        <v>15.400000000000034</v>
      </c>
      <c r="N36">
        <v>11.199999999999989</v>
      </c>
      <c r="O36" s="5">
        <v>6.1999999999999886</v>
      </c>
    </row>
    <row r="37" spans="2:15" x14ac:dyDescent="0.35">
      <c r="B37" s="4">
        <v>280</v>
      </c>
      <c r="C37">
        <f t="shared" si="3"/>
        <v>300</v>
      </c>
      <c r="D37" s="5">
        <f t="shared" si="4"/>
        <v>20</v>
      </c>
      <c r="E37">
        <v>0</v>
      </c>
      <c r="F37">
        <v>0</v>
      </c>
      <c r="G37" s="5">
        <v>0</v>
      </c>
    </row>
    <row r="38" spans="2:15" x14ac:dyDescent="0.35">
      <c r="B38" s="4">
        <v>280</v>
      </c>
      <c r="C38">
        <f t="shared" si="3"/>
        <v>302.5</v>
      </c>
      <c r="D38" s="5">
        <f t="shared" si="4"/>
        <v>22.5</v>
      </c>
      <c r="E38">
        <v>0</v>
      </c>
      <c r="F38">
        <v>0</v>
      </c>
      <c r="G38" s="5">
        <v>0</v>
      </c>
    </row>
    <row r="39" spans="2:15" x14ac:dyDescent="0.35">
      <c r="B39" s="4">
        <v>280</v>
      </c>
      <c r="C39">
        <f t="shared" si="3"/>
        <v>305</v>
      </c>
      <c r="D39" s="5">
        <f t="shared" si="4"/>
        <v>25</v>
      </c>
      <c r="E39">
        <v>0</v>
      </c>
      <c r="F39">
        <v>0</v>
      </c>
      <c r="G39" s="5">
        <v>0</v>
      </c>
    </row>
    <row r="40" spans="2:15" x14ac:dyDescent="0.35">
      <c r="B40" s="4">
        <v>280</v>
      </c>
      <c r="C40">
        <f t="shared" si="3"/>
        <v>307.5</v>
      </c>
      <c r="D40" s="5">
        <f t="shared" si="4"/>
        <v>27.5</v>
      </c>
      <c r="E40">
        <f>282.84-263.8</f>
        <v>19.039999999999964</v>
      </c>
      <c r="F40">
        <f>280.59-265.94</f>
        <v>14.649999999999977</v>
      </c>
      <c r="G40" s="5">
        <f>278.2-267.9</f>
        <v>10.300000000000011</v>
      </c>
    </row>
    <row r="41" spans="2:15" x14ac:dyDescent="0.35">
      <c r="B41" s="4">
        <v>280</v>
      </c>
      <c r="C41">
        <f t="shared" si="3"/>
        <v>310</v>
      </c>
      <c r="D41" s="5">
        <f t="shared" si="4"/>
        <v>30</v>
      </c>
      <c r="E41">
        <v>0</v>
      </c>
      <c r="F41">
        <v>0</v>
      </c>
      <c r="G41" s="5">
        <v>0</v>
      </c>
    </row>
    <row r="42" spans="2:15" x14ac:dyDescent="0.35">
      <c r="B42" s="4">
        <v>280</v>
      </c>
      <c r="C42">
        <f t="shared" si="3"/>
        <v>312.5</v>
      </c>
      <c r="D42" s="5">
        <f t="shared" si="4"/>
        <v>32.5</v>
      </c>
      <c r="E42">
        <v>0</v>
      </c>
      <c r="F42">
        <v>0</v>
      </c>
      <c r="G42" s="5">
        <v>0</v>
      </c>
    </row>
    <row r="43" spans="2:15" x14ac:dyDescent="0.35">
      <c r="B43" s="4">
        <v>280</v>
      </c>
      <c r="C43">
        <f t="shared" si="3"/>
        <v>315</v>
      </c>
      <c r="D43" s="5">
        <f t="shared" si="4"/>
        <v>35</v>
      </c>
      <c r="E43">
        <v>0</v>
      </c>
      <c r="F43">
        <v>0</v>
      </c>
      <c r="G43" s="5">
        <v>0</v>
      </c>
    </row>
    <row r="44" spans="2:15" x14ac:dyDescent="0.35">
      <c r="B44" s="4">
        <v>280</v>
      </c>
      <c r="C44">
        <f t="shared" si="3"/>
        <v>317.5</v>
      </c>
      <c r="D44" s="5">
        <f t="shared" si="4"/>
        <v>37.5</v>
      </c>
      <c r="E44">
        <v>0</v>
      </c>
      <c r="F44">
        <v>0</v>
      </c>
      <c r="G44" s="5">
        <v>0</v>
      </c>
    </row>
    <row r="45" spans="2:15" x14ac:dyDescent="0.35">
      <c r="B45" s="4">
        <v>280</v>
      </c>
      <c r="C45">
        <f t="shared" si="3"/>
        <v>320</v>
      </c>
      <c r="D45" s="5">
        <f t="shared" si="4"/>
        <v>40</v>
      </c>
      <c r="E45">
        <v>0</v>
      </c>
      <c r="F45">
        <v>0</v>
      </c>
      <c r="G45" s="5">
        <v>0</v>
      </c>
    </row>
    <row r="46" spans="2:15" x14ac:dyDescent="0.35">
      <c r="B46" s="4">
        <v>280</v>
      </c>
      <c r="C46">
        <f t="shared" si="3"/>
        <v>322.5</v>
      </c>
      <c r="D46" s="5">
        <f t="shared" si="4"/>
        <v>42.5</v>
      </c>
      <c r="E46">
        <v>0</v>
      </c>
      <c r="F46">
        <v>0</v>
      </c>
      <c r="G46" s="5">
        <v>0</v>
      </c>
    </row>
    <row r="47" spans="2:15" x14ac:dyDescent="0.35">
      <c r="B47" s="4">
        <v>280</v>
      </c>
      <c r="C47">
        <f t="shared" si="3"/>
        <v>325</v>
      </c>
      <c r="D47" s="5">
        <f t="shared" si="4"/>
        <v>45</v>
      </c>
      <c r="E47">
        <v>0</v>
      </c>
      <c r="F47">
        <v>0</v>
      </c>
      <c r="G47" s="5">
        <v>0</v>
      </c>
    </row>
    <row r="48" spans="2:15" x14ac:dyDescent="0.35">
      <c r="B48" s="4">
        <v>280</v>
      </c>
      <c r="C48">
        <f t="shared" si="3"/>
        <v>327.5</v>
      </c>
      <c r="D48" s="5">
        <f t="shared" si="4"/>
        <v>47.5</v>
      </c>
      <c r="E48">
        <v>0</v>
      </c>
      <c r="F48">
        <v>0</v>
      </c>
      <c r="G48" s="5">
        <v>0</v>
      </c>
    </row>
    <row r="49" spans="2:15" ht="15" thickBot="1" x14ac:dyDescent="0.4">
      <c r="B49" s="6">
        <v>280</v>
      </c>
      <c r="C49" s="7">
        <f t="shared" si="3"/>
        <v>330</v>
      </c>
      <c r="D49" s="8">
        <f t="shared" si="4"/>
        <v>50</v>
      </c>
      <c r="E49" s="7">
        <v>0</v>
      </c>
      <c r="F49" s="7">
        <v>0</v>
      </c>
      <c r="G49" s="8">
        <v>0</v>
      </c>
    </row>
    <row r="50" spans="2:15" ht="15" thickBot="1" x14ac:dyDescent="0.4"/>
    <row r="51" spans="2:15" ht="15" thickBot="1" x14ac:dyDescent="0.4">
      <c r="B51" s="12">
        <v>270</v>
      </c>
      <c r="C51" s="13">
        <v>272.5</v>
      </c>
      <c r="D51" s="14">
        <f t="shared" ref="D51:D74" si="5">C51-B51</f>
        <v>2.5</v>
      </c>
      <c r="E51" s="12">
        <f>267.06-247.71</f>
        <v>19.349999999999994</v>
      </c>
      <c r="F51" s="13">
        <f>264.97-249.7</f>
        <v>15.270000000000039</v>
      </c>
      <c r="G51" s="14">
        <f>262.81-251.8</f>
        <v>11.009999999999991</v>
      </c>
      <c r="J51" s="1" t="s">
        <v>3</v>
      </c>
      <c r="K51" s="2" t="s">
        <v>4</v>
      </c>
      <c r="L51" s="3" t="s">
        <v>5</v>
      </c>
      <c r="M51" s="2" t="s">
        <v>6</v>
      </c>
      <c r="N51" s="2" t="s">
        <v>7</v>
      </c>
      <c r="O51" s="3" t="s">
        <v>8</v>
      </c>
    </row>
    <row r="52" spans="2:15" x14ac:dyDescent="0.35">
      <c r="B52" s="4">
        <v>270</v>
      </c>
      <c r="C52">
        <f t="shared" ref="C52:C74" si="6">C51+2.5</f>
        <v>275</v>
      </c>
      <c r="D52" s="5">
        <f t="shared" si="5"/>
        <v>5</v>
      </c>
      <c r="E52" s="4">
        <f>274.82-255.18</f>
        <v>19.639999999999986</v>
      </c>
      <c r="F52">
        <f>272.69-257.23</f>
        <v>15.45999999999998</v>
      </c>
      <c r="G52" s="5">
        <f>270.48-259.4</f>
        <v>11.080000000000041</v>
      </c>
      <c r="J52" s="4">
        <v>270</v>
      </c>
      <c r="K52">
        <v>272.5</v>
      </c>
      <c r="L52" s="5">
        <v>2.5</v>
      </c>
      <c r="M52">
        <v>19.349999999999994</v>
      </c>
      <c r="N52">
        <v>15.270000000000039</v>
      </c>
      <c r="O52" s="5">
        <v>11.009999999999991</v>
      </c>
    </row>
    <row r="53" spans="2:15" x14ac:dyDescent="0.35">
      <c r="B53" s="4">
        <v>270</v>
      </c>
      <c r="C53">
        <f t="shared" si="6"/>
        <v>277.5</v>
      </c>
      <c r="D53" s="5">
        <f t="shared" si="5"/>
        <v>7.5</v>
      </c>
      <c r="E53" s="4">
        <f>275.44-255.19</f>
        <v>20.25</v>
      </c>
      <c r="F53">
        <f>273.32-257.22</f>
        <v>16.099999999999966</v>
      </c>
      <c r="G53" s="5">
        <f>271.1-259.37</f>
        <v>11.730000000000018</v>
      </c>
      <c r="J53" s="4">
        <v>270</v>
      </c>
      <c r="K53">
        <v>275</v>
      </c>
      <c r="L53" s="5">
        <v>5</v>
      </c>
      <c r="M53">
        <v>19.639999999999986</v>
      </c>
      <c r="N53">
        <v>15.45999999999998</v>
      </c>
      <c r="O53" s="5">
        <v>11.080000000000041</v>
      </c>
    </row>
    <row r="54" spans="2:15" x14ac:dyDescent="0.35">
      <c r="B54" s="4">
        <v>270</v>
      </c>
      <c r="C54">
        <f t="shared" si="6"/>
        <v>280</v>
      </c>
      <c r="D54" s="5">
        <f t="shared" si="5"/>
        <v>10</v>
      </c>
      <c r="E54" s="4">
        <f>282.5-255.48</f>
        <v>27.02000000000001</v>
      </c>
      <c r="F54">
        <v>0</v>
      </c>
      <c r="G54" s="5">
        <v>0</v>
      </c>
      <c r="J54" s="4">
        <v>270</v>
      </c>
      <c r="K54">
        <v>277.5</v>
      </c>
      <c r="L54" s="5">
        <v>7.5</v>
      </c>
      <c r="M54">
        <v>20.25</v>
      </c>
      <c r="N54">
        <v>16.099999999999966</v>
      </c>
      <c r="O54" s="5">
        <v>11.730000000000018</v>
      </c>
    </row>
    <row r="55" spans="2:15" x14ac:dyDescent="0.35">
      <c r="B55" s="4">
        <v>270</v>
      </c>
      <c r="C55">
        <f t="shared" si="6"/>
        <v>282.5</v>
      </c>
      <c r="D55" s="5">
        <f t="shared" si="5"/>
        <v>12.5</v>
      </c>
      <c r="E55" s="4">
        <v>0</v>
      </c>
      <c r="F55">
        <v>0</v>
      </c>
      <c r="G55" s="5">
        <v>0</v>
      </c>
      <c r="J55" s="4">
        <v>270</v>
      </c>
      <c r="K55">
        <v>280</v>
      </c>
      <c r="L55" s="5">
        <v>10</v>
      </c>
      <c r="M55">
        <v>27.02000000000001</v>
      </c>
      <c r="O55" s="5"/>
    </row>
    <row r="56" spans="2:15" x14ac:dyDescent="0.35">
      <c r="B56" s="4">
        <v>270</v>
      </c>
      <c r="C56">
        <f t="shared" si="6"/>
        <v>285</v>
      </c>
      <c r="D56" s="5">
        <f t="shared" si="5"/>
        <v>15</v>
      </c>
      <c r="E56" s="4">
        <v>0</v>
      </c>
      <c r="F56">
        <v>0</v>
      </c>
      <c r="G56" s="5">
        <v>0</v>
      </c>
      <c r="J56" s="4">
        <v>270</v>
      </c>
      <c r="K56">
        <v>287.5</v>
      </c>
      <c r="L56" s="5">
        <v>17.5</v>
      </c>
      <c r="M56">
        <v>16.370000000000005</v>
      </c>
      <c r="N56">
        <v>11.710000000000008</v>
      </c>
      <c r="O56" s="5">
        <v>6.7200000000000273</v>
      </c>
    </row>
    <row r="57" spans="2:15" x14ac:dyDescent="0.35">
      <c r="B57" s="4">
        <v>270</v>
      </c>
      <c r="C57">
        <f t="shared" si="6"/>
        <v>287.5</v>
      </c>
      <c r="D57" s="5">
        <f t="shared" si="5"/>
        <v>17.5</v>
      </c>
      <c r="E57" s="4">
        <f>267.8-251.43</f>
        <v>16.370000000000005</v>
      </c>
      <c r="F57">
        <f>265.44-253.73</f>
        <v>11.710000000000008</v>
      </c>
      <c r="G57" s="5">
        <f>262.92-256.2</f>
        <v>6.7200000000000273</v>
      </c>
      <c r="J57" s="4">
        <v>270</v>
      </c>
      <c r="K57">
        <v>292.5</v>
      </c>
      <c r="L57" s="5">
        <v>22.5</v>
      </c>
      <c r="M57">
        <v>16.079999999999984</v>
      </c>
      <c r="N57">
        <v>11.230999999999995</v>
      </c>
      <c r="O57" s="5">
        <v>5.9399999999999977</v>
      </c>
    </row>
    <row r="58" spans="2:15" x14ac:dyDescent="0.35">
      <c r="B58" s="4">
        <v>270</v>
      </c>
      <c r="C58">
        <f t="shared" si="6"/>
        <v>290</v>
      </c>
      <c r="D58" s="5">
        <f t="shared" si="5"/>
        <v>20</v>
      </c>
      <c r="E58" s="4">
        <v>0</v>
      </c>
      <c r="F58">
        <v>0</v>
      </c>
      <c r="G58" s="5">
        <v>0</v>
      </c>
      <c r="J58" s="4">
        <v>270</v>
      </c>
      <c r="K58">
        <v>295</v>
      </c>
      <c r="L58" s="5">
        <v>25</v>
      </c>
      <c r="M58">
        <v>16.429999999999978</v>
      </c>
      <c r="N58">
        <v>12.25</v>
      </c>
      <c r="O58" s="5">
        <v>7.0999999999999659</v>
      </c>
    </row>
    <row r="59" spans="2:15" ht="15" thickBot="1" x14ac:dyDescent="0.4">
      <c r="B59" s="4">
        <v>270</v>
      </c>
      <c r="C59">
        <f t="shared" si="6"/>
        <v>292.5</v>
      </c>
      <c r="D59" s="5">
        <f t="shared" si="5"/>
        <v>22.5</v>
      </c>
      <c r="E59" s="4">
        <f>269.7-253.62</f>
        <v>16.079999999999984</v>
      </c>
      <c r="F59">
        <f>267.24-256.009</f>
        <v>11.230999999999995</v>
      </c>
      <c r="G59" s="5">
        <f>264.56-258.62</f>
        <v>5.9399999999999977</v>
      </c>
      <c r="J59" s="6">
        <v>270</v>
      </c>
      <c r="K59" s="7">
        <v>307.5</v>
      </c>
      <c r="L59" s="8">
        <v>37.5</v>
      </c>
      <c r="M59" s="7">
        <v>20.870000000000005</v>
      </c>
      <c r="N59" s="7">
        <v>16.800000000000011</v>
      </c>
      <c r="O59" s="8">
        <v>13</v>
      </c>
    </row>
    <row r="60" spans="2:15" x14ac:dyDescent="0.35">
      <c r="B60" s="4">
        <v>270</v>
      </c>
      <c r="C60">
        <f t="shared" si="6"/>
        <v>295</v>
      </c>
      <c r="D60" s="5">
        <f t="shared" si="5"/>
        <v>25</v>
      </c>
      <c r="E60" s="4">
        <f>271.33-254.9</f>
        <v>16.429999999999978</v>
      </c>
      <c r="F60">
        <f>268.9-256.65</f>
        <v>12.25</v>
      </c>
      <c r="G60" s="5">
        <f>265.9-258.8</f>
        <v>7.0999999999999659</v>
      </c>
    </row>
    <row r="61" spans="2:15" x14ac:dyDescent="0.35">
      <c r="B61" s="4">
        <v>270</v>
      </c>
      <c r="C61">
        <f t="shared" si="6"/>
        <v>297.5</v>
      </c>
      <c r="D61" s="5">
        <f t="shared" si="5"/>
        <v>27.5</v>
      </c>
      <c r="E61" s="4">
        <v>0</v>
      </c>
      <c r="F61">
        <v>0</v>
      </c>
      <c r="G61" s="5">
        <v>0</v>
      </c>
    </row>
    <row r="62" spans="2:15" x14ac:dyDescent="0.35">
      <c r="B62" s="4">
        <v>270</v>
      </c>
      <c r="C62">
        <f t="shared" si="6"/>
        <v>300</v>
      </c>
      <c r="D62" s="5">
        <f t="shared" si="5"/>
        <v>30</v>
      </c>
      <c r="E62" s="4">
        <v>0</v>
      </c>
      <c r="F62">
        <v>0</v>
      </c>
      <c r="G62" s="5">
        <v>0</v>
      </c>
    </row>
    <row r="63" spans="2:15" x14ac:dyDescent="0.35">
      <c r="B63" s="4">
        <v>270</v>
      </c>
      <c r="C63">
        <f t="shared" si="6"/>
        <v>302.5</v>
      </c>
      <c r="D63" s="5">
        <f t="shared" si="5"/>
        <v>32.5</v>
      </c>
      <c r="E63" s="4">
        <v>0</v>
      </c>
      <c r="F63">
        <v>0</v>
      </c>
      <c r="G63" s="5">
        <v>0</v>
      </c>
    </row>
    <row r="64" spans="2:15" x14ac:dyDescent="0.35">
      <c r="B64" s="4">
        <v>270</v>
      </c>
      <c r="C64">
        <f t="shared" si="6"/>
        <v>305</v>
      </c>
      <c r="D64" s="5">
        <f t="shared" si="5"/>
        <v>35</v>
      </c>
      <c r="E64" s="4">
        <v>0</v>
      </c>
      <c r="F64">
        <v>0</v>
      </c>
      <c r="G64" s="5">
        <v>0</v>
      </c>
    </row>
    <row r="65" spans="2:15" x14ac:dyDescent="0.35">
      <c r="B65" s="4">
        <v>270</v>
      </c>
      <c r="C65">
        <f t="shared" si="6"/>
        <v>307.5</v>
      </c>
      <c r="D65" s="5">
        <f t="shared" si="5"/>
        <v>37.5</v>
      </c>
      <c r="E65" s="4">
        <f>276.01-255.14</f>
        <v>20.870000000000005</v>
      </c>
      <c r="F65">
        <f>273.93-257.13</f>
        <v>16.800000000000011</v>
      </c>
      <c r="G65" s="5">
        <f>271.9-258.9</f>
        <v>13</v>
      </c>
    </row>
    <row r="66" spans="2:15" x14ac:dyDescent="0.35">
      <c r="B66" s="4">
        <v>270</v>
      </c>
      <c r="C66">
        <f t="shared" si="6"/>
        <v>310</v>
      </c>
      <c r="D66" s="5">
        <f t="shared" si="5"/>
        <v>40</v>
      </c>
      <c r="E66" s="4">
        <v>0</v>
      </c>
      <c r="F66">
        <v>0</v>
      </c>
      <c r="G66" s="5">
        <v>0</v>
      </c>
    </row>
    <row r="67" spans="2:15" x14ac:dyDescent="0.35">
      <c r="B67" s="4">
        <v>270</v>
      </c>
      <c r="C67">
        <f t="shared" si="6"/>
        <v>312.5</v>
      </c>
      <c r="D67" s="5">
        <f t="shared" si="5"/>
        <v>42.5</v>
      </c>
      <c r="E67" s="4">
        <v>0</v>
      </c>
      <c r="F67">
        <v>0</v>
      </c>
      <c r="G67" s="5">
        <v>0</v>
      </c>
    </row>
    <row r="68" spans="2:15" x14ac:dyDescent="0.35">
      <c r="B68" s="4">
        <v>270</v>
      </c>
      <c r="C68">
        <f t="shared" si="6"/>
        <v>315</v>
      </c>
      <c r="D68" s="5">
        <f t="shared" si="5"/>
        <v>45</v>
      </c>
      <c r="E68" s="4">
        <v>0</v>
      </c>
      <c r="F68">
        <v>0</v>
      </c>
      <c r="G68" s="5">
        <v>0</v>
      </c>
    </row>
    <row r="69" spans="2:15" x14ac:dyDescent="0.35">
      <c r="B69" s="4">
        <v>270</v>
      </c>
      <c r="C69">
        <f t="shared" si="6"/>
        <v>317.5</v>
      </c>
      <c r="D69" s="5">
        <f t="shared" si="5"/>
        <v>47.5</v>
      </c>
      <c r="E69" s="4">
        <v>0</v>
      </c>
      <c r="F69">
        <v>0</v>
      </c>
      <c r="G69" s="5">
        <v>0</v>
      </c>
    </row>
    <row r="70" spans="2:15" x14ac:dyDescent="0.35">
      <c r="B70" s="4">
        <v>270</v>
      </c>
      <c r="C70">
        <f t="shared" si="6"/>
        <v>320</v>
      </c>
      <c r="D70" s="5">
        <f t="shared" si="5"/>
        <v>50</v>
      </c>
      <c r="E70" s="4">
        <v>0</v>
      </c>
      <c r="F70">
        <v>0</v>
      </c>
      <c r="G70" s="5">
        <v>0</v>
      </c>
    </row>
    <row r="71" spans="2:15" x14ac:dyDescent="0.35">
      <c r="B71" s="4">
        <v>270</v>
      </c>
      <c r="C71">
        <f t="shared" si="6"/>
        <v>322.5</v>
      </c>
      <c r="D71" s="5">
        <f t="shared" si="5"/>
        <v>52.5</v>
      </c>
      <c r="E71" s="4">
        <v>0</v>
      </c>
      <c r="F71">
        <v>0</v>
      </c>
      <c r="G71" s="5">
        <v>0</v>
      </c>
    </row>
    <row r="72" spans="2:15" x14ac:dyDescent="0.35">
      <c r="B72" s="4">
        <v>270</v>
      </c>
      <c r="C72">
        <f t="shared" si="6"/>
        <v>325</v>
      </c>
      <c r="D72" s="5">
        <f t="shared" si="5"/>
        <v>55</v>
      </c>
      <c r="E72" s="4">
        <v>0</v>
      </c>
      <c r="F72">
        <v>0</v>
      </c>
      <c r="G72" s="5">
        <v>0</v>
      </c>
    </row>
    <row r="73" spans="2:15" x14ac:dyDescent="0.35">
      <c r="B73" s="4">
        <v>270</v>
      </c>
      <c r="C73">
        <f t="shared" si="6"/>
        <v>327.5</v>
      </c>
      <c r="D73" s="5">
        <f t="shared" si="5"/>
        <v>57.5</v>
      </c>
      <c r="E73" s="4">
        <v>0</v>
      </c>
      <c r="F73">
        <v>0</v>
      </c>
      <c r="G73" s="5">
        <v>0</v>
      </c>
    </row>
    <row r="74" spans="2:15" ht="15" thickBot="1" x14ac:dyDescent="0.4">
      <c r="B74" s="6">
        <v>270</v>
      </c>
      <c r="C74" s="7">
        <f t="shared" si="6"/>
        <v>330</v>
      </c>
      <c r="D74" s="8">
        <f t="shared" si="5"/>
        <v>60</v>
      </c>
      <c r="E74" s="6">
        <v>0</v>
      </c>
      <c r="F74" s="7">
        <v>0</v>
      </c>
      <c r="G74" s="8">
        <v>0</v>
      </c>
    </row>
    <row r="75" spans="2:15" ht="15" thickBot="1" x14ac:dyDescent="0.4"/>
    <row r="76" spans="2:15" ht="15" thickBot="1" x14ac:dyDescent="0.4">
      <c r="B76" s="12">
        <v>300</v>
      </c>
      <c r="C76" s="13">
        <f>270</f>
        <v>270</v>
      </c>
      <c r="D76" s="14">
        <f t="shared" ref="D76:D88" si="7">B76-C76</f>
        <v>30</v>
      </c>
      <c r="E76" s="13">
        <v>0</v>
      </c>
      <c r="F76" s="13">
        <v>0</v>
      </c>
      <c r="G76" s="14">
        <v>0</v>
      </c>
      <c r="J76" s="1" t="s">
        <v>3</v>
      </c>
      <c r="K76" s="2" t="s">
        <v>4</v>
      </c>
      <c r="L76" s="3" t="s">
        <v>5</v>
      </c>
      <c r="M76" s="2" t="s">
        <v>6</v>
      </c>
      <c r="N76" s="2" t="s">
        <v>7</v>
      </c>
      <c r="O76" s="3" t="s">
        <v>8</v>
      </c>
    </row>
    <row r="77" spans="2:15" x14ac:dyDescent="0.35">
      <c r="B77" s="4">
        <v>300</v>
      </c>
      <c r="C77">
        <f t="shared" ref="C77:C100" si="8">C76+2.5</f>
        <v>272.5</v>
      </c>
      <c r="D77" s="5">
        <f t="shared" si="7"/>
        <v>27.5</v>
      </c>
      <c r="E77">
        <v>0</v>
      </c>
      <c r="F77">
        <v>0</v>
      </c>
      <c r="G77" s="5">
        <v>0</v>
      </c>
      <c r="J77" s="12">
        <v>300</v>
      </c>
      <c r="K77" s="13">
        <v>285</v>
      </c>
      <c r="L77" s="14">
        <v>15</v>
      </c>
      <c r="M77" s="13">
        <v>28.28000000000003</v>
      </c>
      <c r="N77" s="13"/>
      <c r="O77" s="14"/>
    </row>
    <row r="78" spans="2:15" x14ac:dyDescent="0.35">
      <c r="B78" s="4">
        <v>300</v>
      </c>
      <c r="C78">
        <f t="shared" si="8"/>
        <v>275</v>
      </c>
      <c r="D78" s="5">
        <f t="shared" si="7"/>
        <v>25</v>
      </c>
      <c r="E78">
        <v>0</v>
      </c>
      <c r="F78">
        <v>0</v>
      </c>
      <c r="G78" s="5">
        <v>0</v>
      </c>
      <c r="J78" s="4">
        <v>300</v>
      </c>
      <c r="K78">
        <v>287.5</v>
      </c>
      <c r="L78" s="5">
        <v>12.5</v>
      </c>
      <c r="O78" s="5"/>
    </row>
    <row r="79" spans="2:15" x14ac:dyDescent="0.35">
      <c r="B79" s="4">
        <v>300</v>
      </c>
      <c r="C79">
        <f t="shared" si="8"/>
        <v>277.5</v>
      </c>
      <c r="D79" s="5">
        <f t="shared" si="7"/>
        <v>22.5</v>
      </c>
      <c r="E79">
        <v>0</v>
      </c>
      <c r="F79">
        <v>0</v>
      </c>
      <c r="G79" s="5">
        <v>0</v>
      </c>
      <c r="J79" s="4">
        <v>300</v>
      </c>
      <c r="K79">
        <v>290</v>
      </c>
      <c r="L79" s="5">
        <v>10</v>
      </c>
      <c r="M79">
        <v>22.53000000000003</v>
      </c>
      <c r="N79">
        <v>18.139999999999986</v>
      </c>
      <c r="O79" s="5">
        <v>13.5</v>
      </c>
    </row>
    <row r="80" spans="2:15" x14ac:dyDescent="0.35">
      <c r="B80" s="4">
        <v>300</v>
      </c>
      <c r="C80">
        <f t="shared" si="8"/>
        <v>280</v>
      </c>
      <c r="D80" s="5">
        <f t="shared" si="7"/>
        <v>20</v>
      </c>
      <c r="E80">
        <v>0</v>
      </c>
      <c r="F80">
        <v>0</v>
      </c>
      <c r="G80" s="5">
        <v>0</v>
      </c>
      <c r="J80" s="4">
        <v>300</v>
      </c>
      <c r="K80">
        <v>297.5</v>
      </c>
      <c r="L80" s="5">
        <v>2.5</v>
      </c>
      <c r="M80">
        <v>18</v>
      </c>
      <c r="N80">
        <v>13</v>
      </c>
      <c r="O80" s="5">
        <v>6.9900000000000091</v>
      </c>
    </row>
    <row r="81" spans="2:15" x14ac:dyDescent="0.35">
      <c r="B81" s="4">
        <v>300</v>
      </c>
      <c r="C81">
        <f t="shared" si="8"/>
        <v>282.5</v>
      </c>
      <c r="D81" s="5">
        <f t="shared" si="7"/>
        <v>17.5</v>
      </c>
      <c r="E81">
        <v>0</v>
      </c>
      <c r="F81">
        <v>0</v>
      </c>
      <c r="G81" s="5">
        <v>0</v>
      </c>
      <c r="J81" s="4">
        <v>300</v>
      </c>
      <c r="K81">
        <v>300</v>
      </c>
      <c r="L81" s="5">
        <v>0</v>
      </c>
      <c r="M81">
        <v>17.329999999999984</v>
      </c>
      <c r="O81" s="5"/>
    </row>
    <row r="82" spans="2:15" x14ac:dyDescent="0.35">
      <c r="B82" s="4">
        <v>300</v>
      </c>
      <c r="C82">
        <f t="shared" si="8"/>
        <v>285</v>
      </c>
      <c r="D82" s="5">
        <f t="shared" si="7"/>
        <v>15</v>
      </c>
      <c r="E82">
        <f>306.54-278.26</f>
        <v>28.28000000000003</v>
      </c>
      <c r="F82">
        <v>0</v>
      </c>
      <c r="G82" s="5">
        <v>0</v>
      </c>
      <c r="J82" s="4">
        <v>300</v>
      </c>
      <c r="K82">
        <v>302.5</v>
      </c>
      <c r="L82" s="5">
        <v>2.5</v>
      </c>
      <c r="M82">
        <v>17.78000000000003</v>
      </c>
      <c r="N82">
        <v>12.599999999999966</v>
      </c>
      <c r="O82" s="5">
        <v>7.0099999999999909</v>
      </c>
    </row>
    <row r="83" spans="2:15" x14ac:dyDescent="0.35">
      <c r="B83" s="4">
        <v>300</v>
      </c>
      <c r="C83">
        <f t="shared" si="8"/>
        <v>287.5</v>
      </c>
      <c r="D83" s="5">
        <f t="shared" si="7"/>
        <v>12.5</v>
      </c>
      <c r="E83">
        <v>0</v>
      </c>
      <c r="F83">
        <v>0</v>
      </c>
      <c r="G83" s="5">
        <v>0</v>
      </c>
      <c r="J83" s="4">
        <v>300</v>
      </c>
      <c r="K83">
        <v>305</v>
      </c>
      <c r="L83" s="5">
        <v>5</v>
      </c>
      <c r="M83">
        <v>19.009999999999991</v>
      </c>
      <c r="N83">
        <v>14.060000000000002</v>
      </c>
      <c r="O83" s="5">
        <v>8.7900000000000205</v>
      </c>
    </row>
    <row r="84" spans="2:15" x14ac:dyDescent="0.35">
      <c r="B84" s="4">
        <v>300</v>
      </c>
      <c r="C84">
        <f t="shared" si="8"/>
        <v>290</v>
      </c>
      <c r="D84" s="5">
        <f t="shared" si="7"/>
        <v>10</v>
      </c>
      <c r="E84">
        <f>306.8-284.27</f>
        <v>22.53000000000003</v>
      </c>
      <c r="F84">
        <f>304.55-286.41</f>
        <v>18.139999999999986</v>
      </c>
      <c r="G84" s="5">
        <f>302.2-288.7</f>
        <v>13.5</v>
      </c>
      <c r="J84" s="4">
        <v>300</v>
      </c>
      <c r="K84">
        <v>310</v>
      </c>
      <c r="L84" s="5">
        <v>10</v>
      </c>
      <c r="M84">
        <v>22.599999999999966</v>
      </c>
      <c r="N84">
        <v>18.069999999999993</v>
      </c>
      <c r="O84" s="5">
        <v>13.29000000000002</v>
      </c>
    </row>
    <row r="85" spans="2:15" x14ac:dyDescent="0.35">
      <c r="B85" s="4">
        <v>300</v>
      </c>
      <c r="C85">
        <f t="shared" si="8"/>
        <v>292.5</v>
      </c>
      <c r="D85" s="5">
        <f t="shared" si="7"/>
        <v>7.5</v>
      </c>
      <c r="E85">
        <v>0</v>
      </c>
      <c r="F85">
        <v>0</v>
      </c>
      <c r="G85" s="5">
        <v>0</v>
      </c>
      <c r="J85" s="4">
        <v>300</v>
      </c>
      <c r="K85">
        <v>312.5</v>
      </c>
      <c r="L85" s="5">
        <v>12.5</v>
      </c>
      <c r="M85">
        <v>24.990000000000009</v>
      </c>
      <c r="N85">
        <v>20.599999999999966</v>
      </c>
      <c r="O85" s="5"/>
    </row>
    <row r="86" spans="2:15" x14ac:dyDescent="0.35">
      <c r="B86" s="4">
        <v>300</v>
      </c>
      <c r="C86">
        <f t="shared" si="8"/>
        <v>295</v>
      </c>
      <c r="D86" s="5">
        <f t="shared" si="7"/>
        <v>5</v>
      </c>
      <c r="E86">
        <v>0</v>
      </c>
      <c r="F86">
        <v>0</v>
      </c>
      <c r="G86" s="5">
        <v>0</v>
      </c>
      <c r="J86" s="4">
        <v>300</v>
      </c>
      <c r="K86">
        <v>315</v>
      </c>
      <c r="L86" s="5">
        <v>15</v>
      </c>
      <c r="M86">
        <v>27.129999999999995</v>
      </c>
      <c r="N86">
        <v>22.829999999999984</v>
      </c>
      <c r="O86" s="5"/>
    </row>
    <row r="87" spans="2:15" x14ac:dyDescent="0.35">
      <c r="B87" s="4">
        <v>300</v>
      </c>
      <c r="C87">
        <f t="shared" si="8"/>
        <v>297.5</v>
      </c>
      <c r="D87" s="5">
        <f t="shared" si="7"/>
        <v>2.5</v>
      </c>
      <c r="E87">
        <f>308-290</f>
        <v>18</v>
      </c>
      <c r="F87">
        <f>305-292</f>
        <v>13</v>
      </c>
      <c r="G87" s="5">
        <f>302.67-295.68</f>
        <v>6.9900000000000091</v>
      </c>
      <c r="J87" s="4">
        <v>300</v>
      </c>
      <c r="K87">
        <v>317.5</v>
      </c>
      <c r="L87" s="5">
        <v>17.5</v>
      </c>
      <c r="M87">
        <v>28.990000000000009</v>
      </c>
      <c r="O87" s="5"/>
    </row>
    <row r="88" spans="2:15" x14ac:dyDescent="0.35">
      <c r="B88" s="4">
        <v>300</v>
      </c>
      <c r="C88">
        <f t="shared" si="8"/>
        <v>300</v>
      </c>
      <c r="D88" s="5">
        <f t="shared" si="7"/>
        <v>0</v>
      </c>
      <c r="E88">
        <f>309.02-291.69</f>
        <v>17.329999999999984</v>
      </c>
      <c r="F88">
        <v>0</v>
      </c>
      <c r="G88" s="5">
        <v>0</v>
      </c>
      <c r="J88" s="4">
        <v>300</v>
      </c>
      <c r="K88">
        <v>320</v>
      </c>
      <c r="L88" s="5">
        <v>20</v>
      </c>
      <c r="M88">
        <v>30.920000000000016</v>
      </c>
      <c r="O88" s="5"/>
    </row>
    <row r="89" spans="2:15" ht="15" thickBot="1" x14ac:dyDescent="0.4">
      <c r="B89" s="4">
        <v>300</v>
      </c>
      <c r="C89">
        <f t="shared" si="8"/>
        <v>302.5</v>
      </c>
      <c r="D89" s="5">
        <f t="shared" ref="D89:D100" si="9">-B89+C89</f>
        <v>2.5</v>
      </c>
      <c r="E89">
        <f>310.41-292.63</f>
        <v>17.78000000000003</v>
      </c>
      <c r="F89">
        <f>307.78-295.18</f>
        <v>12.599999999999966</v>
      </c>
      <c r="G89" s="5">
        <f>304.95-297.94</f>
        <v>7.0099999999999909</v>
      </c>
      <c r="J89" s="6">
        <v>300</v>
      </c>
      <c r="K89" s="7">
        <v>322.5</v>
      </c>
      <c r="L89" s="8">
        <v>22.5</v>
      </c>
      <c r="M89" s="7">
        <v>32.450000000000045</v>
      </c>
      <c r="N89" s="7"/>
      <c r="O89" s="8"/>
    </row>
    <row r="90" spans="2:15" x14ac:dyDescent="0.35">
      <c r="B90" s="4">
        <v>300</v>
      </c>
      <c r="C90">
        <f t="shared" si="8"/>
        <v>305</v>
      </c>
      <c r="D90" s="5">
        <f t="shared" si="9"/>
        <v>5</v>
      </c>
      <c r="E90">
        <f>312.25-293.24</f>
        <v>19.009999999999991</v>
      </c>
      <c r="F90">
        <f>309.73-295.67</f>
        <v>14.060000000000002</v>
      </c>
      <c r="G90" s="5">
        <f>307.07-298.28</f>
        <v>8.7900000000000205</v>
      </c>
    </row>
    <row r="91" spans="2:15" x14ac:dyDescent="0.35">
      <c r="B91" s="4">
        <v>300</v>
      </c>
      <c r="C91">
        <f t="shared" si="8"/>
        <v>307.5</v>
      </c>
      <c r="D91" s="5">
        <f t="shared" si="9"/>
        <v>7.5</v>
      </c>
      <c r="E91">
        <v>0</v>
      </c>
      <c r="F91">
        <v>0</v>
      </c>
      <c r="G91" s="5">
        <v>0</v>
      </c>
    </row>
    <row r="92" spans="2:15" x14ac:dyDescent="0.35">
      <c r="B92" s="4">
        <v>300</v>
      </c>
      <c r="C92">
        <f t="shared" si="8"/>
        <v>310</v>
      </c>
      <c r="D92" s="5">
        <f t="shared" si="9"/>
        <v>10</v>
      </c>
      <c r="E92">
        <f>316.39-293.79</f>
        <v>22.599999999999966</v>
      </c>
      <c r="F92">
        <f>314.06-295.99</f>
        <v>18.069999999999993</v>
      </c>
      <c r="G92" s="5">
        <f>311.63-298.34</f>
        <v>13.29000000000002</v>
      </c>
    </row>
    <row r="93" spans="2:15" x14ac:dyDescent="0.35">
      <c r="B93" s="4">
        <v>300</v>
      </c>
      <c r="C93">
        <f t="shared" si="8"/>
        <v>312.5</v>
      </c>
      <c r="D93" s="5">
        <f t="shared" si="9"/>
        <v>12.5</v>
      </c>
      <c r="E93">
        <f>318.91-293.92</f>
        <v>24.990000000000009</v>
      </c>
      <c r="F93">
        <f>316.65-296.05</f>
        <v>20.599999999999966</v>
      </c>
      <c r="G93" s="5">
        <v>0</v>
      </c>
    </row>
    <row r="94" spans="2:15" x14ac:dyDescent="0.35">
      <c r="B94" s="4">
        <v>300</v>
      </c>
      <c r="C94">
        <f t="shared" si="8"/>
        <v>315</v>
      </c>
      <c r="D94" s="5">
        <f t="shared" si="9"/>
        <v>15</v>
      </c>
      <c r="E94">
        <f>321.11-293.98</f>
        <v>27.129999999999995</v>
      </c>
      <c r="F94">
        <f>318.89-296.06</f>
        <v>22.829999999999984</v>
      </c>
      <c r="G94" s="5">
        <v>0</v>
      </c>
    </row>
    <row r="95" spans="2:15" x14ac:dyDescent="0.35">
      <c r="B95" s="4">
        <v>300</v>
      </c>
      <c r="C95">
        <f t="shared" si="8"/>
        <v>317.5</v>
      </c>
      <c r="D95" s="5">
        <f t="shared" si="9"/>
        <v>17.5</v>
      </c>
      <c r="E95">
        <f>322.99-294</f>
        <v>28.990000000000009</v>
      </c>
      <c r="F95">
        <v>0</v>
      </c>
      <c r="G95" s="5">
        <v>0</v>
      </c>
    </row>
    <row r="96" spans="2:15" x14ac:dyDescent="0.35">
      <c r="B96" s="4">
        <v>300</v>
      </c>
      <c r="C96">
        <f t="shared" si="8"/>
        <v>320</v>
      </c>
      <c r="D96" s="5">
        <f t="shared" si="9"/>
        <v>20</v>
      </c>
      <c r="E96">
        <f>324.94-294.02</f>
        <v>30.920000000000016</v>
      </c>
      <c r="F96">
        <v>0</v>
      </c>
      <c r="G96" s="5">
        <v>0</v>
      </c>
    </row>
    <row r="97" spans="2:15" x14ac:dyDescent="0.35">
      <c r="B97" s="4">
        <v>300</v>
      </c>
      <c r="C97">
        <f t="shared" si="8"/>
        <v>322.5</v>
      </c>
      <c r="D97" s="5">
        <f t="shared" si="9"/>
        <v>22.5</v>
      </c>
      <c r="E97">
        <f>326.47-294.02</f>
        <v>32.450000000000045</v>
      </c>
      <c r="F97">
        <v>0</v>
      </c>
      <c r="G97" s="5">
        <v>0</v>
      </c>
    </row>
    <row r="98" spans="2:15" x14ac:dyDescent="0.35">
      <c r="B98" s="4">
        <v>300</v>
      </c>
      <c r="C98">
        <f t="shared" si="8"/>
        <v>325</v>
      </c>
      <c r="D98" s="5">
        <f t="shared" si="9"/>
        <v>25</v>
      </c>
      <c r="E98">
        <v>0</v>
      </c>
      <c r="F98">
        <v>0</v>
      </c>
      <c r="G98" s="5">
        <v>0</v>
      </c>
    </row>
    <row r="99" spans="2:15" x14ac:dyDescent="0.35">
      <c r="B99" s="4">
        <v>300</v>
      </c>
      <c r="C99">
        <f t="shared" si="8"/>
        <v>327.5</v>
      </c>
      <c r="D99" s="5">
        <f t="shared" si="9"/>
        <v>27.5</v>
      </c>
      <c r="E99">
        <v>0</v>
      </c>
      <c r="F99">
        <v>0</v>
      </c>
      <c r="G99" s="5">
        <v>0</v>
      </c>
    </row>
    <row r="100" spans="2:15" ht="15" thickBot="1" x14ac:dyDescent="0.4">
      <c r="B100" s="6">
        <v>300</v>
      </c>
      <c r="C100" s="7">
        <f t="shared" si="8"/>
        <v>330</v>
      </c>
      <c r="D100" s="8">
        <f t="shared" si="9"/>
        <v>30</v>
      </c>
      <c r="E100" s="7">
        <v>0</v>
      </c>
      <c r="F100" s="7">
        <v>0</v>
      </c>
      <c r="G100" s="8">
        <v>0</v>
      </c>
    </row>
    <row r="101" spans="2:15" ht="15" thickBot="1" x14ac:dyDescent="0.4"/>
    <row r="102" spans="2:15" x14ac:dyDescent="0.35">
      <c r="B102" s="12">
        <v>310</v>
      </c>
      <c r="C102" s="13">
        <v>270</v>
      </c>
      <c r="D102" s="14">
        <f t="shared" ref="D102:D118" si="10">B102-C102</f>
        <v>40</v>
      </c>
      <c r="E102" s="13">
        <v>0</v>
      </c>
      <c r="F102" s="13">
        <v>0</v>
      </c>
      <c r="G102" s="14">
        <v>0</v>
      </c>
    </row>
    <row r="103" spans="2:15" x14ac:dyDescent="0.35">
      <c r="B103" s="4">
        <v>310</v>
      </c>
      <c r="C103">
        <f t="shared" ref="C103:C126" si="11">2.5+C102</f>
        <v>272.5</v>
      </c>
      <c r="D103" s="5">
        <f t="shared" si="10"/>
        <v>37.5</v>
      </c>
      <c r="E103">
        <v>0</v>
      </c>
      <c r="F103">
        <v>0</v>
      </c>
      <c r="G103" s="5">
        <v>0</v>
      </c>
    </row>
    <row r="104" spans="2:15" x14ac:dyDescent="0.35">
      <c r="B104" s="4">
        <v>310</v>
      </c>
      <c r="C104">
        <f t="shared" si="11"/>
        <v>275</v>
      </c>
      <c r="D104" s="5">
        <f t="shared" si="10"/>
        <v>35</v>
      </c>
      <c r="E104">
        <v>0</v>
      </c>
      <c r="F104">
        <v>0</v>
      </c>
      <c r="G104" s="5">
        <v>0</v>
      </c>
    </row>
    <row r="105" spans="2:15" x14ac:dyDescent="0.35">
      <c r="B105" s="4">
        <v>310</v>
      </c>
      <c r="C105">
        <f t="shared" si="11"/>
        <v>277.5</v>
      </c>
      <c r="D105" s="5">
        <f t="shared" si="10"/>
        <v>32.5</v>
      </c>
      <c r="E105">
        <v>0</v>
      </c>
      <c r="F105">
        <v>0</v>
      </c>
      <c r="G105" s="5">
        <v>0</v>
      </c>
    </row>
    <row r="106" spans="2:15" x14ac:dyDescent="0.35">
      <c r="B106" s="4">
        <v>310</v>
      </c>
      <c r="C106">
        <f t="shared" si="11"/>
        <v>280</v>
      </c>
      <c r="D106" s="5">
        <f t="shared" si="10"/>
        <v>30</v>
      </c>
      <c r="E106">
        <v>0</v>
      </c>
      <c r="F106">
        <v>0</v>
      </c>
      <c r="G106" s="5">
        <v>0</v>
      </c>
    </row>
    <row r="107" spans="2:15" x14ac:dyDescent="0.35">
      <c r="B107" s="4">
        <v>310</v>
      </c>
      <c r="C107">
        <f t="shared" si="11"/>
        <v>282.5</v>
      </c>
      <c r="D107" s="5">
        <f t="shared" si="10"/>
        <v>27.5</v>
      </c>
      <c r="E107">
        <v>0</v>
      </c>
      <c r="F107">
        <v>0</v>
      </c>
      <c r="G107" s="5">
        <v>0</v>
      </c>
    </row>
    <row r="108" spans="2:15" x14ac:dyDescent="0.35">
      <c r="B108" s="4">
        <v>310</v>
      </c>
      <c r="C108">
        <f t="shared" si="11"/>
        <v>285</v>
      </c>
      <c r="D108" s="5">
        <f t="shared" si="10"/>
        <v>25</v>
      </c>
      <c r="E108">
        <v>0</v>
      </c>
      <c r="F108">
        <v>0</v>
      </c>
      <c r="G108" s="5">
        <v>0</v>
      </c>
    </row>
    <row r="109" spans="2:15" ht="15" thickBot="1" x14ac:dyDescent="0.4">
      <c r="B109" s="4">
        <v>310</v>
      </c>
      <c r="C109">
        <f t="shared" si="11"/>
        <v>287.5</v>
      </c>
      <c r="D109" s="5">
        <f t="shared" si="10"/>
        <v>22.5</v>
      </c>
      <c r="E109">
        <v>0</v>
      </c>
      <c r="F109">
        <v>0</v>
      </c>
      <c r="G109" s="5">
        <v>0</v>
      </c>
    </row>
    <row r="110" spans="2:15" ht="15" thickBot="1" x14ac:dyDescent="0.4">
      <c r="B110" s="4">
        <v>310</v>
      </c>
      <c r="C110">
        <f t="shared" si="11"/>
        <v>290</v>
      </c>
      <c r="D110" s="5">
        <f t="shared" si="10"/>
        <v>20</v>
      </c>
      <c r="E110">
        <f>316.11-284.49</f>
        <v>31.620000000000005</v>
      </c>
      <c r="F110">
        <v>0</v>
      </c>
      <c r="G110" s="5">
        <v>0</v>
      </c>
      <c r="J110" s="1" t="s">
        <v>3</v>
      </c>
      <c r="K110" s="2" t="s">
        <v>4</v>
      </c>
      <c r="L110" s="3" t="s">
        <v>5</v>
      </c>
      <c r="M110" s="2" t="s">
        <v>6</v>
      </c>
      <c r="N110" s="2" t="s">
        <v>7</v>
      </c>
      <c r="O110" s="3" t="s">
        <v>8</v>
      </c>
    </row>
    <row r="111" spans="2:15" x14ac:dyDescent="0.35">
      <c r="B111" s="4">
        <v>310</v>
      </c>
      <c r="C111">
        <f t="shared" si="11"/>
        <v>292.5</v>
      </c>
      <c r="D111" s="5">
        <f t="shared" si="10"/>
        <v>17.5</v>
      </c>
      <c r="E111">
        <v>0</v>
      </c>
      <c r="F111">
        <v>0</v>
      </c>
      <c r="G111" s="5">
        <v>0</v>
      </c>
      <c r="J111" s="4">
        <v>310</v>
      </c>
      <c r="K111">
        <v>290</v>
      </c>
      <c r="L111" s="5">
        <v>20</v>
      </c>
      <c r="M111">
        <v>31.620000000000005</v>
      </c>
      <c r="O111" s="5"/>
    </row>
    <row r="112" spans="2:15" x14ac:dyDescent="0.35">
      <c r="B112" s="4">
        <v>310</v>
      </c>
      <c r="C112">
        <f t="shared" si="11"/>
        <v>295</v>
      </c>
      <c r="D112" s="5">
        <f t="shared" si="10"/>
        <v>15</v>
      </c>
      <c r="E112">
        <v>0</v>
      </c>
      <c r="F112">
        <v>0</v>
      </c>
      <c r="G112" s="5">
        <v>0</v>
      </c>
      <c r="J112" s="4">
        <v>310</v>
      </c>
      <c r="K112">
        <v>297.5</v>
      </c>
      <c r="L112" s="5">
        <v>12.5</v>
      </c>
      <c r="M112">
        <v>24.609999999999957</v>
      </c>
      <c r="N112">
        <v>21.400000000000034</v>
      </c>
      <c r="O112" s="5"/>
    </row>
    <row r="113" spans="2:15" x14ac:dyDescent="0.35">
      <c r="B113" s="4">
        <v>310</v>
      </c>
      <c r="C113">
        <f t="shared" si="11"/>
        <v>297.5</v>
      </c>
      <c r="D113" s="5">
        <f t="shared" si="10"/>
        <v>12.5</v>
      </c>
      <c r="E113">
        <f>316.27-291.66</f>
        <v>24.609999999999957</v>
      </c>
      <c r="F113">
        <f>314.1-292.7</f>
        <v>21.400000000000034</v>
      </c>
      <c r="G113" s="5">
        <v>0</v>
      </c>
      <c r="J113" s="4">
        <v>310</v>
      </c>
      <c r="K113">
        <v>300</v>
      </c>
      <c r="L113" s="5">
        <v>10</v>
      </c>
      <c r="M113">
        <v>22.599999999999966</v>
      </c>
      <c r="N113">
        <v>18.599999999999966</v>
      </c>
      <c r="O113" s="5">
        <v>13.699999999999989</v>
      </c>
    </row>
    <row r="114" spans="2:15" x14ac:dyDescent="0.35">
      <c r="B114" s="4">
        <v>310</v>
      </c>
      <c r="C114">
        <f t="shared" si="11"/>
        <v>300</v>
      </c>
      <c r="D114" s="5">
        <f t="shared" si="10"/>
        <v>10</v>
      </c>
      <c r="E114">
        <f>316.39-293.79</f>
        <v>22.599999999999966</v>
      </c>
      <c r="F114">
        <f>313.7-295.1</f>
        <v>18.599999999999966</v>
      </c>
      <c r="G114" s="5">
        <f>311.5-297.8</f>
        <v>13.699999999999989</v>
      </c>
      <c r="J114" s="4">
        <v>310</v>
      </c>
      <c r="K114">
        <v>302.5</v>
      </c>
      <c r="L114" s="5">
        <v>7.5</v>
      </c>
      <c r="M114">
        <v>20.800000000000011</v>
      </c>
      <c r="N114">
        <v>17</v>
      </c>
      <c r="O114" s="5">
        <v>11.800000000000011</v>
      </c>
    </row>
    <row r="115" spans="2:15" x14ac:dyDescent="0.35">
      <c r="B115" s="4">
        <v>310</v>
      </c>
      <c r="C115">
        <f t="shared" si="11"/>
        <v>302.5</v>
      </c>
      <c r="D115" s="5">
        <f t="shared" si="10"/>
        <v>7.5</v>
      </c>
      <c r="E115">
        <f>316.66-295.86</f>
        <v>20.800000000000011</v>
      </c>
      <c r="F115">
        <f>314-297</f>
        <v>17</v>
      </c>
      <c r="G115" s="5">
        <f>311.7-299.9</f>
        <v>11.800000000000011</v>
      </c>
      <c r="J115" s="4">
        <v>310</v>
      </c>
      <c r="K115">
        <v>305</v>
      </c>
      <c r="L115" s="5">
        <v>5</v>
      </c>
      <c r="M115">
        <v>20</v>
      </c>
      <c r="N115">
        <v>15</v>
      </c>
      <c r="O115" s="5">
        <v>8.6999999999999886</v>
      </c>
    </row>
    <row r="116" spans="2:15" x14ac:dyDescent="0.35">
      <c r="B116" s="4">
        <v>310</v>
      </c>
      <c r="C116">
        <f t="shared" si="11"/>
        <v>305</v>
      </c>
      <c r="D116" s="5">
        <f t="shared" si="10"/>
        <v>5</v>
      </c>
      <c r="E116">
        <f>317-297</f>
        <v>20</v>
      </c>
      <c r="F116">
        <f>314-299</f>
        <v>15</v>
      </c>
      <c r="G116" s="5">
        <f>311.7-303</f>
        <v>8.6999999999999886</v>
      </c>
      <c r="J116" s="4">
        <v>310</v>
      </c>
      <c r="K116">
        <v>310</v>
      </c>
      <c r="L116" s="5">
        <v>0</v>
      </c>
      <c r="M116">
        <v>17.759999999999991</v>
      </c>
      <c r="N116">
        <v>12.800000000000011</v>
      </c>
      <c r="O116" s="5">
        <v>6.8999999999999773</v>
      </c>
    </row>
    <row r="117" spans="2:15" x14ac:dyDescent="0.35">
      <c r="B117" s="4">
        <v>310</v>
      </c>
      <c r="C117">
        <f t="shared" si="11"/>
        <v>307.5</v>
      </c>
      <c r="D117" s="5">
        <f t="shared" si="10"/>
        <v>2.5</v>
      </c>
      <c r="E117">
        <v>0</v>
      </c>
      <c r="F117">
        <v>0</v>
      </c>
      <c r="G117" s="5">
        <v>0</v>
      </c>
      <c r="J117" s="4">
        <v>310</v>
      </c>
      <c r="K117">
        <v>312.5</v>
      </c>
      <c r="L117" s="5">
        <v>2.5</v>
      </c>
      <c r="M117">
        <v>18.340000000000032</v>
      </c>
      <c r="N117">
        <v>14</v>
      </c>
      <c r="O117" s="5">
        <v>7.5999999999999659</v>
      </c>
    </row>
    <row r="118" spans="2:15" x14ac:dyDescent="0.35">
      <c r="B118" s="4">
        <v>310</v>
      </c>
      <c r="C118">
        <f t="shared" si="11"/>
        <v>310</v>
      </c>
      <c r="D118" s="5">
        <f t="shared" si="10"/>
        <v>0</v>
      </c>
      <c r="E118">
        <f>318.75-300.99</f>
        <v>17.759999999999991</v>
      </c>
      <c r="F118">
        <f>316.1-303.3</f>
        <v>12.800000000000011</v>
      </c>
      <c r="G118" s="5">
        <f>312.9-306</f>
        <v>6.8999999999999773</v>
      </c>
      <c r="J118" s="4">
        <v>310</v>
      </c>
      <c r="K118">
        <v>315</v>
      </c>
      <c r="L118" s="5">
        <v>5</v>
      </c>
      <c r="M118">
        <v>19.470000000000027</v>
      </c>
      <c r="N118">
        <v>13</v>
      </c>
      <c r="O118" s="5">
        <v>9</v>
      </c>
    </row>
    <row r="119" spans="2:15" x14ac:dyDescent="0.35">
      <c r="B119" s="4">
        <v>310</v>
      </c>
      <c r="C119">
        <f t="shared" si="11"/>
        <v>312.5</v>
      </c>
      <c r="D119" s="5">
        <f t="shared" ref="D119:D126" si="12">C119-B119</f>
        <v>2.5</v>
      </c>
      <c r="E119">
        <f>320.37-302.03</f>
        <v>18.340000000000032</v>
      </c>
      <c r="F119">
        <f>317-303</f>
        <v>14</v>
      </c>
      <c r="G119" s="5">
        <f>314.9-307.3</f>
        <v>7.5999999999999659</v>
      </c>
      <c r="J119" s="4">
        <v>310</v>
      </c>
      <c r="K119">
        <v>317.5</v>
      </c>
      <c r="L119" s="5">
        <v>7.5</v>
      </c>
      <c r="M119">
        <v>20.779999999999973</v>
      </c>
      <c r="N119">
        <v>15.899999999999977</v>
      </c>
      <c r="O119" s="5">
        <v>11</v>
      </c>
    </row>
    <row r="120" spans="2:15" x14ac:dyDescent="0.35">
      <c r="B120" s="4">
        <v>310</v>
      </c>
      <c r="C120">
        <f t="shared" si="11"/>
        <v>315</v>
      </c>
      <c r="D120" s="5">
        <f t="shared" si="12"/>
        <v>5</v>
      </c>
      <c r="E120">
        <f>-302.59+322.06</f>
        <v>19.470000000000027</v>
      </c>
      <c r="F120">
        <f>318-305</f>
        <v>13</v>
      </c>
      <c r="G120" s="5">
        <f>316-307</f>
        <v>9</v>
      </c>
      <c r="J120" s="4">
        <v>310</v>
      </c>
      <c r="K120">
        <v>320</v>
      </c>
      <c r="L120" s="5">
        <v>10</v>
      </c>
      <c r="M120">
        <v>22.349999999999966</v>
      </c>
      <c r="N120">
        <v>17.640000000000043</v>
      </c>
      <c r="O120" s="5">
        <v>13</v>
      </c>
    </row>
    <row r="121" spans="2:15" x14ac:dyDescent="0.35">
      <c r="B121" s="4">
        <v>310</v>
      </c>
      <c r="C121">
        <f t="shared" si="11"/>
        <v>317.5</v>
      </c>
      <c r="D121" s="5">
        <f t="shared" si="12"/>
        <v>7.5</v>
      </c>
      <c r="E121">
        <f>323.64-302.86</f>
        <v>20.779999999999973</v>
      </c>
      <c r="F121">
        <f>321.14-305.24</f>
        <v>15.899999999999977</v>
      </c>
      <c r="G121" s="5">
        <f>318.4-307.4</f>
        <v>11</v>
      </c>
      <c r="J121" s="4">
        <v>310</v>
      </c>
      <c r="K121">
        <v>322.5</v>
      </c>
      <c r="L121" s="5">
        <v>12.5</v>
      </c>
      <c r="M121">
        <v>23.680000000000007</v>
      </c>
      <c r="N121">
        <v>19.079999999999984</v>
      </c>
      <c r="O121" s="5">
        <v>14.399999999999977</v>
      </c>
    </row>
    <row r="122" spans="2:15" x14ac:dyDescent="0.35">
      <c r="B122" s="4">
        <v>310</v>
      </c>
      <c r="C122">
        <f t="shared" si="11"/>
        <v>320</v>
      </c>
      <c r="D122" s="5">
        <f t="shared" si="12"/>
        <v>10</v>
      </c>
      <c r="E122">
        <f>325.4-303.05</f>
        <v>22.349999999999966</v>
      </c>
      <c r="F122">
        <f>322.98-305.34</f>
        <v>17.640000000000043</v>
      </c>
      <c r="G122" s="5">
        <f>320.3-307.3</f>
        <v>13</v>
      </c>
      <c r="J122" s="4">
        <v>310</v>
      </c>
      <c r="K122">
        <v>325</v>
      </c>
      <c r="L122" s="5">
        <v>15</v>
      </c>
      <c r="M122">
        <v>26.840000000000032</v>
      </c>
      <c r="N122">
        <v>22.409999999999968</v>
      </c>
      <c r="O122" s="5"/>
    </row>
    <row r="123" spans="2:15" x14ac:dyDescent="0.35">
      <c r="B123" s="4">
        <v>310</v>
      </c>
      <c r="C123">
        <f t="shared" si="11"/>
        <v>322.5</v>
      </c>
      <c r="D123" s="5">
        <f t="shared" si="12"/>
        <v>12.5</v>
      </c>
      <c r="E123">
        <f>326.82-303.14</f>
        <v>23.680000000000007</v>
      </c>
      <c r="F123">
        <f>324.44-305.36</f>
        <v>19.079999999999984</v>
      </c>
      <c r="G123" s="5">
        <f>321.7-307.3</f>
        <v>14.399999999999977</v>
      </c>
      <c r="J123" s="4">
        <v>310</v>
      </c>
      <c r="K123">
        <v>327.5</v>
      </c>
      <c r="L123" s="5">
        <v>17.5</v>
      </c>
      <c r="M123">
        <v>28.259999999999991</v>
      </c>
      <c r="N123">
        <v>23.860000000000014</v>
      </c>
      <c r="O123" s="5"/>
    </row>
    <row r="124" spans="2:15" ht="15" thickBot="1" x14ac:dyDescent="0.4">
      <c r="B124" s="4">
        <v>310</v>
      </c>
      <c r="C124">
        <f t="shared" si="11"/>
        <v>325</v>
      </c>
      <c r="D124" s="5">
        <f t="shared" si="12"/>
        <v>15</v>
      </c>
      <c r="E124">
        <f>330.11-303.27</f>
        <v>26.840000000000032</v>
      </c>
      <c r="F124">
        <f>327.82-305.41</f>
        <v>22.409999999999968</v>
      </c>
      <c r="G124" s="5"/>
      <c r="J124" s="6">
        <v>310</v>
      </c>
      <c r="K124" s="7">
        <v>330</v>
      </c>
      <c r="L124" s="8">
        <v>20</v>
      </c>
      <c r="M124" s="7">
        <v>30.339999999999975</v>
      </c>
      <c r="N124" s="7"/>
      <c r="O124" s="8"/>
    </row>
    <row r="125" spans="2:15" x14ac:dyDescent="0.35">
      <c r="B125" s="4">
        <v>310</v>
      </c>
      <c r="C125">
        <f t="shared" si="11"/>
        <v>327.5</v>
      </c>
      <c r="D125" s="5">
        <f t="shared" si="12"/>
        <v>17.5</v>
      </c>
      <c r="E125">
        <f>331.55-303.29</f>
        <v>28.259999999999991</v>
      </c>
      <c r="F125">
        <f>329.26-305.4</f>
        <v>23.860000000000014</v>
      </c>
      <c r="G125" s="5">
        <v>0</v>
      </c>
    </row>
    <row r="126" spans="2:15" ht="15" thickBot="1" x14ac:dyDescent="0.4">
      <c r="B126" s="6">
        <v>310</v>
      </c>
      <c r="C126" s="7">
        <f t="shared" si="11"/>
        <v>330</v>
      </c>
      <c r="D126" s="8">
        <f t="shared" si="12"/>
        <v>20</v>
      </c>
      <c r="E126" s="7">
        <f>333.65-303.31</f>
        <v>30.339999999999975</v>
      </c>
      <c r="F126" s="7">
        <v>0</v>
      </c>
      <c r="G126" s="8">
        <v>0</v>
      </c>
    </row>
    <row r="127" spans="2:15" ht="15" thickBot="1" x14ac:dyDescent="0.4"/>
    <row r="128" spans="2:15" x14ac:dyDescent="0.35">
      <c r="B128" s="12">
        <v>320</v>
      </c>
      <c r="C128" s="13">
        <v>270</v>
      </c>
      <c r="D128" s="14">
        <f t="shared" ref="D128:D148" si="13">B128-C128</f>
        <v>50</v>
      </c>
      <c r="E128" s="13">
        <v>0</v>
      </c>
      <c r="F128" s="13">
        <v>0</v>
      </c>
      <c r="G128" s="14">
        <v>0</v>
      </c>
    </row>
    <row r="129" spans="2:15" x14ac:dyDescent="0.35">
      <c r="B129" s="4">
        <v>320</v>
      </c>
      <c r="C129">
        <f t="shared" ref="C129:C152" si="14">C128+2.5</f>
        <v>272.5</v>
      </c>
      <c r="D129" s="5">
        <f t="shared" si="13"/>
        <v>47.5</v>
      </c>
      <c r="E129">
        <v>0</v>
      </c>
      <c r="F129">
        <v>0</v>
      </c>
      <c r="G129" s="5">
        <v>0</v>
      </c>
    </row>
    <row r="130" spans="2:15" x14ac:dyDescent="0.35">
      <c r="B130" s="4">
        <v>320</v>
      </c>
      <c r="C130">
        <f t="shared" si="14"/>
        <v>275</v>
      </c>
      <c r="D130" s="5">
        <f t="shared" si="13"/>
        <v>45</v>
      </c>
      <c r="E130">
        <v>0</v>
      </c>
      <c r="F130">
        <v>0</v>
      </c>
      <c r="G130" s="5">
        <v>0</v>
      </c>
    </row>
    <row r="131" spans="2:15" x14ac:dyDescent="0.35">
      <c r="B131" s="4">
        <v>320</v>
      </c>
      <c r="C131">
        <f t="shared" si="14"/>
        <v>277.5</v>
      </c>
      <c r="D131" s="5">
        <f t="shared" si="13"/>
        <v>42.5</v>
      </c>
      <c r="E131">
        <v>0</v>
      </c>
      <c r="F131">
        <v>0</v>
      </c>
      <c r="G131" s="5">
        <v>0</v>
      </c>
    </row>
    <row r="132" spans="2:15" x14ac:dyDescent="0.35">
      <c r="B132" s="4">
        <v>320</v>
      </c>
      <c r="C132">
        <f t="shared" si="14"/>
        <v>280</v>
      </c>
      <c r="D132" s="5">
        <f t="shared" si="13"/>
        <v>40</v>
      </c>
      <c r="E132">
        <v>0</v>
      </c>
      <c r="F132">
        <v>0</v>
      </c>
      <c r="G132" s="5">
        <v>0</v>
      </c>
    </row>
    <row r="133" spans="2:15" x14ac:dyDescent="0.35">
      <c r="B133" s="4">
        <v>320</v>
      </c>
      <c r="C133">
        <f t="shared" si="14"/>
        <v>282.5</v>
      </c>
      <c r="D133" s="5">
        <f t="shared" si="13"/>
        <v>37.5</v>
      </c>
      <c r="E133">
        <v>0</v>
      </c>
      <c r="F133">
        <v>0</v>
      </c>
      <c r="G133" s="5">
        <v>0</v>
      </c>
    </row>
    <row r="134" spans="2:15" x14ac:dyDescent="0.35">
      <c r="B134" s="4">
        <v>320</v>
      </c>
      <c r="C134">
        <f t="shared" si="14"/>
        <v>285</v>
      </c>
      <c r="D134" s="5">
        <f t="shared" si="13"/>
        <v>35</v>
      </c>
      <c r="E134">
        <v>0</v>
      </c>
      <c r="F134">
        <v>0</v>
      </c>
      <c r="G134" s="5">
        <v>0</v>
      </c>
    </row>
    <row r="135" spans="2:15" x14ac:dyDescent="0.35">
      <c r="B135" s="4">
        <v>320</v>
      </c>
      <c r="C135">
        <f t="shared" si="14"/>
        <v>287.5</v>
      </c>
      <c r="D135" s="5">
        <f t="shared" si="13"/>
        <v>32.5</v>
      </c>
      <c r="E135">
        <v>0</v>
      </c>
      <c r="F135">
        <v>0</v>
      </c>
      <c r="G135" s="5">
        <v>0</v>
      </c>
    </row>
    <row r="136" spans="2:15" ht="15" thickBot="1" x14ac:dyDescent="0.4">
      <c r="B136" s="4">
        <v>320</v>
      </c>
      <c r="C136">
        <f t="shared" si="14"/>
        <v>290</v>
      </c>
      <c r="D136" s="5">
        <f t="shared" si="13"/>
        <v>30</v>
      </c>
      <c r="E136">
        <v>0</v>
      </c>
      <c r="F136">
        <v>0</v>
      </c>
      <c r="G136" s="5">
        <v>0</v>
      </c>
    </row>
    <row r="137" spans="2:15" ht="15" thickBot="1" x14ac:dyDescent="0.4">
      <c r="B137" s="4">
        <v>320</v>
      </c>
      <c r="C137">
        <f t="shared" si="14"/>
        <v>292.5</v>
      </c>
      <c r="D137" s="5">
        <f t="shared" si="13"/>
        <v>27.5</v>
      </c>
      <c r="E137">
        <v>0</v>
      </c>
      <c r="F137">
        <v>0</v>
      </c>
      <c r="G137" s="5">
        <v>0</v>
      </c>
      <c r="J137" s="1" t="s">
        <v>3</v>
      </c>
      <c r="K137" s="2" t="s">
        <v>4</v>
      </c>
      <c r="L137" s="3" t="s">
        <v>5</v>
      </c>
      <c r="M137" s="2" t="s">
        <v>6</v>
      </c>
      <c r="N137" s="2" t="s">
        <v>7</v>
      </c>
      <c r="O137" s="3" t="s">
        <v>8</v>
      </c>
    </row>
    <row r="138" spans="2:15" x14ac:dyDescent="0.35">
      <c r="B138" s="4">
        <v>320</v>
      </c>
      <c r="C138">
        <f t="shared" si="14"/>
        <v>295</v>
      </c>
      <c r="D138" s="5">
        <f t="shared" si="13"/>
        <v>25</v>
      </c>
      <c r="E138">
        <v>0</v>
      </c>
      <c r="F138">
        <v>0</v>
      </c>
      <c r="G138" s="5">
        <v>0</v>
      </c>
      <c r="J138" s="4">
        <v>320</v>
      </c>
      <c r="K138">
        <v>300</v>
      </c>
      <c r="L138" s="5">
        <v>20</v>
      </c>
      <c r="M138">
        <v>30.920000000000016</v>
      </c>
      <c r="O138" s="5"/>
    </row>
    <row r="139" spans="2:15" x14ac:dyDescent="0.35">
      <c r="B139" s="4">
        <v>320</v>
      </c>
      <c r="C139">
        <f t="shared" si="14"/>
        <v>297.5</v>
      </c>
      <c r="D139" s="5">
        <f t="shared" si="13"/>
        <v>22.5</v>
      </c>
      <c r="E139">
        <v>0</v>
      </c>
      <c r="F139">
        <v>0</v>
      </c>
      <c r="G139" s="5">
        <v>0</v>
      </c>
      <c r="J139" s="4">
        <v>320</v>
      </c>
      <c r="K139">
        <v>302.5</v>
      </c>
      <c r="L139" s="5">
        <v>17.5</v>
      </c>
      <c r="M139">
        <v>28.720000000000027</v>
      </c>
      <c r="N139">
        <v>24.480000000000018</v>
      </c>
      <c r="O139" s="5"/>
    </row>
    <row r="140" spans="2:15" x14ac:dyDescent="0.35">
      <c r="B140" s="4">
        <v>320</v>
      </c>
      <c r="C140">
        <f t="shared" si="14"/>
        <v>300</v>
      </c>
      <c r="D140" s="5">
        <f t="shared" si="13"/>
        <v>20</v>
      </c>
      <c r="E140">
        <f>324.94-294.02</f>
        <v>30.920000000000016</v>
      </c>
      <c r="F140">
        <v>0</v>
      </c>
      <c r="G140" s="5">
        <v>0</v>
      </c>
      <c r="J140" s="4">
        <v>320</v>
      </c>
      <c r="K140">
        <v>305</v>
      </c>
      <c r="L140" s="5">
        <v>15</v>
      </c>
      <c r="M140">
        <v>26.430000000000007</v>
      </c>
      <c r="N140">
        <v>22.050000000000011</v>
      </c>
      <c r="O140" s="5"/>
    </row>
    <row r="141" spans="2:15" x14ac:dyDescent="0.35">
      <c r="B141" s="4">
        <v>320</v>
      </c>
      <c r="C141">
        <f t="shared" si="14"/>
        <v>302.5</v>
      </c>
      <c r="D141" s="5">
        <f t="shared" si="13"/>
        <v>17.5</v>
      </c>
      <c r="E141">
        <f>325-296.28</f>
        <v>28.720000000000027</v>
      </c>
      <c r="F141">
        <f>322.81-298.33</f>
        <v>24.480000000000018</v>
      </c>
      <c r="G141" s="5">
        <v>0</v>
      </c>
      <c r="J141" s="4">
        <v>320</v>
      </c>
      <c r="K141">
        <v>310</v>
      </c>
      <c r="L141" s="5">
        <v>10</v>
      </c>
      <c r="M141">
        <v>22.349999999999966</v>
      </c>
      <c r="N141">
        <v>17.640000000000043</v>
      </c>
      <c r="O141" s="5">
        <v>13.199999999999989</v>
      </c>
    </row>
    <row r="142" spans="2:15" x14ac:dyDescent="0.35">
      <c r="B142" s="4">
        <v>320</v>
      </c>
      <c r="C142">
        <f t="shared" si="14"/>
        <v>305</v>
      </c>
      <c r="D142" s="5">
        <f t="shared" si="13"/>
        <v>15</v>
      </c>
      <c r="E142">
        <f>325.07-298.64</f>
        <v>26.430000000000007</v>
      </c>
      <c r="F142">
        <f>322.82-300.77</f>
        <v>22.050000000000011</v>
      </c>
      <c r="G142" s="5">
        <v>0</v>
      </c>
      <c r="J142" s="4">
        <v>320</v>
      </c>
      <c r="K142">
        <v>312.5</v>
      </c>
      <c r="L142" s="5">
        <v>7.5</v>
      </c>
      <c r="M142">
        <v>20.399999999999977</v>
      </c>
      <c r="N142">
        <v>15.420000000000016</v>
      </c>
      <c r="O142" s="5">
        <v>10.399999999999977</v>
      </c>
    </row>
    <row r="143" spans="2:15" x14ac:dyDescent="0.35">
      <c r="B143" s="4">
        <v>320</v>
      </c>
      <c r="C143">
        <f t="shared" si="14"/>
        <v>307.5</v>
      </c>
      <c r="D143" s="5">
        <f t="shared" si="13"/>
        <v>12.5</v>
      </c>
      <c r="E143">
        <v>0</v>
      </c>
      <c r="F143">
        <v>0</v>
      </c>
      <c r="G143" s="5">
        <v>0</v>
      </c>
      <c r="J143" s="4">
        <v>320</v>
      </c>
      <c r="K143">
        <v>315</v>
      </c>
      <c r="L143" s="5">
        <v>5</v>
      </c>
      <c r="M143">
        <v>19.069999999999993</v>
      </c>
      <c r="N143">
        <v>13.839999999999975</v>
      </c>
      <c r="O143" s="5">
        <v>9.1000000000000227</v>
      </c>
    </row>
    <row r="144" spans="2:15" x14ac:dyDescent="0.35">
      <c r="B144" s="4">
        <v>320</v>
      </c>
      <c r="C144">
        <f t="shared" si="14"/>
        <v>310</v>
      </c>
      <c r="D144" s="5">
        <f t="shared" si="13"/>
        <v>10</v>
      </c>
      <c r="E144">
        <f>325.4-303.05</f>
        <v>22.349999999999966</v>
      </c>
      <c r="F144">
        <f>322.98-305.34</f>
        <v>17.640000000000043</v>
      </c>
      <c r="G144" s="5">
        <f>320.2-307</f>
        <v>13.199999999999989</v>
      </c>
      <c r="J144" s="4">
        <v>320</v>
      </c>
      <c r="K144">
        <v>317.5</v>
      </c>
      <c r="L144" s="5">
        <v>2.5</v>
      </c>
      <c r="M144">
        <v>18.299999999999955</v>
      </c>
      <c r="N144">
        <v>12.889999999999986</v>
      </c>
      <c r="O144" s="5">
        <v>7.089999999999975</v>
      </c>
    </row>
    <row r="145" spans="2:15" x14ac:dyDescent="0.35">
      <c r="B145" s="4">
        <v>320</v>
      </c>
      <c r="C145">
        <f t="shared" si="14"/>
        <v>312.5</v>
      </c>
      <c r="D145" s="5">
        <f t="shared" si="13"/>
        <v>7.5</v>
      </c>
      <c r="E145">
        <f>325.77-305.37</f>
        <v>20.399999999999977</v>
      </c>
      <c r="F145">
        <f>323.22-307.8</f>
        <v>15.420000000000016</v>
      </c>
      <c r="G145" s="5">
        <f>320.4-310</f>
        <v>10.399999999999977</v>
      </c>
      <c r="J145" s="4">
        <v>320</v>
      </c>
      <c r="K145">
        <v>320</v>
      </c>
      <c r="L145" s="5">
        <v>0</v>
      </c>
      <c r="M145">
        <v>18.080000000000041</v>
      </c>
      <c r="N145">
        <v>12.580000000000041</v>
      </c>
      <c r="O145" s="5">
        <v>6.6999999999999886</v>
      </c>
    </row>
    <row r="146" spans="2:15" x14ac:dyDescent="0.35">
      <c r="B146" s="4">
        <v>320</v>
      </c>
      <c r="C146">
        <f t="shared" si="14"/>
        <v>315</v>
      </c>
      <c r="D146" s="5">
        <f t="shared" si="13"/>
        <v>5</v>
      </c>
      <c r="E146">
        <f>326.26-307.19</f>
        <v>19.069999999999993</v>
      </c>
      <c r="F146">
        <f>323.59-309.75</f>
        <v>13.839999999999975</v>
      </c>
      <c r="G146" s="5">
        <f>320.6-311.5</f>
        <v>9.1000000000000227</v>
      </c>
      <c r="J146" s="4">
        <v>320</v>
      </c>
      <c r="K146">
        <v>322.5</v>
      </c>
      <c r="L146" s="5">
        <v>2.5</v>
      </c>
      <c r="M146">
        <v>18.29000000000002</v>
      </c>
      <c r="N146">
        <v>12.830000000000041</v>
      </c>
      <c r="O146" s="5">
        <v>7</v>
      </c>
    </row>
    <row r="147" spans="2:15" x14ac:dyDescent="0.35">
      <c r="B147" s="4">
        <v>320</v>
      </c>
      <c r="C147">
        <f t="shared" si="14"/>
        <v>317.5</v>
      </c>
      <c r="D147" s="5">
        <f t="shared" si="13"/>
        <v>2.5</v>
      </c>
      <c r="E147">
        <f>326.84-308.54</f>
        <v>18.299999999999955</v>
      </c>
      <c r="F147">
        <f>324.09-311.2</f>
        <v>12.889999999999986</v>
      </c>
      <c r="G147" s="5">
        <f>321.15-314.06</f>
        <v>7.089999999999975</v>
      </c>
      <c r="J147" s="4">
        <v>320</v>
      </c>
      <c r="K147">
        <v>325</v>
      </c>
      <c r="L147" s="5">
        <v>5</v>
      </c>
      <c r="M147">
        <v>19.800000000000011</v>
      </c>
      <c r="N147">
        <v>14.620000000000005</v>
      </c>
      <c r="O147" s="5">
        <v>9.5</v>
      </c>
    </row>
    <row r="148" spans="2:15" x14ac:dyDescent="0.35">
      <c r="B148" s="4">
        <v>320</v>
      </c>
      <c r="C148">
        <f t="shared" si="14"/>
        <v>320</v>
      </c>
      <c r="D148" s="5">
        <f t="shared" si="13"/>
        <v>0</v>
      </c>
      <c r="E148">
        <f>327.72-309.64</f>
        <v>18.080000000000041</v>
      </c>
      <c r="F148">
        <f>324.92-312.34</f>
        <v>12.580000000000041</v>
      </c>
      <c r="G148" s="5">
        <f>321.5-314.8</f>
        <v>6.6999999999999886</v>
      </c>
      <c r="J148" s="4">
        <v>320</v>
      </c>
      <c r="K148">
        <v>327.5</v>
      </c>
      <c r="L148" s="5">
        <v>7.5</v>
      </c>
      <c r="M148">
        <v>20.800000000000011</v>
      </c>
      <c r="N148">
        <v>15.770000000000039</v>
      </c>
      <c r="O148" s="5">
        <v>11.099999999999966</v>
      </c>
    </row>
    <row r="149" spans="2:15" ht="15" thickBot="1" x14ac:dyDescent="0.4">
      <c r="B149" s="4">
        <v>320</v>
      </c>
      <c r="C149">
        <f t="shared" si="14"/>
        <v>322.5</v>
      </c>
      <c r="D149" s="5">
        <f>C149-B149</f>
        <v>2.5</v>
      </c>
      <c r="E149">
        <f>328.57-310.28</f>
        <v>18.29000000000002</v>
      </c>
      <c r="F149">
        <f>325.79-312.96</f>
        <v>12.830000000000041</v>
      </c>
      <c r="G149" s="5">
        <f>322.8-315.8</f>
        <v>7</v>
      </c>
      <c r="J149" s="6">
        <v>320</v>
      </c>
      <c r="K149" s="7">
        <v>330</v>
      </c>
      <c r="L149" s="8">
        <v>10</v>
      </c>
      <c r="M149" s="7">
        <v>22.45999999999998</v>
      </c>
      <c r="N149" s="7">
        <v>17.620000000000005</v>
      </c>
      <c r="O149" s="8">
        <v>13</v>
      </c>
    </row>
    <row r="150" spans="2:15" x14ac:dyDescent="0.35">
      <c r="B150" s="4">
        <v>320</v>
      </c>
      <c r="C150">
        <f t="shared" si="14"/>
        <v>325</v>
      </c>
      <c r="D150" s="5">
        <f>C150-B150</f>
        <v>5</v>
      </c>
      <c r="E150">
        <f>331.04-311.24</f>
        <v>19.800000000000011</v>
      </c>
      <c r="F150">
        <f>328.38-313.76</f>
        <v>14.620000000000005</v>
      </c>
      <c r="G150" s="5">
        <f>325.5-316</f>
        <v>9.5</v>
      </c>
    </row>
    <row r="151" spans="2:15" x14ac:dyDescent="0.35">
      <c r="B151" s="4">
        <v>320</v>
      </c>
      <c r="C151">
        <f t="shared" si="14"/>
        <v>327.5</v>
      </c>
      <c r="D151" s="5">
        <f>C151-B151</f>
        <v>7.5</v>
      </c>
      <c r="E151">
        <f>332.25-311.45</f>
        <v>20.800000000000011</v>
      </c>
      <c r="F151">
        <f>329.67-313.9</f>
        <v>15.770000000000039</v>
      </c>
      <c r="G151" s="5">
        <f>326.9-315.8</f>
        <v>11.099999999999966</v>
      </c>
    </row>
    <row r="152" spans="2:15" ht="15" thickBot="1" x14ac:dyDescent="0.4">
      <c r="B152" s="6">
        <v>320</v>
      </c>
      <c r="C152" s="7">
        <f t="shared" si="14"/>
        <v>330</v>
      </c>
      <c r="D152" s="8">
        <f>C152-B152</f>
        <v>10</v>
      </c>
      <c r="E152" s="7">
        <f>334.12-311.66</f>
        <v>22.45999999999998</v>
      </c>
      <c r="F152" s="7">
        <f>331.63-314.01</f>
        <v>17.620000000000005</v>
      </c>
      <c r="G152" s="8">
        <f>329.2-316.2</f>
        <v>13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3"/>
  <sheetViews>
    <sheetView workbookViewId="0">
      <selection activeCell="A75" sqref="A75:B75"/>
    </sheetView>
  </sheetViews>
  <sheetFormatPr defaultRowHeight="14.5" x14ac:dyDescent="0.35"/>
  <cols>
    <col min="1" max="2" width="8.7265625" customWidth="1"/>
    <col min="3" max="3" width="14.54296875" customWidth="1"/>
    <col min="4" max="5" width="13.1796875" customWidth="1"/>
    <col min="6" max="7" width="17.54296875" customWidth="1"/>
    <col min="8" max="12" width="8.7265625" customWidth="1"/>
    <col min="13" max="14" width="9.7265625" customWidth="1"/>
    <col min="15" max="15" width="8.7265625" customWidth="1"/>
  </cols>
  <sheetData>
    <row r="1" spans="1:23" ht="15" thickBot="1" x14ac:dyDescent="0.4">
      <c r="D1" t="s">
        <v>18</v>
      </c>
      <c r="E1" t="s">
        <v>19</v>
      </c>
    </row>
    <row r="2" spans="1:23" ht="15" thickBot="1" x14ac:dyDescent="0.4">
      <c r="A2" s="12" t="s">
        <v>3</v>
      </c>
      <c r="B2" s="13" t="s">
        <v>4</v>
      </c>
      <c r="C2" s="13" t="s">
        <v>9</v>
      </c>
      <c r="D2" s="13" t="s">
        <v>10</v>
      </c>
      <c r="E2" s="13" t="str">
        <f>D2</f>
        <v>Main value</v>
      </c>
      <c r="F2" s="13" t="s">
        <v>11</v>
      </c>
      <c r="G2" s="13"/>
      <c r="H2" s="14" t="s">
        <v>5</v>
      </c>
      <c r="I2" s="12" t="s">
        <v>6</v>
      </c>
      <c r="J2" s="13" t="s">
        <v>20</v>
      </c>
      <c r="K2" s="13" t="s">
        <v>7</v>
      </c>
      <c r="L2" s="13" t="s">
        <v>20</v>
      </c>
      <c r="M2" s="13" t="s">
        <v>8</v>
      </c>
      <c r="N2" s="23" t="s">
        <v>20</v>
      </c>
    </row>
    <row r="3" spans="1:23" x14ac:dyDescent="0.35">
      <c r="A3" s="15">
        <v>290</v>
      </c>
      <c r="B3" s="16">
        <v>310</v>
      </c>
      <c r="C3" s="16">
        <f t="shared" ref="C3:C10" si="0">(A$3-B3)/B3</f>
        <v>-6.4516129032258063E-2</v>
      </c>
      <c r="D3" s="16">
        <f t="shared" ref="D3:D10" si="1">(A$3+B3)/2</f>
        <v>300</v>
      </c>
      <c r="E3" s="16"/>
      <c r="F3" s="16">
        <f t="shared" ref="F3:F10" si="2">D3-A3</f>
        <v>10</v>
      </c>
      <c r="G3" s="16">
        <f>H3/D3*100</f>
        <v>6.666666666666667</v>
      </c>
      <c r="H3" s="16">
        <v>20</v>
      </c>
      <c r="I3" s="15">
        <v>31.620000000000005</v>
      </c>
      <c r="J3" s="16">
        <f>I3/D3*100</f>
        <v>10.540000000000003</v>
      </c>
      <c r="K3" s="16"/>
      <c r="L3" s="16"/>
      <c r="M3" s="16"/>
      <c r="N3" s="17"/>
      <c r="O3">
        <f>H3/D3</f>
        <v>6.6666666666666666E-2</v>
      </c>
      <c r="P3">
        <f>I3/D3</f>
        <v>0.10540000000000002</v>
      </c>
    </row>
    <row r="4" spans="1:23" x14ac:dyDescent="0.35">
      <c r="A4" s="18">
        <v>290</v>
      </c>
      <c r="B4">
        <v>305</v>
      </c>
      <c r="C4">
        <f t="shared" si="0"/>
        <v>-4.9180327868852458E-2</v>
      </c>
      <c r="D4">
        <f t="shared" si="1"/>
        <v>297.5</v>
      </c>
      <c r="F4">
        <f t="shared" si="2"/>
        <v>7.5</v>
      </c>
      <c r="G4">
        <f t="shared" ref="G4:G10" si="3">H4/D4*100</f>
        <v>5.0420168067226889</v>
      </c>
      <c r="H4">
        <v>15</v>
      </c>
      <c r="I4" s="18">
        <v>27.009999999999991</v>
      </c>
      <c r="J4">
        <f t="shared" ref="J4:J10" si="4">I4/D4*100</f>
        <v>9.0789915966386516</v>
      </c>
      <c r="K4">
        <v>22.840000000000032</v>
      </c>
      <c r="L4">
        <f>K4/D4*100</f>
        <v>7.6773109243697579</v>
      </c>
      <c r="N4" s="19"/>
    </row>
    <row r="5" spans="1:23" x14ac:dyDescent="0.35">
      <c r="A5" s="18">
        <v>290</v>
      </c>
      <c r="B5">
        <v>302.5</v>
      </c>
      <c r="C5">
        <f t="shared" si="0"/>
        <v>-4.1322314049586778E-2</v>
      </c>
      <c r="D5">
        <f t="shared" si="1"/>
        <v>296.25</v>
      </c>
      <c r="F5">
        <f t="shared" si="2"/>
        <v>6.25</v>
      </c>
      <c r="G5">
        <f t="shared" si="3"/>
        <v>4.2194092827004219</v>
      </c>
      <c r="H5">
        <v>12.5</v>
      </c>
      <c r="I5" s="18">
        <v>24.639999999999986</v>
      </c>
      <c r="J5">
        <f t="shared" si="4"/>
        <v>8.3172995780590675</v>
      </c>
      <c r="K5">
        <v>20.370000000000005</v>
      </c>
      <c r="L5">
        <f t="shared" ref="L5:L10" si="5">K5/D5*100</f>
        <v>6.8759493670886087</v>
      </c>
      <c r="N5" s="19"/>
    </row>
    <row r="6" spans="1:23" x14ac:dyDescent="0.35">
      <c r="A6" s="26">
        <v>290</v>
      </c>
      <c r="B6" s="25">
        <v>300</v>
      </c>
      <c r="C6">
        <f t="shared" si="0"/>
        <v>-3.3333333333333333E-2</v>
      </c>
      <c r="D6">
        <f t="shared" si="1"/>
        <v>295</v>
      </c>
      <c r="F6">
        <f t="shared" si="2"/>
        <v>5</v>
      </c>
      <c r="G6">
        <f t="shared" si="3"/>
        <v>3.3898305084745761</v>
      </c>
      <c r="H6">
        <v>10</v>
      </c>
      <c r="I6" s="18">
        <v>22.53000000000003</v>
      </c>
      <c r="J6">
        <f t="shared" si="4"/>
        <v>7.6372881355932298</v>
      </c>
      <c r="K6">
        <v>18.139999999999986</v>
      </c>
      <c r="L6">
        <f t="shared" si="5"/>
        <v>6.1491525423728763</v>
      </c>
      <c r="M6">
        <v>13.5</v>
      </c>
      <c r="N6" s="19">
        <f>M6/D6*100</f>
        <v>4.5762711864406782</v>
      </c>
    </row>
    <row r="7" spans="1:23" x14ac:dyDescent="0.35">
      <c r="A7" s="18">
        <v>290</v>
      </c>
      <c r="B7">
        <v>297.5</v>
      </c>
      <c r="C7">
        <f t="shared" si="0"/>
        <v>-2.5210084033613446E-2</v>
      </c>
      <c r="D7">
        <f t="shared" si="1"/>
        <v>293.75</v>
      </c>
      <c r="F7">
        <f t="shared" si="2"/>
        <v>3.75</v>
      </c>
      <c r="G7">
        <f t="shared" si="3"/>
        <v>2.5531914893617018</v>
      </c>
      <c r="H7">
        <v>7.5</v>
      </c>
      <c r="I7" s="18">
        <v>20.610000000000014</v>
      </c>
      <c r="J7">
        <f t="shared" si="4"/>
        <v>7.0161702127659629</v>
      </c>
      <c r="K7">
        <v>16.019999999999982</v>
      </c>
      <c r="L7">
        <f t="shared" si="5"/>
        <v>5.4536170212765898</v>
      </c>
      <c r="M7">
        <v>11.199999999999989</v>
      </c>
      <c r="N7" s="19">
        <f>M7/D7*100</f>
        <v>3.8127659574468042</v>
      </c>
    </row>
    <row r="8" spans="1:23" x14ac:dyDescent="0.35">
      <c r="A8" s="18">
        <v>290</v>
      </c>
      <c r="B8">
        <v>285</v>
      </c>
      <c r="C8">
        <f t="shared" si="0"/>
        <v>1.7543859649122806E-2</v>
      </c>
      <c r="D8">
        <f t="shared" si="1"/>
        <v>287.5</v>
      </c>
      <c r="F8">
        <f t="shared" si="2"/>
        <v>-2.5</v>
      </c>
      <c r="G8">
        <f t="shared" si="3"/>
        <v>1.7391304347826086</v>
      </c>
      <c r="H8">
        <v>5</v>
      </c>
      <c r="I8" s="18">
        <v>19.460000000000036</v>
      </c>
      <c r="J8">
        <f t="shared" si="4"/>
        <v>6.7686956521739257</v>
      </c>
      <c r="K8">
        <v>14.839999999999975</v>
      </c>
      <c r="L8">
        <f t="shared" si="5"/>
        <v>5.1617391304347739</v>
      </c>
      <c r="M8">
        <v>10.019999999999982</v>
      </c>
      <c r="N8" s="19">
        <f>M8/D8*100</f>
        <v>3.4852173913043414</v>
      </c>
    </row>
    <row r="9" spans="1:23" x14ac:dyDescent="0.35">
      <c r="A9" s="18">
        <v>290</v>
      </c>
      <c r="B9">
        <v>282.5</v>
      </c>
      <c r="C9">
        <f t="shared" si="0"/>
        <v>2.6548672566371681E-2</v>
      </c>
      <c r="D9">
        <f t="shared" si="1"/>
        <v>286.25</v>
      </c>
      <c r="F9">
        <f t="shared" si="2"/>
        <v>-3.75</v>
      </c>
      <c r="G9">
        <f t="shared" si="3"/>
        <v>2.6200873362445414</v>
      </c>
      <c r="H9">
        <v>7.5</v>
      </c>
      <c r="I9" s="18">
        <v>22.409999999999968</v>
      </c>
      <c r="J9">
        <f t="shared" si="4"/>
        <v>7.8288209606986792</v>
      </c>
      <c r="K9">
        <v>18.180000000000007</v>
      </c>
      <c r="L9">
        <f t="shared" si="5"/>
        <v>6.3510917030567713</v>
      </c>
      <c r="M9">
        <v>13.680000000000007</v>
      </c>
      <c r="N9" s="19">
        <f>M9/D9*100</f>
        <v>4.7790393013100463</v>
      </c>
    </row>
    <row r="10" spans="1:23" ht="15" thickBot="1" x14ac:dyDescent="0.4">
      <c r="A10" s="20">
        <v>290</v>
      </c>
      <c r="B10" s="21">
        <v>280</v>
      </c>
      <c r="C10" s="21">
        <f t="shared" si="0"/>
        <v>3.5714285714285712E-2</v>
      </c>
      <c r="D10" s="21">
        <f t="shared" si="1"/>
        <v>285</v>
      </c>
      <c r="E10" s="21"/>
      <c r="F10" s="21">
        <f t="shared" si="2"/>
        <v>-5</v>
      </c>
      <c r="G10" s="21">
        <f t="shared" si="3"/>
        <v>3.5087719298245612</v>
      </c>
      <c r="H10" s="21">
        <v>10</v>
      </c>
      <c r="I10" s="20">
        <v>25.950000000000045</v>
      </c>
      <c r="J10" s="21">
        <f t="shared" si="4"/>
        <v>9.1052631578947523</v>
      </c>
      <c r="K10" s="21">
        <v>21.92999999999995</v>
      </c>
      <c r="L10">
        <f t="shared" si="5"/>
        <v>7.6947368421052458</v>
      </c>
      <c r="M10" s="21"/>
      <c r="N10" s="22"/>
    </row>
    <row r="12" spans="1:23" ht="15" thickBot="1" x14ac:dyDescent="0.4"/>
    <row r="13" spans="1:23" ht="15" thickBot="1" x14ac:dyDescent="0.4">
      <c r="A13" s="1" t="s">
        <v>3</v>
      </c>
      <c r="B13" s="2" t="s">
        <v>4</v>
      </c>
      <c r="C13" s="2"/>
      <c r="D13" s="2"/>
      <c r="E13" s="2"/>
      <c r="F13" s="2"/>
      <c r="G13" s="2"/>
      <c r="H13" s="3" t="s">
        <v>5</v>
      </c>
      <c r="I13" s="2" t="s">
        <v>6</v>
      </c>
      <c r="J13" s="2"/>
      <c r="K13" s="2" t="s">
        <v>7</v>
      </c>
      <c r="L13" s="2"/>
      <c r="M13" s="3" t="s">
        <v>8</v>
      </c>
      <c r="P13" s="29" t="s">
        <v>12</v>
      </c>
      <c r="Q13" s="29"/>
      <c r="S13" s="29" t="s">
        <v>13</v>
      </c>
      <c r="T13" s="29"/>
      <c r="V13" s="29" t="s">
        <v>14</v>
      </c>
      <c r="W13" s="29"/>
    </row>
    <row r="14" spans="1:23" ht="15" thickBot="1" x14ac:dyDescent="0.4">
      <c r="A14" s="4">
        <v>280</v>
      </c>
      <c r="B14">
        <v>270</v>
      </c>
      <c r="C14">
        <f t="shared" ref="C14:C24" si="6">(A14-B14)/B14</f>
        <v>3.7037037037037035E-2</v>
      </c>
      <c r="D14">
        <f t="shared" ref="D14:D24" si="7">(A$14+B14)/2</f>
        <v>275</v>
      </c>
      <c r="F14">
        <f t="shared" ref="F14:F23" si="8">D14-A14</f>
        <v>-5</v>
      </c>
      <c r="H14" s="5">
        <v>10</v>
      </c>
      <c r="I14">
        <v>27.02000000000001</v>
      </c>
      <c r="M14" s="5"/>
      <c r="P14" t="s">
        <v>15</v>
      </c>
      <c r="Q14" t="s">
        <v>16</v>
      </c>
    </row>
    <row r="15" spans="1:23" x14ac:dyDescent="0.35">
      <c r="A15" s="4">
        <v>280</v>
      </c>
      <c r="B15">
        <v>275</v>
      </c>
      <c r="C15">
        <f t="shared" si="6"/>
        <v>1.8181818181818181E-2</v>
      </c>
      <c r="D15">
        <f t="shared" si="7"/>
        <v>277.5</v>
      </c>
      <c r="F15">
        <f t="shared" si="8"/>
        <v>-2.5</v>
      </c>
      <c r="H15" s="5">
        <v>5</v>
      </c>
      <c r="I15">
        <v>20.120000000000005</v>
      </c>
      <c r="K15">
        <v>15.879999999999995</v>
      </c>
      <c r="M15" s="5">
        <v>11.199999999999989</v>
      </c>
      <c r="P15" s="12">
        <v>-2.5</v>
      </c>
      <c r="Q15" s="14">
        <v>15.879999999999995</v>
      </c>
      <c r="S15" s="12">
        <v>-5</v>
      </c>
      <c r="T15" s="14">
        <v>27.02000000000001</v>
      </c>
      <c r="V15" s="12">
        <v>-2.5</v>
      </c>
      <c r="W15" s="14">
        <v>11.199999999999989</v>
      </c>
    </row>
    <row r="16" spans="1:23" x14ac:dyDescent="0.35">
      <c r="A16" s="4">
        <v>280</v>
      </c>
      <c r="B16">
        <v>277.5</v>
      </c>
      <c r="C16">
        <f t="shared" si="6"/>
        <v>9.0090090090090089E-3</v>
      </c>
      <c r="D16">
        <f t="shared" si="7"/>
        <v>278.75</v>
      </c>
      <c r="F16">
        <f t="shared" si="8"/>
        <v>-1.25</v>
      </c>
      <c r="H16" s="5">
        <v>2.5</v>
      </c>
      <c r="I16">
        <v>19.699999999999989</v>
      </c>
      <c r="K16">
        <v>15.379999999999995</v>
      </c>
      <c r="M16" s="5">
        <v>10.299999999999955</v>
      </c>
      <c r="P16" s="4">
        <v>-1.25</v>
      </c>
      <c r="Q16" s="5">
        <v>15.379999999999995</v>
      </c>
      <c r="S16" s="4">
        <v>-2.5</v>
      </c>
      <c r="T16" s="5">
        <v>20.120000000000005</v>
      </c>
      <c r="V16" s="4">
        <v>-1.25</v>
      </c>
      <c r="W16" s="5">
        <v>10.299999999999955</v>
      </c>
    </row>
    <row r="17" spans="1:23" x14ac:dyDescent="0.35">
      <c r="A17" s="4">
        <v>280</v>
      </c>
      <c r="B17">
        <v>282.5</v>
      </c>
      <c r="C17">
        <f t="shared" si="6"/>
        <v>-8.8495575221238937E-3</v>
      </c>
      <c r="D17">
        <f t="shared" si="7"/>
        <v>281.25</v>
      </c>
      <c r="F17">
        <f t="shared" si="8"/>
        <v>1.25</v>
      </c>
      <c r="H17" s="5">
        <v>2.5</v>
      </c>
      <c r="I17">
        <v>17.600000000000023</v>
      </c>
      <c r="K17">
        <v>12.79000000000002</v>
      </c>
      <c r="M17" s="5">
        <v>7.5</v>
      </c>
      <c r="P17" s="4">
        <v>1.25</v>
      </c>
      <c r="Q17" s="5">
        <v>12.79000000000002</v>
      </c>
      <c r="S17" s="4">
        <v>-1.25</v>
      </c>
      <c r="T17" s="5">
        <v>19.699999999999989</v>
      </c>
      <c r="V17" s="4">
        <v>1.25</v>
      </c>
      <c r="W17" s="5">
        <v>7.5</v>
      </c>
    </row>
    <row r="18" spans="1:23" x14ac:dyDescent="0.35">
      <c r="A18" s="24">
        <v>280</v>
      </c>
      <c r="B18" s="25">
        <v>285</v>
      </c>
      <c r="C18">
        <f t="shared" si="6"/>
        <v>-1.7543859649122806E-2</v>
      </c>
      <c r="D18">
        <f t="shared" si="7"/>
        <v>282.5</v>
      </c>
      <c r="F18">
        <f t="shared" si="8"/>
        <v>2.5</v>
      </c>
      <c r="H18" s="5">
        <v>5</v>
      </c>
      <c r="I18">
        <v>20.139999999999986</v>
      </c>
      <c r="K18">
        <v>15.79000000000002</v>
      </c>
      <c r="M18" s="5">
        <v>11.399999999999977</v>
      </c>
      <c r="P18" s="4">
        <v>2.5</v>
      </c>
      <c r="Q18" s="5">
        <v>15.79000000000002</v>
      </c>
      <c r="S18" s="4">
        <v>1.25</v>
      </c>
      <c r="T18" s="5">
        <v>17.600000000000023</v>
      </c>
      <c r="V18" s="4">
        <v>2.5</v>
      </c>
      <c r="W18" s="5">
        <v>11.399999999999977</v>
      </c>
    </row>
    <row r="19" spans="1:23" ht="15" thickBot="1" x14ac:dyDescent="0.4">
      <c r="A19" s="4">
        <v>280</v>
      </c>
      <c r="B19">
        <v>287.5</v>
      </c>
      <c r="C19">
        <f t="shared" si="6"/>
        <v>-2.6086956521739129E-2</v>
      </c>
      <c r="D19">
        <f t="shared" si="7"/>
        <v>283.75</v>
      </c>
      <c r="F19">
        <f t="shared" si="8"/>
        <v>3.75</v>
      </c>
      <c r="H19" s="5">
        <v>7.5</v>
      </c>
      <c r="I19">
        <v>29.760000000000019</v>
      </c>
      <c r="M19" s="5"/>
      <c r="P19" s="4">
        <v>5</v>
      </c>
      <c r="Q19" s="5">
        <v>21.92999999999995</v>
      </c>
      <c r="S19" s="4">
        <v>2.5</v>
      </c>
      <c r="T19" s="5">
        <v>20.139999999999986</v>
      </c>
      <c r="V19" s="6">
        <v>13.75</v>
      </c>
      <c r="W19" s="8">
        <v>10.300000000000011</v>
      </c>
    </row>
    <row r="20" spans="1:23" x14ac:dyDescent="0.35">
      <c r="A20" s="4">
        <v>280</v>
      </c>
      <c r="B20">
        <v>290</v>
      </c>
      <c r="C20">
        <f t="shared" si="6"/>
        <v>-3.4482758620689655E-2</v>
      </c>
      <c r="D20">
        <f t="shared" si="7"/>
        <v>285</v>
      </c>
      <c r="F20">
        <f t="shared" si="8"/>
        <v>5</v>
      </c>
      <c r="H20" s="5">
        <v>10</v>
      </c>
      <c r="I20">
        <v>25.950000000000045</v>
      </c>
      <c r="K20">
        <v>21.92999999999995</v>
      </c>
      <c r="M20" s="5"/>
      <c r="P20" s="4">
        <v>6.25</v>
      </c>
      <c r="Q20" s="5">
        <v>22.199999999999989</v>
      </c>
      <c r="S20" s="4">
        <v>3.75</v>
      </c>
      <c r="T20" s="5">
        <v>29.760000000000019</v>
      </c>
    </row>
    <row r="21" spans="1:23" x14ac:dyDescent="0.35">
      <c r="A21" s="4">
        <v>280</v>
      </c>
      <c r="B21">
        <v>292.5</v>
      </c>
      <c r="C21">
        <f t="shared" si="6"/>
        <v>-4.2735042735042736E-2</v>
      </c>
      <c r="D21">
        <f t="shared" si="7"/>
        <v>286.25</v>
      </c>
      <c r="F21">
        <f t="shared" si="8"/>
        <v>6.25</v>
      </c>
      <c r="H21" s="5">
        <v>12.5</v>
      </c>
      <c r="I21">
        <v>26.079999999999984</v>
      </c>
      <c r="K21">
        <v>22.199999999999989</v>
      </c>
      <c r="M21" s="5"/>
      <c r="P21" s="4">
        <v>7.5</v>
      </c>
      <c r="Q21" s="5">
        <v>19.759999999999991</v>
      </c>
      <c r="S21" s="4">
        <v>5</v>
      </c>
      <c r="T21" s="5">
        <v>25.950000000000045</v>
      </c>
    </row>
    <row r="22" spans="1:23" ht="15" thickBot="1" x14ac:dyDescent="0.4">
      <c r="A22" s="4">
        <v>280</v>
      </c>
      <c r="B22">
        <v>295</v>
      </c>
      <c r="C22">
        <f t="shared" si="6"/>
        <v>-5.0847457627118647E-2</v>
      </c>
      <c r="D22">
        <f t="shared" si="7"/>
        <v>287.5</v>
      </c>
      <c r="F22">
        <f t="shared" si="8"/>
        <v>7.5</v>
      </c>
      <c r="H22" s="5">
        <v>15</v>
      </c>
      <c r="I22">
        <v>23.740000000000009</v>
      </c>
      <c r="K22">
        <v>19.759999999999991</v>
      </c>
      <c r="M22" s="5"/>
      <c r="P22" s="6">
        <v>13.75</v>
      </c>
      <c r="Q22" s="8">
        <v>14.649999999999977</v>
      </c>
      <c r="S22" s="4">
        <v>6.25</v>
      </c>
      <c r="T22" s="5">
        <v>26.079999999999984</v>
      </c>
    </row>
    <row r="23" spans="1:23" x14ac:dyDescent="0.35">
      <c r="A23" s="4">
        <v>280</v>
      </c>
      <c r="B23">
        <v>307.5</v>
      </c>
      <c r="C23">
        <f t="shared" si="6"/>
        <v>-8.943089430894309E-2</v>
      </c>
      <c r="D23">
        <f t="shared" si="7"/>
        <v>293.75</v>
      </c>
      <c r="F23">
        <f t="shared" si="8"/>
        <v>13.75</v>
      </c>
      <c r="H23" s="5">
        <v>27.5</v>
      </c>
      <c r="I23">
        <v>19.039999999999964</v>
      </c>
      <c r="K23">
        <v>14.649999999999977</v>
      </c>
      <c r="M23" s="5">
        <v>10.300000000000011</v>
      </c>
      <c r="S23" s="4">
        <v>7.5</v>
      </c>
      <c r="T23" s="5">
        <v>23.740000000000009</v>
      </c>
    </row>
    <row r="24" spans="1:23" ht="15" thickBot="1" x14ac:dyDescent="0.4">
      <c r="A24" s="6">
        <v>280</v>
      </c>
      <c r="B24" s="7">
        <v>280</v>
      </c>
      <c r="C24">
        <f t="shared" si="6"/>
        <v>0</v>
      </c>
      <c r="D24">
        <f t="shared" si="7"/>
        <v>280</v>
      </c>
      <c r="H24" s="8"/>
      <c r="I24" s="7">
        <v>15.400000000000034</v>
      </c>
      <c r="J24" s="7"/>
      <c r="K24" s="7">
        <v>11.199999999999989</v>
      </c>
      <c r="L24" s="7"/>
      <c r="M24" s="8">
        <v>6.1999999999999886</v>
      </c>
      <c r="S24" s="6">
        <v>13.75</v>
      </c>
      <c r="T24" s="8">
        <v>19.039999999999964</v>
      </c>
    </row>
    <row r="26" spans="1:23" ht="15" thickBot="1" x14ac:dyDescent="0.4"/>
    <row r="27" spans="1:23" ht="15" thickBot="1" x14ac:dyDescent="0.4">
      <c r="A27" s="1" t="s">
        <v>3</v>
      </c>
      <c r="B27" s="2" t="s">
        <v>4</v>
      </c>
      <c r="C27" s="2"/>
      <c r="D27" s="2"/>
      <c r="E27" s="2"/>
      <c r="F27" s="2"/>
      <c r="G27" s="2"/>
      <c r="H27" s="3" t="s">
        <v>5</v>
      </c>
      <c r="I27" s="2" t="s">
        <v>6</v>
      </c>
      <c r="J27" s="2"/>
      <c r="K27" s="2" t="s">
        <v>7</v>
      </c>
      <c r="L27" s="2"/>
      <c r="M27" s="3" t="s">
        <v>8</v>
      </c>
      <c r="Q27" t="s">
        <v>17</v>
      </c>
      <c r="R27" s="2" t="s">
        <v>7</v>
      </c>
      <c r="S27" s="3" t="s">
        <v>8</v>
      </c>
    </row>
    <row r="28" spans="1:23" x14ac:dyDescent="0.35">
      <c r="A28" s="4">
        <v>270</v>
      </c>
      <c r="B28">
        <v>272.5</v>
      </c>
      <c r="C28">
        <f t="shared" ref="C28:C35" si="9">(A28-B28)/B28</f>
        <v>-9.1743119266055051E-3</v>
      </c>
      <c r="D28">
        <f t="shared" ref="D28:D35" si="10">(A28+B28)/2</f>
        <v>271.25</v>
      </c>
      <c r="F28">
        <f t="shared" ref="F28:F35" si="11">D28-A28</f>
        <v>1.25</v>
      </c>
      <c r="H28" s="5">
        <v>2.5</v>
      </c>
      <c r="I28">
        <v>19.349999999999994</v>
      </c>
      <c r="K28">
        <v>15.270000000000039</v>
      </c>
      <c r="M28" s="5">
        <v>11.009999999999991</v>
      </c>
      <c r="Q28">
        <v>1.25</v>
      </c>
      <c r="R28">
        <v>15.270000000000039</v>
      </c>
      <c r="S28" s="5">
        <v>11.009999999999991</v>
      </c>
    </row>
    <row r="29" spans="1:23" x14ac:dyDescent="0.35">
      <c r="A29" s="4">
        <v>270</v>
      </c>
      <c r="B29">
        <v>275</v>
      </c>
      <c r="C29">
        <f t="shared" si="9"/>
        <v>-1.8181818181818181E-2</v>
      </c>
      <c r="D29">
        <f t="shared" si="10"/>
        <v>272.5</v>
      </c>
      <c r="F29">
        <f t="shared" si="11"/>
        <v>2.5</v>
      </c>
      <c r="H29" s="5">
        <v>5</v>
      </c>
      <c r="I29">
        <v>19.639999999999986</v>
      </c>
      <c r="K29">
        <v>15.45999999999998</v>
      </c>
      <c r="M29" s="5">
        <v>11.080000000000041</v>
      </c>
      <c r="Q29">
        <v>2.5</v>
      </c>
      <c r="R29">
        <v>15.45999999999998</v>
      </c>
      <c r="S29" s="5">
        <v>11.080000000000041</v>
      </c>
    </row>
    <row r="30" spans="1:23" x14ac:dyDescent="0.35">
      <c r="A30" s="4">
        <v>270</v>
      </c>
      <c r="B30">
        <v>277.5</v>
      </c>
      <c r="C30">
        <f t="shared" si="9"/>
        <v>-2.7027027027027029E-2</v>
      </c>
      <c r="D30">
        <f t="shared" si="10"/>
        <v>273.75</v>
      </c>
      <c r="F30">
        <f t="shared" si="11"/>
        <v>3.75</v>
      </c>
      <c r="H30" s="5">
        <v>7.5</v>
      </c>
      <c r="I30">
        <v>20.25</v>
      </c>
      <c r="K30">
        <v>16.099999999999966</v>
      </c>
      <c r="M30" s="5">
        <v>11.730000000000018</v>
      </c>
      <c r="Q30">
        <v>3.75</v>
      </c>
      <c r="R30">
        <v>16.099999999999966</v>
      </c>
      <c r="S30" s="5">
        <v>11.730000000000018</v>
      </c>
    </row>
    <row r="31" spans="1:23" x14ac:dyDescent="0.35">
      <c r="A31" s="4">
        <v>270</v>
      </c>
      <c r="B31">
        <v>280</v>
      </c>
      <c r="C31">
        <f t="shared" si="9"/>
        <v>-3.5714285714285712E-2</v>
      </c>
      <c r="D31">
        <f t="shared" si="10"/>
        <v>275</v>
      </c>
      <c r="F31">
        <f t="shared" si="11"/>
        <v>5</v>
      </c>
      <c r="H31" s="5">
        <v>10</v>
      </c>
      <c r="I31">
        <v>27.02000000000001</v>
      </c>
      <c r="M31" s="5"/>
      <c r="Q31">
        <v>8.75</v>
      </c>
      <c r="R31">
        <v>11.710000000000008</v>
      </c>
      <c r="S31" s="5">
        <v>6.7200000000000273</v>
      </c>
    </row>
    <row r="32" spans="1:23" x14ac:dyDescent="0.35">
      <c r="A32" s="4">
        <v>270</v>
      </c>
      <c r="B32">
        <v>287.5</v>
      </c>
      <c r="C32">
        <f t="shared" si="9"/>
        <v>-6.0869565217391307E-2</v>
      </c>
      <c r="D32">
        <f t="shared" si="10"/>
        <v>278.75</v>
      </c>
      <c r="F32">
        <f t="shared" si="11"/>
        <v>8.75</v>
      </c>
      <c r="H32" s="5">
        <v>17.5</v>
      </c>
      <c r="I32">
        <v>16.370000000000005</v>
      </c>
      <c r="K32">
        <v>11.710000000000008</v>
      </c>
      <c r="M32" s="5">
        <v>6.7200000000000273</v>
      </c>
      <c r="Q32">
        <v>11.25</v>
      </c>
      <c r="R32">
        <v>11.230999999999995</v>
      </c>
      <c r="S32" s="5">
        <v>5.9399999999999977</v>
      </c>
    </row>
    <row r="33" spans="1:19" x14ac:dyDescent="0.35">
      <c r="A33" s="4">
        <v>270</v>
      </c>
      <c r="B33">
        <v>292.5</v>
      </c>
      <c r="C33">
        <f t="shared" si="9"/>
        <v>-7.6923076923076927E-2</v>
      </c>
      <c r="D33">
        <f t="shared" si="10"/>
        <v>281.25</v>
      </c>
      <c r="F33">
        <f t="shared" si="11"/>
        <v>11.25</v>
      </c>
      <c r="H33" s="5">
        <v>22.5</v>
      </c>
      <c r="I33">
        <v>16.079999999999984</v>
      </c>
      <c r="K33">
        <v>11.230999999999995</v>
      </c>
      <c r="M33" s="5">
        <v>5.9399999999999977</v>
      </c>
      <c r="Q33">
        <v>12.5</v>
      </c>
      <c r="R33">
        <v>12.25</v>
      </c>
      <c r="S33" s="5">
        <v>7.0999999999999659</v>
      </c>
    </row>
    <row r="34" spans="1:19" ht="15" thickBot="1" x14ac:dyDescent="0.4">
      <c r="A34" s="4">
        <v>270</v>
      </c>
      <c r="B34">
        <v>295</v>
      </c>
      <c r="C34">
        <f t="shared" si="9"/>
        <v>-8.4745762711864403E-2</v>
      </c>
      <c r="D34">
        <f t="shared" si="10"/>
        <v>282.5</v>
      </c>
      <c r="F34">
        <f t="shared" si="11"/>
        <v>12.5</v>
      </c>
      <c r="H34" s="5">
        <v>25</v>
      </c>
      <c r="I34">
        <v>16.429999999999978</v>
      </c>
      <c r="K34">
        <v>12.25</v>
      </c>
      <c r="M34" s="5">
        <v>7.0999999999999659</v>
      </c>
      <c r="Q34">
        <v>18.75</v>
      </c>
      <c r="R34" s="7">
        <v>16.800000000000011</v>
      </c>
      <c r="S34" s="8">
        <v>13</v>
      </c>
    </row>
    <row r="35" spans="1:19" ht="15" thickBot="1" x14ac:dyDescent="0.4">
      <c r="A35" s="27">
        <v>270</v>
      </c>
      <c r="B35" s="28">
        <v>307.5</v>
      </c>
      <c r="C35">
        <f t="shared" si="9"/>
        <v>-0.12195121951219512</v>
      </c>
      <c r="D35">
        <f t="shared" si="10"/>
        <v>288.75</v>
      </c>
      <c r="F35">
        <f t="shared" si="11"/>
        <v>18.75</v>
      </c>
      <c r="H35" s="8">
        <v>37.5</v>
      </c>
      <c r="I35" s="7">
        <v>20.870000000000005</v>
      </c>
      <c r="J35" s="7"/>
      <c r="K35" s="7">
        <v>16.800000000000011</v>
      </c>
      <c r="L35" s="7"/>
      <c r="M35" s="8">
        <v>13</v>
      </c>
    </row>
    <row r="37" spans="1:19" ht="15" thickBot="1" x14ac:dyDescent="0.4"/>
    <row r="38" spans="1:19" ht="15" thickBot="1" x14ac:dyDescent="0.4">
      <c r="A38" s="1" t="s">
        <v>3</v>
      </c>
      <c r="B38" s="2" t="s">
        <v>4</v>
      </c>
      <c r="C38" s="2"/>
      <c r="D38" s="2"/>
      <c r="E38" s="2"/>
      <c r="F38" s="2"/>
      <c r="G38" s="2"/>
      <c r="H38" s="3" t="s">
        <v>5</v>
      </c>
      <c r="I38" s="2" t="s">
        <v>6</v>
      </c>
      <c r="J38" s="2"/>
      <c r="K38" s="2" t="s">
        <v>7</v>
      </c>
      <c r="L38" s="2"/>
      <c r="M38" s="3" t="s">
        <v>8</v>
      </c>
    </row>
    <row r="39" spans="1:19" x14ac:dyDescent="0.35">
      <c r="A39" s="4">
        <v>300</v>
      </c>
      <c r="B39">
        <v>285</v>
      </c>
      <c r="C39">
        <f t="shared" ref="C39:C51" si="12">(A$39-B39)/B39</f>
        <v>5.2631578947368418E-2</v>
      </c>
      <c r="D39">
        <f t="shared" ref="D39:D51" si="13">(A39+B39)/2</f>
        <v>292.5</v>
      </c>
      <c r="H39" s="5">
        <v>15</v>
      </c>
      <c r="I39">
        <v>28.28000000000003</v>
      </c>
      <c r="M39" s="5"/>
    </row>
    <row r="40" spans="1:19" x14ac:dyDescent="0.35">
      <c r="A40" s="4">
        <v>300</v>
      </c>
      <c r="B40">
        <v>287.5</v>
      </c>
      <c r="C40">
        <f t="shared" si="12"/>
        <v>4.3478260869565216E-2</v>
      </c>
      <c r="D40">
        <f t="shared" si="13"/>
        <v>293.75</v>
      </c>
      <c r="H40" s="5">
        <v>12.5</v>
      </c>
      <c r="M40" s="5"/>
    </row>
    <row r="41" spans="1:19" x14ac:dyDescent="0.35">
      <c r="A41" s="24">
        <v>300</v>
      </c>
      <c r="B41" s="25">
        <v>290</v>
      </c>
      <c r="C41">
        <f t="shared" si="12"/>
        <v>3.4482758620689655E-2</v>
      </c>
      <c r="D41">
        <f t="shared" si="13"/>
        <v>295</v>
      </c>
      <c r="H41" s="5">
        <v>10</v>
      </c>
      <c r="I41">
        <v>22.53000000000003</v>
      </c>
      <c r="K41">
        <v>18.139999999999986</v>
      </c>
      <c r="M41" s="5">
        <v>13.5</v>
      </c>
    </row>
    <row r="42" spans="1:19" x14ac:dyDescent="0.35">
      <c r="A42" s="4">
        <v>300</v>
      </c>
      <c r="B42">
        <v>297.5</v>
      </c>
      <c r="C42">
        <f t="shared" si="12"/>
        <v>8.4033613445378148E-3</v>
      </c>
      <c r="D42">
        <f t="shared" si="13"/>
        <v>298.75</v>
      </c>
      <c r="H42" s="5">
        <v>2.5</v>
      </c>
      <c r="I42">
        <v>18</v>
      </c>
      <c r="K42">
        <v>13</v>
      </c>
      <c r="M42" s="5">
        <v>6.9900000000000091</v>
      </c>
    </row>
    <row r="43" spans="1:19" x14ac:dyDescent="0.35">
      <c r="A43" s="4">
        <v>300</v>
      </c>
      <c r="B43">
        <v>300</v>
      </c>
      <c r="C43">
        <f t="shared" si="12"/>
        <v>0</v>
      </c>
      <c r="D43">
        <f t="shared" si="13"/>
        <v>300</v>
      </c>
      <c r="H43" s="5">
        <v>0</v>
      </c>
      <c r="I43">
        <v>17.329999999999984</v>
      </c>
      <c r="M43" s="5"/>
    </row>
    <row r="44" spans="1:19" x14ac:dyDescent="0.35">
      <c r="A44" s="4">
        <v>300</v>
      </c>
      <c r="B44">
        <v>302.5</v>
      </c>
      <c r="C44">
        <f t="shared" si="12"/>
        <v>-8.2644628099173556E-3</v>
      </c>
      <c r="D44">
        <f t="shared" si="13"/>
        <v>301.25</v>
      </c>
      <c r="H44" s="5">
        <v>2.5</v>
      </c>
      <c r="I44">
        <v>17.78000000000003</v>
      </c>
      <c r="K44">
        <v>12.599999999999966</v>
      </c>
      <c r="M44" s="5">
        <v>7.0099999999999909</v>
      </c>
    </row>
    <row r="45" spans="1:19" x14ac:dyDescent="0.35">
      <c r="A45" s="4">
        <v>300</v>
      </c>
      <c r="B45">
        <v>305</v>
      </c>
      <c r="C45">
        <f t="shared" si="12"/>
        <v>-1.6393442622950821E-2</v>
      </c>
      <c r="D45">
        <f t="shared" si="13"/>
        <v>302.5</v>
      </c>
      <c r="H45" s="5">
        <v>5</v>
      </c>
      <c r="I45">
        <v>19.009999999999991</v>
      </c>
      <c r="K45">
        <v>14.060000000000002</v>
      </c>
      <c r="M45" s="5">
        <v>8.7900000000000205</v>
      </c>
    </row>
    <row r="46" spans="1:19" x14ac:dyDescent="0.35">
      <c r="A46" s="4">
        <v>300</v>
      </c>
      <c r="B46">
        <v>310</v>
      </c>
      <c r="C46">
        <f t="shared" si="12"/>
        <v>-3.2258064516129031E-2</v>
      </c>
      <c r="D46">
        <f t="shared" si="13"/>
        <v>305</v>
      </c>
      <c r="H46" s="5">
        <v>10</v>
      </c>
      <c r="I46">
        <v>22.599999999999966</v>
      </c>
      <c r="K46">
        <v>18.069999999999993</v>
      </c>
      <c r="M46" s="5">
        <v>13.29000000000002</v>
      </c>
    </row>
    <row r="47" spans="1:19" x14ac:dyDescent="0.35">
      <c r="A47" s="4">
        <v>300</v>
      </c>
      <c r="B47">
        <v>312.5</v>
      </c>
      <c r="C47">
        <f t="shared" si="12"/>
        <v>-0.04</v>
      </c>
      <c r="D47">
        <f t="shared" si="13"/>
        <v>306.25</v>
      </c>
      <c r="H47" s="5">
        <v>12.5</v>
      </c>
      <c r="I47">
        <v>24.990000000000009</v>
      </c>
      <c r="K47">
        <v>20.599999999999966</v>
      </c>
      <c r="M47" s="5"/>
    </row>
    <row r="48" spans="1:19" x14ac:dyDescent="0.35">
      <c r="A48" s="4">
        <v>300</v>
      </c>
      <c r="B48">
        <v>315</v>
      </c>
      <c r="C48">
        <f t="shared" si="12"/>
        <v>-4.7619047619047616E-2</v>
      </c>
      <c r="D48">
        <f t="shared" si="13"/>
        <v>307.5</v>
      </c>
      <c r="H48" s="5">
        <v>15</v>
      </c>
      <c r="I48">
        <v>27.129999999999995</v>
      </c>
      <c r="K48">
        <v>22.829999999999984</v>
      </c>
      <c r="M48" s="5"/>
    </row>
    <row r="49" spans="1:13" x14ac:dyDescent="0.35">
      <c r="A49" s="4">
        <v>300</v>
      </c>
      <c r="B49">
        <v>317.5</v>
      </c>
      <c r="C49">
        <f t="shared" si="12"/>
        <v>-5.5118110236220472E-2</v>
      </c>
      <c r="D49">
        <f t="shared" si="13"/>
        <v>308.75</v>
      </c>
      <c r="H49" s="5">
        <v>17.5</v>
      </c>
      <c r="I49">
        <v>28.990000000000009</v>
      </c>
      <c r="M49" s="5"/>
    </row>
    <row r="50" spans="1:13" x14ac:dyDescent="0.35">
      <c r="A50" s="4">
        <v>300</v>
      </c>
      <c r="B50">
        <v>320</v>
      </c>
      <c r="C50">
        <f t="shared" si="12"/>
        <v>-6.25E-2</v>
      </c>
      <c r="D50">
        <f t="shared" si="13"/>
        <v>310</v>
      </c>
      <c r="H50" s="5">
        <v>20</v>
      </c>
      <c r="I50">
        <v>30.920000000000016</v>
      </c>
      <c r="M50" s="5"/>
    </row>
    <row r="51" spans="1:13" ht="15" thickBot="1" x14ac:dyDescent="0.4">
      <c r="A51" s="6">
        <v>300</v>
      </c>
      <c r="B51" s="7">
        <v>322.5</v>
      </c>
      <c r="C51">
        <f t="shared" si="12"/>
        <v>-6.9767441860465115E-2</v>
      </c>
      <c r="D51">
        <f t="shared" si="13"/>
        <v>311.25</v>
      </c>
      <c r="H51" s="8">
        <v>22.5</v>
      </c>
      <c r="I51" s="7">
        <v>32.450000000000045</v>
      </c>
      <c r="J51" s="7"/>
      <c r="K51" s="7"/>
      <c r="L51" s="7"/>
      <c r="M51" s="8"/>
    </row>
    <row r="53" spans="1:13" ht="15" thickBot="1" x14ac:dyDescent="0.4"/>
    <row r="54" spans="1:13" ht="15" thickBot="1" x14ac:dyDescent="0.4">
      <c r="A54" s="1" t="s">
        <v>3</v>
      </c>
      <c r="B54" s="2" t="s">
        <v>4</v>
      </c>
      <c r="C54" s="2"/>
      <c r="D54" s="2"/>
      <c r="E54" s="2"/>
      <c r="F54" s="2"/>
      <c r="G54" s="2"/>
      <c r="H54" s="3" t="s">
        <v>5</v>
      </c>
      <c r="I54" s="2" t="s">
        <v>6</v>
      </c>
      <c r="J54" s="2"/>
      <c r="K54" s="2" t="s">
        <v>7</v>
      </c>
      <c r="L54" s="2"/>
      <c r="M54" s="3" t="s">
        <v>8</v>
      </c>
    </row>
    <row r="55" spans="1:13" x14ac:dyDescent="0.35">
      <c r="A55" s="4">
        <v>310</v>
      </c>
      <c r="B55">
        <v>290</v>
      </c>
      <c r="C55">
        <f t="shared" ref="C55:C68" si="14">(A55-B55)/B55</f>
        <v>6.8965517241379309E-2</v>
      </c>
      <c r="D55">
        <f t="shared" ref="D55:D68" si="15">(A55+B55)/2</f>
        <v>300</v>
      </c>
      <c r="H55" s="5">
        <v>20</v>
      </c>
      <c r="I55">
        <v>31.620000000000005</v>
      </c>
      <c r="M55" s="5"/>
    </row>
    <row r="56" spans="1:13" x14ac:dyDescent="0.35">
      <c r="A56" s="4">
        <v>310</v>
      </c>
      <c r="B56">
        <v>297.5</v>
      </c>
      <c r="C56">
        <f t="shared" si="14"/>
        <v>4.2016806722689079E-2</v>
      </c>
      <c r="D56">
        <f t="shared" si="15"/>
        <v>303.75</v>
      </c>
      <c r="H56" s="5">
        <v>12.5</v>
      </c>
      <c r="I56">
        <v>24.609999999999957</v>
      </c>
      <c r="K56">
        <v>21.400000000000034</v>
      </c>
      <c r="M56" s="5"/>
    </row>
    <row r="57" spans="1:13" x14ac:dyDescent="0.35">
      <c r="A57" s="4">
        <v>310</v>
      </c>
      <c r="B57">
        <v>300</v>
      </c>
      <c r="C57">
        <f t="shared" si="14"/>
        <v>3.3333333333333333E-2</v>
      </c>
      <c r="D57">
        <f t="shared" si="15"/>
        <v>305</v>
      </c>
      <c r="H57" s="5">
        <v>10</v>
      </c>
      <c r="I57">
        <v>22.599999999999966</v>
      </c>
      <c r="K57">
        <v>18.599999999999966</v>
      </c>
      <c r="M57" s="5">
        <v>13.699999999999989</v>
      </c>
    </row>
    <row r="58" spans="1:13" x14ac:dyDescent="0.35">
      <c r="A58" s="4">
        <v>310</v>
      </c>
      <c r="B58">
        <v>302.5</v>
      </c>
      <c r="C58">
        <f t="shared" si="14"/>
        <v>2.4793388429752067E-2</v>
      </c>
      <c r="D58">
        <f t="shared" si="15"/>
        <v>306.25</v>
      </c>
      <c r="H58" s="5">
        <v>7.5</v>
      </c>
      <c r="I58">
        <v>20.800000000000011</v>
      </c>
      <c r="K58">
        <v>17</v>
      </c>
      <c r="M58" s="5">
        <v>11.800000000000011</v>
      </c>
    </row>
    <row r="59" spans="1:13" x14ac:dyDescent="0.35">
      <c r="A59" s="4">
        <v>310</v>
      </c>
      <c r="B59">
        <v>305</v>
      </c>
      <c r="C59">
        <f t="shared" si="14"/>
        <v>1.6393442622950821E-2</v>
      </c>
      <c r="D59">
        <f t="shared" si="15"/>
        <v>307.5</v>
      </c>
      <c r="H59" s="5">
        <v>5</v>
      </c>
      <c r="I59">
        <v>20</v>
      </c>
      <c r="K59">
        <v>15</v>
      </c>
      <c r="M59" s="5">
        <v>8.6999999999999886</v>
      </c>
    </row>
    <row r="60" spans="1:13" x14ac:dyDescent="0.35">
      <c r="A60" s="4">
        <v>310</v>
      </c>
      <c r="B60">
        <v>310</v>
      </c>
      <c r="C60">
        <f t="shared" si="14"/>
        <v>0</v>
      </c>
      <c r="D60">
        <f t="shared" si="15"/>
        <v>310</v>
      </c>
      <c r="H60" s="5">
        <v>0</v>
      </c>
      <c r="I60">
        <v>17.759999999999991</v>
      </c>
      <c r="K60">
        <v>12.800000000000011</v>
      </c>
      <c r="M60" s="5">
        <v>6.8999999999999773</v>
      </c>
    </row>
    <row r="61" spans="1:13" x14ac:dyDescent="0.35">
      <c r="A61" s="4">
        <v>310</v>
      </c>
      <c r="B61">
        <v>312.5</v>
      </c>
      <c r="C61">
        <f t="shared" si="14"/>
        <v>-8.0000000000000002E-3</v>
      </c>
      <c r="D61">
        <f t="shared" si="15"/>
        <v>311.25</v>
      </c>
      <c r="H61" s="5">
        <v>2.5</v>
      </c>
      <c r="I61">
        <v>18.340000000000032</v>
      </c>
      <c r="K61">
        <v>14</v>
      </c>
      <c r="M61" s="5">
        <v>7.5999999999999659</v>
      </c>
    </row>
    <row r="62" spans="1:13" x14ac:dyDescent="0.35">
      <c r="A62" s="4">
        <v>310</v>
      </c>
      <c r="B62">
        <v>315</v>
      </c>
      <c r="C62">
        <f t="shared" si="14"/>
        <v>-1.5873015873015872E-2</v>
      </c>
      <c r="D62">
        <f t="shared" si="15"/>
        <v>312.5</v>
      </c>
      <c r="H62" s="5">
        <v>5</v>
      </c>
      <c r="I62">
        <v>19.470000000000027</v>
      </c>
      <c r="K62">
        <v>13</v>
      </c>
      <c r="M62" s="5">
        <v>9</v>
      </c>
    </row>
    <row r="63" spans="1:13" x14ac:dyDescent="0.35">
      <c r="A63" s="4">
        <v>310</v>
      </c>
      <c r="B63">
        <v>317.5</v>
      </c>
      <c r="C63">
        <f t="shared" si="14"/>
        <v>-2.3622047244094488E-2</v>
      </c>
      <c r="D63">
        <f t="shared" si="15"/>
        <v>313.75</v>
      </c>
      <c r="H63" s="5">
        <v>7.5</v>
      </c>
      <c r="I63">
        <v>20.779999999999973</v>
      </c>
      <c r="K63">
        <v>15.899999999999977</v>
      </c>
      <c r="M63" s="5">
        <v>11</v>
      </c>
    </row>
    <row r="64" spans="1:13" x14ac:dyDescent="0.35">
      <c r="A64" s="4">
        <v>310</v>
      </c>
      <c r="B64">
        <v>320</v>
      </c>
      <c r="C64">
        <f t="shared" si="14"/>
        <v>-3.125E-2</v>
      </c>
      <c r="D64">
        <f t="shared" si="15"/>
        <v>315</v>
      </c>
      <c r="H64" s="5">
        <v>10</v>
      </c>
      <c r="I64">
        <v>22.349999999999966</v>
      </c>
      <c r="K64">
        <v>17.640000000000043</v>
      </c>
      <c r="M64" s="5">
        <v>13</v>
      </c>
    </row>
    <row r="65" spans="1:13" x14ac:dyDescent="0.35">
      <c r="A65" s="24">
        <v>310</v>
      </c>
      <c r="B65" s="25">
        <v>322.5</v>
      </c>
      <c r="C65">
        <f t="shared" si="14"/>
        <v>-3.875968992248062E-2</v>
      </c>
      <c r="D65">
        <f t="shared" si="15"/>
        <v>316.25</v>
      </c>
      <c r="H65" s="5">
        <v>12.5</v>
      </c>
      <c r="I65">
        <v>23.680000000000007</v>
      </c>
      <c r="K65">
        <v>19.079999999999984</v>
      </c>
      <c r="M65" s="5">
        <v>14.399999999999977</v>
      </c>
    </row>
    <row r="66" spans="1:13" x14ac:dyDescent="0.35">
      <c r="A66" s="4">
        <v>310</v>
      </c>
      <c r="B66">
        <v>325</v>
      </c>
      <c r="C66">
        <f t="shared" si="14"/>
        <v>-4.6153846153846156E-2</v>
      </c>
      <c r="D66">
        <f t="shared" si="15"/>
        <v>317.5</v>
      </c>
      <c r="H66" s="5">
        <v>15</v>
      </c>
      <c r="I66">
        <v>26.840000000000032</v>
      </c>
      <c r="K66">
        <v>22.409999999999968</v>
      </c>
      <c r="M66" s="5"/>
    </row>
    <row r="67" spans="1:13" x14ac:dyDescent="0.35">
      <c r="A67" s="4">
        <v>310</v>
      </c>
      <c r="B67">
        <v>327.5</v>
      </c>
      <c r="C67">
        <f t="shared" si="14"/>
        <v>-5.3435114503816793E-2</v>
      </c>
      <c r="D67">
        <f t="shared" si="15"/>
        <v>318.75</v>
      </c>
      <c r="H67" s="5">
        <v>17.5</v>
      </c>
      <c r="I67">
        <v>28.259999999999991</v>
      </c>
      <c r="K67">
        <v>23.860000000000014</v>
      </c>
      <c r="M67" s="5"/>
    </row>
    <row r="68" spans="1:13" ht="15" thickBot="1" x14ac:dyDescent="0.4">
      <c r="A68" s="6">
        <v>310</v>
      </c>
      <c r="B68" s="7">
        <v>330</v>
      </c>
      <c r="C68">
        <f t="shared" si="14"/>
        <v>-6.0606060606060608E-2</v>
      </c>
      <c r="D68">
        <f t="shared" si="15"/>
        <v>320</v>
      </c>
      <c r="H68" s="8">
        <v>20</v>
      </c>
      <c r="I68" s="7">
        <v>30.339999999999975</v>
      </c>
      <c r="J68" s="7"/>
      <c r="K68" s="7"/>
      <c r="L68" s="7"/>
      <c r="M68" s="8"/>
    </row>
    <row r="70" spans="1:13" ht="15" thickBot="1" x14ac:dyDescent="0.4"/>
    <row r="71" spans="1:13" ht="15" thickBot="1" x14ac:dyDescent="0.4">
      <c r="A71" s="12" t="s">
        <v>3</v>
      </c>
      <c r="B71" s="13" t="s">
        <v>4</v>
      </c>
      <c r="C71" s="13"/>
      <c r="D71" s="13"/>
      <c r="E71" s="13"/>
      <c r="F71" s="13"/>
      <c r="G71" s="13"/>
      <c r="H71" s="14" t="s">
        <v>5</v>
      </c>
      <c r="I71" s="13" t="s">
        <v>6</v>
      </c>
      <c r="J71" s="13"/>
      <c r="K71" s="13" t="s">
        <v>7</v>
      </c>
      <c r="L71" s="13"/>
      <c r="M71" s="14" t="s">
        <v>8</v>
      </c>
    </row>
    <row r="72" spans="1:13" x14ac:dyDescent="0.35">
      <c r="A72" s="12">
        <v>320</v>
      </c>
      <c r="B72" s="13">
        <v>300</v>
      </c>
      <c r="C72" s="13">
        <f t="shared" ref="C72:C83" si="16">(A72-B72)/B72</f>
        <v>6.6666666666666666E-2</v>
      </c>
      <c r="D72" s="13">
        <f t="shared" ref="D72:D83" si="17">(A72+B72)/2</f>
        <v>310</v>
      </c>
      <c r="E72" s="13"/>
      <c r="F72" s="13"/>
      <c r="G72" s="13"/>
      <c r="H72" s="14">
        <v>20</v>
      </c>
      <c r="I72" s="13">
        <v>30.920000000000016</v>
      </c>
      <c r="J72" s="13"/>
      <c r="K72" s="13"/>
      <c r="L72" s="13"/>
      <c r="M72" s="14"/>
    </row>
    <row r="73" spans="1:13" x14ac:dyDescent="0.35">
      <c r="A73" s="4">
        <v>320</v>
      </c>
      <c r="B73">
        <v>302.5</v>
      </c>
      <c r="C73">
        <f t="shared" si="16"/>
        <v>5.7851239669421489E-2</v>
      </c>
      <c r="D73">
        <f t="shared" si="17"/>
        <v>311.25</v>
      </c>
      <c r="H73" s="5">
        <v>17.5</v>
      </c>
      <c r="I73">
        <v>28.720000000000027</v>
      </c>
      <c r="K73">
        <v>24.480000000000018</v>
      </c>
      <c r="M73" s="5"/>
    </row>
    <row r="74" spans="1:13" x14ac:dyDescent="0.35">
      <c r="A74" s="4">
        <v>320</v>
      </c>
      <c r="B74">
        <v>305</v>
      </c>
      <c r="C74">
        <f t="shared" si="16"/>
        <v>4.9180327868852458E-2</v>
      </c>
      <c r="D74">
        <f t="shared" si="17"/>
        <v>312.5</v>
      </c>
      <c r="H74" s="5">
        <v>15</v>
      </c>
      <c r="I74">
        <v>26.430000000000007</v>
      </c>
      <c r="K74">
        <v>22.050000000000011</v>
      </c>
      <c r="M74" s="5"/>
    </row>
    <row r="75" spans="1:13" x14ac:dyDescent="0.35">
      <c r="A75" s="24">
        <v>320</v>
      </c>
      <c r="B75" s="25">
        <v>310</v>
      </c>
      <c r="C75">
        <f t="shared" si="16"/>
        <v>3.2258064516129031E-2</v>
      </c>
      <c r="D75">
        <f t="shared" si="17"/>
        <v>315</v>
      </c>
      <c r="H75" s="5">
        <v>10</v>
      </c>
      <c r="I75">
        <v>22.349999999999966</v>
      </c>
      <c r="K75">
        <v>17.640000000000043</v>
      </c>
      <c r="M75" s="5">
        <v>13.199999999999989</v>
      </c>
    </row>
    <row r="76" spans="1:13" x14ac:dyDescent="0.35">
      <c r="A76" s="4">
        <v>320</v>
      </c>
      <c r="B76">
        <v>312.5</v>
      </c>
      <c r="C76">
        <f t="shared" si="16"/>
        <v>2.4E-2</v>
      </c>
      <c r="D76">
        <f t="shared" si="17"/>
        <v>316.25</v>
      </c>
      <c r="H76" s="5">
        <v>7.5</v>
      </c>
      <c r="I76">
        <v>20.399999999999977</v>
      </c>
      <c r="K76">
        <v>15.420000000000016</v>
      </c>
      <c r="M76" s="5">
        <v>10.399999999999977</v>
      </c>
    </row>
    <row r="77" spans="1:13" x14ac:dyDescent="0.35">
      <c r="A77" s="4">
        <v>320</v>
      </c>
      <c r="B77">
        <v>315</v>
      </c>
      <c r="C77">
        <f t="shared" si="16"/>
        <v>1.5873015873015872E-2</v>
      </c>
      <c r="D77">
        <f t="shared" si="17"/>
        <v>317.5</v>
      </c>
      <c r="H77" s="5">
        <v>5</v>
      </c>
      <c r="I77">
        <v>19.069999999999993</v>
      </c>
      <c r="K77">
        <v>13.839999999999975</v>
      </c>
      <c r="M77" s="5">
        <v>9.1000000000000227</v>
      </c>
    </row>
    <row r="78" spans="1:13" x14ac:dyDescent="0.35">
      <c r="A78" s="4">
        <v>320</v>
      </c>
      <c r="B78">
        <v>317.5</v>
      </c>
      <c r="C78">
        <f t="shared" si="16"/>
        <v>7.874015748031496E-3</v>
      </c>
      <c r="D78">
        <f t="shared" si="17"/>
        <v>318.75</v>
      </c>
      <c r="H78" s="5">
        <v>2.5</v>
      </c>
      <c r="I78">
        <v>18.299999999999955</v>
      </c>
      <c r="K78">
        <v>12.889999999999986</v>
      </c>
      <c r="M78" s="5">
        <v>7.089999999999975</v>
      </c>
    </row>
    <row r="79" spans="1:13" x14ac:dyDescent="0.35">
      <c r="A79" s="4">
        <v>320</v>
      </c>
      <c r="B79">
        <v>320</v>
      </c>
      <c r="C79">
        <f t="shared" si="16"/>
        <v>0</v>
      </c>
      <c r="D79">
        <f t="shared" si="17"/>
        <v>320</v>
      </c>
      <c r="H79" s="5">
        <v>0</v>
      </c>
      <c r="I79">
        <v>18.080000000000041</v>
      </c>
      <c r="K79">
        <v>12.580000000000041</v>
      </c>
      <c r="M79" s="5">
        <v>6.6999999999999886</v>
      </c>
    </row>
    <row r="80" spans="1:13" x14ac:dyDescent="0.35">
      <c r="A80" s="4">
        <v>320</v>
      </c>
      <c r="B80">
        <v>322.5</v>
      </c>
      <c r="C80">
        <f t="shared" si="16"/>
        <v>-7.7519379844961239E-3</v>
      </c>
      <c r="D80">
        <f t="shared" si="17"/>
        <v>321.25</v>
      </c>
      <c r="H80" s="5">
        <v>2.5</v>
      </c>
      <c r="I80">
        <v>18.29000000000002</v>
      </c>
      <c r="K80">
        <v>12.830000000000041</v>
      </c>
      <c r="M80" s="5">
        <v>7</v>
      </c>
    </row>
    <row r="81" spans="1:13" x14ac:dyDescent="0.35">
      <c r="A81" s="4">
        <v>320</v>
      </c>
      <c r="B81">
        <v>325</v>
      </c>
      <c r="C81">
        <f t="shared" si="16"/>
        <v>-1.5384615384615385E-2</v>
      </c>
      <c r="D81">
        <f t="shared" si="17"/>
        <v>322.5</v>
      </c>
      <c r="H81" s="5">
        <v>5</v>
      </c>
      <c r="I81">
        <v>19.800000000000011</v>
      </c>
      <c r="K81">
        <v>14.620000000000005</v>
      </c>
      <c r="M81" s="5">
        <v>9.5</v>
      </c>
    </row>
    <row r="82" spans="1:13" x14ac:dyDescent="0.35">
      <c r="A82" s="4">
        <v>320</v>
      </c>
      <c r="B82">
        <v>327.5</v>
      </c>
      <c r="C82">
        <f t="shared" si="16"/>
        <v>-2.2900763358778626E-2</v>
      </c>
      <c r="D82">
        <f t="shared" si="17"/>
        <v>323.75</v>
      </c>
      <c r="H82" s="5">
        <v>7.5</v>
      </c>
      <c r="I82">
        <v>20.800000000000011</v>
      </c>
      <c r="K82">
        <v>15.770000000000039</v>
      </c>
      <c r="M82" s="5">
        <v>11.099999999999966</v>
      </c>
    </row>
    <row r="83" spans="1:13" ht="15" thickBot="1" x14ac:dyDescent="0.4">
      <c r="A83" s="6">
        <v>320</v>
      </c>
      <c r="B83" s="7">
        <v>330</v>
      </c>
      <c r="C83" s="7">
        <f t="shared" si="16"/>
        <v>-3.0303030303030304E-2</v>
      </c>
      <c r="D83" s="7">
        <f t="shared" si="17"/>
        <v>325</v>
      </c>
      <c r="E83" s="7"/>
      <c r="F83" s="7"/>
      <c r="G83" s="7"/>
      <c r="H83" s="8">
        <v>10</v>
      </c>
      <c r="I83" s="7">
        <v>22.45999999999998</v>
      </c>
      <c r="J83" s="7"/>
      <c r="K83" s="7">
        <v>17.620000000000005</v>
      </c>
      <c r="L83" s="7"/>
      <c r="M83" s="8">
        <v>13</v>
      </c>
    </row>
  </sheetData>
  <mergeCells count="3">
    <mergeCell ref="P13:Q13"/>
    <mergeCell ref="S13:T13"/>
    <mergeCell ref="V13:W13"/>
  </mergeCells>
  <pageMargins left="0.70000000000000007" right="0.70000000000000007" top="0.75" bottom="0.75" header="0.30000000000000004" footer="0.30000000000000004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1AF3-CFEA-46EA-91FC-DDA9574E787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B74A-529F-4445-BD79-49EA3F17B4DC}">
  <dimension ref="A1"/>
  <sheetViews>
    <sheetView tabSelected="1" workbookViewId="0">
      <selection activeCell="G13" sqref="G13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topLeftCell="A10" workbookViewId="0"/>
  </sheetViews>
  <sheetFormatPr defaultRowHeight="14.5" x14ac:dyDescent="0.35"/>
  <cols>
    <col min="1" max="1" width="8.7265625" customWidth="1"/>
  </cols>
  <sheetData>
    <row r="1" spans="1:9" ht="15" thickBot="1" x14ac:dyDescent="0.4">
      <c r="A1" s="1" t="s">
        <v>3</v>
      </c>
      <c r="B1" s="3" t="s">
        <v>4</v>
      </c>
      <c r="C1" s="2" t="s">
        <v>9</v>
      </c>
      <c r="D1" s="2" t="s">
        <v>10</v>
      </c>
      <c r="E1" s="2" t="s">
        <v>11</v>
      </c>
      <c r="F1" s="2" t="s">
        <v>5</v>
      </c>
      <c r="G1" s="1" t="s">
        <v>6</v>
      </c>
      <c r="H1" s="2" t="s">
        <v>7</v>
      </c>
      <c r="I1" s="3" t="s">
        <v>8</v>
      </c>
    </row>
    <row r="2" spans="1:9" x14ac:dyDescent="0.35">
      <c r="A2" s="12">
        <v>290</v>
      </c>
      <c r="B2" s="14">
        <v>282.5</v>
      </c>
      <c r="C2" s="13">
        <f>(A$2-B2)/B2</f>
        <v>2.6548672566371681E-2</v>
      </c>
      <c r="D2" s="13">
        <f>(A$2+B2)/2</f>
        <v>286.25</v>
      </c>
      <c r="E2" s="13">
        <f t="shared" ref="E2:E11" si="0">D2-A2</f>
        <v>-3.75</v>
      </c>
      <c r="F2" s="13">
        <v>7.5</v>
      </c>
      <c r="G2" s="12">
        <v>22.409999999999968</v>
      </c>
      <c r="H2" s="13">
        <v>18.180000000000007</v>
      </c>
      <c r="I2" s="14">
        <v>13.680000000000007</v>
      </c>
    </row>
    <row r="3" spans="1:9" x14ac:dyDescent="0.35">
      <c r="A3" s="4">
        <v>280</v>
      </c>
      <c r="B3" s="5">
        <v>285</v>
      </c>
      <c r="C3">
        <v>-1.7543859649122806E-2</v>
      </c>
      <c r="D3">
        <v>282.5</v>
      </c>
      <c r="E3">
        <f t="shared" si="0"/>
        <v>2.5</v>
      </c>
      <c r="F3">
        <v>5</v>
      </c>
      <c r="G3" s="4">
        <v>20.139999999999986</v>
      </c>
      <c r="H3">
        <v>15.79000000000002</v>
      </c>
      <c r="I3" s="5">
        <v>11.399999999999977</v>
      </c>
    </row>
    <row r="4" spans="1:9" x14ac:dyDescent="0.35">
      <c r="A4" s="4">
        <v>270</v>
      </c>
      <c r="B4" s="5">
        <v>307.5</v>
      </c>
      <c r="C4">
        <v>-0.12195121951219512</v>
      </c>
      <c r="D4">
        <v>288.75</v>
      </c>
      <c r="E4">
        <f t="shared" si="0"/>
        <v>18.75</v>
      </c>
      <c r="F4">
        <v>37.5</v>
      </c>
      <c r="G4" s="4">
        <v>20.870000000000005</v>
      </c>
      <c r="H4">
        <v>16.800000000000011</v>
      </c>
      <c r="I4" s="5">
        <v>13</v>
      </c>
    </row>
    <row r="5" spans="1:9" x14ac:dyDescent="0.35">
      <c r="A5" s="4">
        <v>300</v>
      </c>
      <c r="B5" s="5">
        <v>290</v>
      </c>
      <c r="C5">
        <v>3.4482758620689655E-2</v>
      </c>
      <c r="D5">
        <v>295</v>
      </c>
      <c r="E5">
        <f t="shared" si="0"/>
        <v>-5</v>
      </c>
      <c r="F5">
        <v>10</v>
      </c>
      <c r="G5" s="4">
        <v>22.53000000000003</v>
      </c>
      <c r="H5">
        <v>18.139999999999986</v>
      </c>
      <c r="I5" s="5">
        <v>13.5</v>
      </c>
    </row>
    <row r="6" spans="1:9" x14ac:dyDescent="0.35">
      <c r="A6" s="4">
        <v>300</v>
      </c>
      <c r="B6" s="5">
        <v>310</v>
      </c>
      <c r="C6">
        <v>-3.2258064516129031E-2</v>
      </c>
      <c r="D6">
        <v>305</v>
      </c>
      <c r="E6">
        <f t="shared" si="0"/>
        <v>5</v>
      </c>
      <c r="F6">
        <v>10</v>
      </c>
      <c r="G6" s="4">
        <v>22.599999999999966</v>
      </c>
      <c r="H6">
        <v>18.069999999999993</v>
      </c>
      <c r="I6" s="5">
        <v>13.29000000000002</v>
      </c>
    </row>
    <row r="7" spans="1:9" x14ac:dyDescent="0.35">
      <c r="A7" s="4">
        <v>310</v>
      </c>
      <c r="B7" s="5">
        <v>300</v>
      </c>
      <c r="C7">
        <v>3.3333333333333333E-2</v>
      </c>
      <c r="D7">
        <v>305</v>
      </c>
      <c r="E7">
        <f t="shared" si="0"/>
        <v>-5</v>
      </c>
      <c r="F7">
        <v>10</v>
      </c>
      <c r="G7" s="4">
        <v>22.599999999999966</v>
      </c>
      <c r="H7">
        <v>18.599999999999966</v>
      </c>
      <c r="I7" s="5">
        <v>13.699999999999989</v>
      </c>
    </row>
    <row r="8" spans="1:9" x14ac:dyDescent="0.35">
      <c r="A8" s="4">
        <v>310</v>
      </c>
      <c r="B8" s="5">
        <v>320</v>
      </c>
      <c r="C8">
        <v>-3.125E-2</v>
      </c>
      <c r="D8">
        <v>315</v>
      </c>
      <c r="E8">
        <f t="shared" si="0"/>
        <v>5</v>
      </c>
      <c r="F8">
        <v>10</v>
      </c>
      <c r="G8" s="4">
        <v>22.349999999999966</v>
      </c>
      <c r="H8">
        <v>17.640000000000043</v>
      </c>
      <c r="I8" s="5">
        <v>13</v>
      </c>
    </row>
    <row r="9" spans="1:9" x14ac:dyDescent="0.35">
      <c r="A9" s="4">
        <v>310</v>
      </c>
      <c r="B9" s="5">
        <v>322.5</v>
      </c>
      <c r="C9">
        <v>-3.875968992248062E-2</v>
      </c>
      <c r="D9">
        <v>316.25</v>
      </c>
      <c r="E9">
        <f t="shared" si="0"/>
        <v>6.25</v>
      </c>
      <c r="F9">
        <v>12.5</v>
      </c>
      <c r="G9" s="4">
        <v>23.680000000000007</v>
      </c>
      <c r="H9">
        <v>19.079999999999984</v>
      </c>
      <c r="I9" s="5">
        <v>14.399999999999977</v>
      </c>
    </row>
    <row r="10" spans="1:9" x14ac:dyDescent="0.35">
      <c r="A10" s="4">
        <v>320</v>
      </c>
      <c r="B10" s="5">
        <v>310</v>
      </c>
      <c r="C10">
        <v>3.2258064516129031E-2</v>
      </c>
      <c r="D10">
        <v>315</v>
      </c>
      <c r="E10">
        <f t="shared" si="0"/>
        <v>-5</v>
      </c>
      <c r="F10">
        <v>10</v>
      </c>
      <c r="G10" s="4">
        <v>22.349999999999966</v>
      </c>
      <c r="H10">
        <v>17.640000000000043</v>
      </c>
      <c r="I10" s="5">
        <v>13.199999999999989</v>
      </c>
    </row>
    <row r="11" spans="1:9" ht="15" thickBot="1" x14ac:dyDescent="0.4">
      <c r="A11" s="6">
        <v>320</v>
      </c>
      <c r="B11" s="8">
        <v>330</v>
      </c>
      <c r="C11" s="7">
        <v>-3.0303030303030304E-2</v>
      </c>
      <c r="D11" s="7">
        <v>325</v>
      </c>
      <c r="E11" s="7">
        <f t="shared" si="0"/>
        <v>5</v>
      </c>
      <c r="F11" s="7">
        <v>10</v>
      </c>
      <c r="G11" s="6">
        <v>22.45999999999998</v>
      </c>
      <c r="H11" s="7">
        <v>17.620000000000005</v>
      </c>
      <c r="I11" s="8">
        <v>13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Auswertung_</vt:lpstr>
      <vt:lpstr>Sheet4</vt:lpstr>
      <vt:lpstr>plot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Moussa Sarr Ndiaye</dc:creator>
  <cp:lastModifiedBy>Moussa Sarr Ndiaye</cp:lastModifiedBy>
  <dcterms:created xsi:type="dcterms:W3CDTF">2023-02-12T10:27:44Z</dcterms:created>
  <dcterms:modified xsi:type="dcterms:W3CDTF">2023-04-27T07:19:36Z</dcterms:modified>
</cp:coreProperties>
</file>