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<sst xmlns="http://schemas.openxmlformats.org/spreadsheetml/2006/main" uniqueCount="279">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</sst>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f32d6b5851cb381b5de78128d9a557c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bfbd5ee2b73ffe0b30f692b462232e55.png"/><Relationship Id="rId2" Type="http://schemas.openxmlformats.org/officeDocument/2006/relationships/image" Target="../media/bfbd5ee2b73ffe0b30f692b462232e55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1</v>
      </c>
      <c r="J11" s="38">
        <v>1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1</v>
      </c>
      <c r="K12" s="38">
        <v>1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1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 t="e">
        <f>Dados!B102</f>
        <v>#DIV/0!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4</v>
      </c>
      <c r="J19" s="38">
        <v>3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2</v>
      </c>
      <c r="J20" s="38">
        <v>2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3</v>
      </c>
      <c r="J21" s="38">
        <v>2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2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 t="e">
        <f>Dados!C102</f>
        <v>#N/A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31.25</v>
      </c>
      <c r="F38" s="325">
        <f>Dados!G145</f>
        <v>502.56428571429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3.125</v>
      </c>
      <c r="F43" s="311">
        <f>Dados!G151</f>
        <v>50.256428571429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156.25</v>
      </c>
      <c r="F46" s="311">
        <f>Dados!G154</f>
        <v>2512.8214285714</v>
      </c>
    </row>
    <row r="47" spans="1:25">
      <c r="A47" s="117" t="s">
        <v>71</v>
      </c>
      <c r="B47" s="118">
        <f>Dados!B154</f>
        <v>0</v>
      </c>
      <c r="C47" s="118">
        <f>Dados!C154</f>
        <v>6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0</v>
      </c>
      <c r="C48" s="118">
        <f>Dados!C155</f>
        <v>300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0</v>
      </c>
      <c r="C49" s="118">
        <f>Dados!C155</f>
        <v>300</v>
      </c>
      <c r="D49" s="309" t="s">
        <v>72</v>
      </c>
      <c r="E49" s="311">
        <f>Dados!F157</f>
        <v>187.5</v>
      </c>
      <c r="F49" s="311">
        <f>Dados!G157</f>
        <v>3015.3857142857</v>
      </c>
    </row>
    <row r="50" spans="1:25">
      <c r="A50" s="117" t="s">
        <v>73</v>
      </c>
      <c r="B50" s="118">
        <f>Dados!B157</f>
        <v>0</v>
      </c>
      <c r="C50" s="118">
        <f>Dados!C157</f>
        <v>0.6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0.06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</v>
      </c>
      <c r="C52" s="118">
        <f>Dados!C159</f>
        <v>0.57142857142857</v>
      </c>
    </row>
    <row r="53" spans="1:25">
      <c r="A53" s="117" t="s">
        <v>76</v>
      </c>
      <c r="B53" s="118">
        <f>Dados!B160</f>
        <v>0</v>
      </c>
      <c r="C53" s="118">
        <f>Dados!C160</f>
        <v>31.571428571429</v>
      </c>
      <c r="D53" s="313" t="str">
        <f>Dados!B183</f>
        <v>Kalvolac</v>
      </c>
      <c r="E53" s="119"/>
      <c r="F53" s="319">
        <f>C53/25</f>
        <v>1.2628571428571</v>
      </c>
      <c r="G53" s="322">
        <f>Dados!H20</f>
        <v>22</v>
      </c>
      <c r="H53" s="311">
        <f>(G53*25)*F53</f>
        <v>694.57142857143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0.25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12.5</v>
      </c>
      <c r="D56" s="313" t="s">
        <v>80</v>
      </c>
      <c r="E56" s="316" t="s">
        <v>77</v>
      </c>
      <c r="F56" s="319">
        <f>C56/15</f>
        <v>0.83333333333333</v>
      </c>
      <c r="G56" s="322">
        <f>Dados!H22</f>
        <v>2.5</v>
      </c>
      <c r="H56" s="311">
        <f>(G56*15)*F56</f>
        <v>31.25</v>
      </c>
    </row>
    <row r="57" spans="1:25">
      <c r="A57" s="117" t="s">
        <v>81</v>
      </c>
      <c r="B57" s="118">
        <f>Dados!B164</f>
        <v>11.25</v>
      </c>
      <c r="C57" s="118">
        <f>Dados!C164</f>
        <v>72.821428571429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0</v>
      </c>
      <c r="C58" s="118">
        <f>Dados!C166</f>
        <v>47.131428571429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0</v>
      </c>
      <c r="C60" s="122">
        <f>Dados!C167</f>
        <v>471.31428571429</v>
      </c>
    </row>
    <row r="61" spans="1:25">
      <c r="A61" s="121" t="s">
        <v>84</v>
      </c>
      <c r="B61" s="122">
        <f>Dados!B168</f>
        <v>31.25</v>
      </c>
      <c r="C61" s="122">
        <f>Dados!C168</f>
        <v>31.25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 t="str">
        <f>Dados!C227</f>
        <v/>
      </c>
      <c r="C66" s="124">
        <f>Dados!C175</f>
        <v>450</v>
      </c>
    </row>
    <row r="67" spans="1:25">
      <c r="A67" s="69" t="s">
        <v>88</v>
      </c>
      <c r="B67" s="124" t="str">
        <f>Dados!D227</f>
        <v/>
      </c>
      <c r="C67" s="124">
        <f>Dados!D175</f>
        <v>450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0</v>
      </c>
      <c r="C71" s="124">
        <f>MIN(Dados!C175:D175)</f>
        <v>450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0</v>
      </c>
      <c r="C96" s="138">
        <f>Dados!C154</f>
        <v>6</v>
      </c>
    </row>
    <row r="97" spans="1:25">
      <c r="A97" s="117" t="s">
        <v>98</v>
      </c>
      <c r="B97" s="118">
        <f>Dados!B155</f>
        <v>0</v>
      </c>
      <c r="C97" s="138">
        <f>Dados!C155</f>
        <v>300</v>
      </c>
    </row>
    <row r="98" spans="1:25">
      <c r="A98" s="117" t="s">
        <v>99</v>
      </c>
      <c r="B98" s="138">
        <f>Dados!B156</f>
        <v>0</v>
      </c>
      <c r="C98" s="138">
        <f>Dados!C156</f>
        <v>10</v>
      </c>
    </row>
    <row r="99" spans="1:25">
      <c r="A99" s="117" t="s">
        <v>73</v>
      </c>
      <c r="B99" s="138">
        <f>Dados!B157</f>
        <v>0</v>
      </c>
      <c r="C99" s="138">
        <f>Dados!C157</f>
        <v>0.6</v>
      </c>
    </row>
    <row r="100" spans="1:25">
      <c r="A100" s="117" t="s">
        <v>74</v>
      </c>
      <c r="B100" s="138">
        <f>Dados!B158</f>
        <v>0</v>
      </c>
      <c r="C100" s="138">
        <f>Dados!C158</f>
        <v>0.06</v>
      </c>
    </row>
    <row r="101" spans="1:25">
      <c r="A101" s="117" t="s">
        <v>100</v>
      </c>
      <c r="B101" s="138">
        <f>Dados!B159</f>
        <v>0</v>
      </c>
      <c r="C101" s="138">
        <f>Dados!C159</f>
        <v>0.57142857142857</v>
      </c>
    </row>
    <row r="102" spans="1:25">
      <c r="A102" s="117" t="s">
        <v>99</v>
      </c>
      <c r="B102" s="122" t="e">
        <f>Dados!C241</f>
        <v>#DIV/0!</v>
      </c>
      <c r="C102" s="122" t="e">
        <f>Dados!C189</f>
        <v>#N/A</v>
      </c>
    </row>
    <row r="104" spans="1:25">
      <c r="A104" s="117" t="s">
        <v>78</v>
      </c>
      <c r="B104" s="122">
        <f>Dados!B162</f>
        <v>0.25</v>
      </c>
      <c r="C104" s="122">
        <f>Dados!C162</f>
        <v>0.25</v>
      </c>
    </row>
    <row r="105" spans="1:25">
      <c r="A105" s="117" t="s">
        <v>101</v>
      </c>
      <c r="B105" s="122">
        <f>Dados!B163</f>
        <v>12.5</v>
      </c>
      <c r="C105" s="122">
        <f>Dados!C163</f>
        <v>12.5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0.2175</v>
      </c>
      <c r="C107" s="122" t="e">
        <f>Dados!C190</f>
        <v>#N/A</v>
      </c>
    </row>
    <row r="108" spans="1:25">
      <c r="A108" s="117" t="s">
        <v>104</v>
      </c>
      <c r="B108" s="122">
        <f>Dados!B164</f>
        <v>11.25</v>
      </c>
      <c r="C108" s="122">
        <f>Dados!C164</f>
        <v>72.821428571429</v>
      </c>
    </row>
    <row r="109" spans="1:25">
      <c r="A109" s="117" t="s">
        <v>82</v>
      </c>
      <c r="B109" s="122">
        <f>Dados!B166</f>
        <v>0</v>
      </c>
      <c r="C109" s="122">
        <f>Dados!C166</f>
        <v>47.131428571429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 t="str">
        <f>Dados!C227</f>
        <v/>
      </c>
      <c r="C113" s="124">
        <f>Dados!C175</f>
        <v>450</v>
      </c>
    </row>
    <row r="114" spans="1:25">
      <c r="A114" s="69" t="s">
        <v>88</v>
      </c>
      <c r="B114" s="124" t="str">
        <f>Dados!D227</f>
        <v/>
      </c>
      <c r="C114" s="124">
        <f>Dados!D175</f>
        <v>450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0</v>
      </c>
      <c r="C118" s="124">
        <f>MIN(Dados!C175:D175)</f>
        <v>450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30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52.5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30</v>
      </c>
      <c r="E128" s="124">
        <f>(C118*B92)/1000+(B85+B88)</f>
        <v>52.5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31.25</v>
      </c>
      <c r="G145" s="326">
        <f>C167+C168</f>
        <v>502.56428571429</v>
      </c>
      <c r="H145" s="62">
        <f>-(1-(G145/F145))</f>
        <v>15.082057142857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3.125</v>
      </c>
      <c r="G151" s="160">
        <f>G145/B146</f>
        <v>50.256428571429</v>
      </c>
      <c r="H151" s="63">
        <f>-(1-(G151/F151))</f>
        <v>15.082057142857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0</v>
      </c>
      <c r="C154" s="169">
        <f>VLOOKUP(Dados!I19,Dados!A414:B419,2,0)</f>
        <v>6</v>
      </c>
      <c r="D154" s="140"/>
      <c r="E154" s="170" t="s">
        <v>70</v>
      </c>
      <c r="F154" s="171">
        <f>F151*B150</f>
        <v>156.25</v>
      </c>
      <c r="G154" s="171">
        <f>G151*B150</f>
        <v>2512.8214285714</v>
      </c>
    </row>
    <row r="155" spans="1:25">
      <c r="A155" s="168" t="s">
        <v>98</v>
      </c>
      <c r="B155" s="169">
        <f>B154*B150</f>
        <v>0</v>
      </c>
      <c r="C155" s="169">
        <f>C154*B150</f>
        <v>300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0</v>
      </c>
      <c r="C156" s="173">
        <f>_xlfn.IFS(Dados!J19=1,0,Dados!J19=2,Dados!C519,Dados!J19=3,Dados!C520)*100</f>
        <v>10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</v>
      </c>
      <c r="C157" s="174">
        <f>IF(C154&gt;0,(C154*(C156/100)),0)</f>
        <v>0.6</v>
      </c>
      <c r="E157" s="170" t="s">
        <v>72</v>
      </c>
      <c r="F157" s="171">
        <f>F151*60</f>
        <v>187.5</v>
      </c>
      <c r="G157" s="171">
        <f>G151*60</f>
        <v>3015.3857142857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0.06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</v>
      </c>
      <c r="C159" s="174">
        <f>(VLOOKUP(Dados!J20,Dados!A414:B419,2,0)*(VLOOKUP(Dados!I20,Dados!A469:C473,3)))</f>
        <v>0.57142857142857</v>
      </c>
      <c r="E159" s="165"/>
      <c r="F159" s="166"/>
      <c r="G159" s="166"/>
    </row>
    <row r="160" spans="1:25">
      <c r="A160" s="168" t="s">
        <v>111</v>
      </c>
      <c r="B160" s="168">
        <f>(B159+B158)*B150</f>
        <v>0</v>
      </c>
      <c r="C160" s="177">
        <f>(C159+C158)*B150</f>
        <v>31.571428571429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0.25</v>
      </c>
    </row>
    <row r="163" spans="1:25">
      <c r="A163" s="117" t="s">
        <v>101</v>
      </c>
      <c r="B163" s="181">
        <f>B162*B150</f>
        <v>12.5</v>
      </c>
      <c r="C163" s="181">
        <f>C162*B150</f>
        <v>12.5</v>
      </c>
    </row>
    <row r="164" spans="1:25">
      <c r="A164" s="117" t="s">
        <v>104</v>
      </c>
      <c r="B164" s="181">
        <f>(SUM(IF(B157&gt;0,B157,0)+IF(B158&gt;0,B158,0)+IF(B159&gt;0,B159,))*B150+(B163*0.9))</f>
        <v>11.25</v>
      </c>
      <c r="C164" s="181">
        <f>(SUM(IF(C157&gt;0,C157,0)+IF(C158&gt;0,C158,0)+IF(C159&gt;0,C159,))*B150+(C163*0.9))</f>
        <v>72.821428571429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0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47.131428571429</v>
      </c>
    </row>
    <row r="167" spans="1:25">
      <c r="A167" s="121" t="s">
        <v>83</v>
      </c>
      <c r="B167" s="182">
        <f>B166*B146</f>
        <v>0</v>
      </c>
      <c r="C167" s="182">
        <f>C166*B146</f>
        <v>471.31428571429</v>
      </c>
    </row>
    <row r="168" spans="1:25">
      <c r="A168" s="121" t="s">
        <v>84</v>
      </c>
      <c r="B168" s="182">
        <f>Dados!H14*B163</f>
        <v>31.25</v>
      </c>
      <c r="C168" s="182">
        <f>Dados!H22*C163</f>
        <v>31.25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450</v>
      </c>
      <c r="D175" s="191">
        <f>Dados!G307</f>
        <v>450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descarte</v>
      </c>
      <c r="C182" s="200" t="e">
        <f>(IF(D182&gt;1,VLOOKUP(B196,Dados!A518:C519,3,0),0))</f>
        <v>#N/A</v>
      </c>
      <c r="D182" s="201">
        <f>IF(Dados!I19&gt;=2,VLOOKUP(Dados!I19,Dados!A414:B419,2,0),0)</f>
        <v>6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0.14285714285714</v>
      </c>
      <c r="D183" s="201">
        <f>IF(Dados!J20&gt;=2,VLOOKUP(Dados!J20,Dados!A414:B419,2,0),0)</f>
        <v>4</v>
      </c>
      <c r="E183" s="202">
        <f>IF(E204&gt;0,E204,0)</f>
        <v>114.28571428571</v>
      </c>
      <c r="F183" s="64">
        <f>IF(F207&gt;0,F207,"0")</f>
        <v>2280</v>
      </c>
    </row>
    <row r="184" spans="1:25" customHeight="1" ht="15">
      <c r="A184" s="203" t="s">
        <v>126</v>
      </c>
      <c r="B184" s="204" t="str">
        <f>IF(Dados!J21&gt;=1,VLOOKUP(Dados!J21,Dados!A542:F544,2,0),0)</f>
        <v>Kalvolac Quick</v>
      </c>
      <c r="C184" s="205">
        <f>IF(Dados!I21&gt;=2,VLOOKUP(Dados!I21,Dados!A476:B490,2,0),0)/1000</f>
        <v>0.01</v>
      </c>
      <c r="D184" s="205">
        <f>(IF(Dados!I21&gt;=2,VLOOKUP(Dados!I21,Dados!A476:B490,2,0),0)*D182)/1000</f>
        <v>0.06</v>
      </c>
      <c r="E184" s="206">
        <f>IF(G204&gt;0,G204,0)</f>
        <v>12</v>
      </c>
      <c r="F184" s="207">
        <f>IF(H207&gt;0,H207,"0")</f>
        <v>252</v>
      </c>
    </row>
    <row r="185" spans="1:25" customHeight="1" ht="15">
      <c r="C185" s="139"/>
      <c r="D185" s="208"/>
      <c r="E185" s="209" t="e">
        <f>B204+E204+G204</f>
        <v>#N/A</v>
      </c>
      <c r="F185" s="210" t="e">
        <f>D207+F207+H207</f>
        <v>#N/A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0.2175</v>
      </c>
      <c r="D187" s="213">
        <f>IF(Dados!I22&gt;=1,VLOOKUP(Dados!I22,Dados!A422:B430,2,0),0)</f>
        <v>0.25</v>
      </c>
      <c r="E187" s="214">
        <f>IF(B211&gt;0,B211,0)</f>
        <v>51.61275</v>
      </c>
      <c r="F187" s="215">
        <f>(IF(D187&gt;0,D187*Dados!C509,0))*1000</f>
        <v>740</v>
      </c>
    </row>
    <row r="188" spans="1:25">
      <c r="B188" s="69" t="s">
        <v>129</v>
      </c>
      <c r="C188" s="216" t="e">
        <f>(C183*D183)+(C182*D182)+(C184*D182)</f>
        <v>#N/A</v>
      </c>
    </row>
    <row r="189" spans="1:25">
      <c r="A189" s="139"/>
      <c r="B189" s="69" t="s">
        <v>130</v>
      </c>
      <c r="C189" s="217" t="e">
        <f>(C188/(D183+D182)*100)</f>
        <v>#N/A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 t="e">
        <f>C187+C188</f>
        <v>#N/A</v>
      </c>
      <c r="D190" s="116" t="s">
        <v>133</v>
      </c>
      <c r="E190" s="220">
        <f>SUM((E183+E184)*0.93,E182*0.95,E187*0.81)</f>
        <v>159.25204178571</v>
      </c>
      <c r="F190" s="221">
        <f>SUM((F182*0.93)+(F183+F184)*0.91)+(F187*0.83)</f>
        <v>2918.32</v>
      </c>
    </row>
    <row r="191" spans="1:25">
      <c r="A191" s="127"/>
      <c r="D191" s="69" t="s">
        <v>134</v>
      </c>
      <c r="E191" s="218">
        <f>E190-B178</f>
        <v>-27.528396978623</v>
      </c>
      <c r="F191" s="219">
        <f>F190-F189</f>
        <v>-446.41491138328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3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3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2307.7796571429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 t="e">
        <f>(VLOOKUP($B$196,Dados!$A$518:$F$519,4,FALSE))*$D$182*1000</f>
        <v>#N/A</v>
      </c>
      <c r="C204" s="230">
        <v>4</v>
      </c>
      <c r="D204" s="231" t="e">
        <f>C204*B204</f>
        <v>#N/A</v>
      </c>
      <c r="E204" s="232">
        <f>(((IF(D183&gt;0,VLOOKUP($B$195,Dados!A542:F544,4,0),0)))*10*($C$183*D183))</f>
        <v>114.28571428571</v>
      </c>
      <c r="F204" s="233">
        <f>C204*E204</f>
        <v>457.14285714286</v>
      </c>
      <c r="G204" s="234">
        <f>(Dados!M10*10)*D184</f>
        <v>12</v>
      </c>
      <c r="H204" s="235">
        <f>G204*C204</f>
        <v>48</v>
      </c>
    </row>
    <row r="205" spans="1:25">
      <c r="A205" s="224" t="s">
        <v>25</v>
      </c>
      <c r="B205" s="236" t="e">
        <f>(VLOOKUP($B$196,Dados!$A$518:$F$519,5,FALSE))*$D$182*1000</f>
        <v>#N/A</v>
      </c>
      <c r="C205" s="168">
        <v>9</v>
      </c>
      <c r="D205" s="237" t="e">
        <f>C205*B205</f>
        <v>#N/A</v>
      </c>
      <c r="E205" s="232">
        <f>(((IF(D183&gt;0,VLOOKUP($B$195,Dados!A542:F544,5,0),0)))*$C$183*10)*D183</f>
        <v>85.714285714286</v>
      </c>
      <c r="F205" s="238">
        <f>C205*E205</f>
        <v>771.42857142857</v>
      </c>
      <c r="G205" s="239">
        <f>(Dados!M11*10)*D184</f>
        <v>12</v>
      </c>
      <c r="H205" s="240">
        <f>G205*C205</f>
        <v>108</v>
      </c>
    </row>
    <row r="206" spans="1:25">
      <c r="A206" s="224" t="s">
        <v>30</v>
      </c>
      <c r="B206" s="236" t="e">
        <f>(VLOOKUP($B$196,Dados!$A$518:$F$519,6,FALSE))*$D$182*1000</f>
        <v>#N/A</v>
      </c>
      <c r="C206" s="168">
        <v>4</v>
      </c>
      <c r="D206" s="237" t="e">
        <f>C206*B206</f>
        <v>#N/A</v>
      </c>
      <c r="E206" s="232">
        <f>(((IF(D183&gt;0,VLOOKUP($B$195,Dados!A542:F544,6,0),0)))*$C$183*10)*D183</f>
        <v>262.85714285714</v>
      </c>
      <c r="F206" s="238">
        <f>C206*E206</f>
        <v>1051.4285714286</v>
      </c>
      <c r="G206" s="241">
        <f>(Dados!M12*10)*D184</f>
        <v>24</v>
      </c>
      <c r="H206" s="240">
        <f>G206*C206</f>
        <v>96</v>
      </c>
    </row>
    <row r="207" spans="1:25" customHeight="1" ht="15">
      <c r="A207" s="224"/>
      <c r="B207" s="242" t="e">
        <f>SUM(B204:B206)</f>
        <v>#N/A</v>
      </c>
      <c r="C207" s="243"/>
      <c r="D207" s="244" t="e">
        <f>SUM(D204:D206)</f>
        <v>#N/A</v>
      </c>
      <c r="E207" s="136"/>
      <c r="F207" s="245">
        <f>SUM(F204:F206)</f>
        <v>2280</v>
      </c>
      <c r="G207" s="246"/>
      <c r="H207" s="244">
        <f>SUM(H204:H206)</f>
        <v>252</v>
      </c>
    </row>
    <row r="208" spans="1:25">
      <c r="H208" s="176">
        <f>((IF(G204="","",IF(G204&gt;0.001,(((100-3.5)/100)*(G204*0.057)+(0.092*G205)+(0.0395*G206))*3.77)))*238.85)/10</f>
        <v>244.211375187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51.61275</v>
      </c>
      <c r="C211" s="230">
        <v>4</v>
      </c>
      <c r="D211" s="250">
        <f>C211*B211</f>
        <v>206.451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9.831</v>
      </c>
      <c r="C212" s="168">
        <v>9</v>
      </c>
      <c r="D212" s="256">
        <f>C212*B212</f>
        <v>88.479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294.93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 t="str">
        <f>Dados!G336</f>
        <v/>
      </c>
      <c r="D227" s="191" t="str">
        <f>Dados!H369</f>
        <v/>
      </c>
      <c r="E227" s="186"/>
      <c r="F227" s="124">
        <f>MIN(C227:D227)</f>
        <v>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Sem leite</v>
      </c>
      <c r="C234" s="200">
        <f>(IF(D234&gt;1,VLOOKUP(B248,Dados!A518:C520,3,0),0))</f>
        <v>0</v>
      </c>
      <c r="D234" s="201">
        <f>IF(Dados!I11&gt;=2,VLOOKUP(Dados!I11,Dados!A414:B419,2,0),0)</f>
        <v>0</v>
      </c>
      <c r="E234" s="202">
        <f>IF(B256&gt;0,B256,0)</f>
        <v>0</v>
      </c>
      <c r="F234" s="64" t="str">
        <f>IF(D259&gt;1,D259,"0")</f>
        <v>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</v>
      </c>
      <c r="D235" s="201">
        <f>IF(Dados!I12&gt;=2,VLOOKUP(Dados!I12,Dados!A414:B419,2,0),0)</f>
        <v>0</v>
      </c>
      <c r="E235" s="202">
        <f>IF(E256&gt;0,E256,0)</f>
        <v>0</v>
      </c>
      <c r="F235" s="64">
        <f>Dados!M15*(Dados!C235*D235)</f>
        <v>0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0</v>
      </c>
      <c r="F237" s="263">
        <f>D259+F259+H259</f>
        <v>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18%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37.5</v>
      </c>
      <c r="F239" s="264">
        <f>((IF(D239&gt;0,VLOOKUP(Dados!J14,Dados!A505:C509,3,0),0))*C239)*1000</f>
        <v>565.5</v>
      </c>
    </row>
    <row r="240" spans="1:25">
      <c r="B240" s="69" t="s">
        <v>129</v>
      </c>
      <c r="C240" s="216">
        <f>(C235*D235)+(C234*D234)+(C236*D234)</f>
        <v>0</v>
      </c>
    </row>
    <row r="241" spans="1:25">
      <c r="A241" s="139"/>
      <c r="B241" s="69" t="s">
        <v>130</v>
      </c>
      <c r="C241" s="217" t="e">
        <f>(C240/(D234+D235+D236))*100</f>
        <v>#DIV/0!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0.2175</v>
      </c>
      <c r="D242" s="116" t="s">
        <v>133</v>
      </c>
      <c r="E242" s="220">
        <f>SUM((E235+E236)*0.93,E234*0.95,E239*0.81)</f>
        <v>30.375</v>
      </c>
      <c r="F242" s="221">
        <f>SUM((F234*0.93)+(F235+F236)*0.91)+(F239*0.83)</f>
        <v>469.365</v>
      </c>
    </row>
    <row r="243" spans="1:25">
      <c r="A243" s="127"/>
      <c r="D243" s="69" t="s">
        <v>134</v>
      </c>
      <c r="E243" s="218">
        <f>E242-B230</f>
        <v>-156.40543876434</v>
      </c>
      <c r="F243" s="219">
        <f>F242-F241</f>
        <v>-2895.3699113833</v>
      </c>
    </row>
    <row r="244" spans="1:25">
      <c r="E244" s="143">
        <f>IF(AND(E243&gt;0,F243&gt;0),1,-1)</f>
        <v>-1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1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1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0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0</v>
      </c>
      <c r="F256" s="233">
        <f>C256*E256</f>
        <v>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0</v>
      </c>
      <c r="F257" s="238">
        <f>C257*E257</f>
        <v>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0</v>
      </c>
      <c r="F258" s="238">
        <f>C258*E258</f>
        <v>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450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9</v>
      </c>
      <c r="B277" s="265"/>
      <c r="C277" s="265"/>
      <c r="D277" s="265"/>
      <c r="E277" s="265" t="s">
        <v>148</v>
      </c>
      <c r="F277" s="265"/>
      <c r="G277" s="266">
        <f>Dados!E190</f>
        <v>159.25204178571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450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450</v>
      </c>
      <c r="C280" s="265"/>
      <c r="D280" s="265">
        <f>IFERROR(IF($A$276=1,MATCH($G$277,D$284:D$303,1),0),0)</f>
        <v>9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9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2918.32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9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450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9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9</v>
      </c>
      <c r="S309" s="265">
        <f>IFERROR(VLOOKUP(S306,A313:Q332,MATCH(S305,C310:Q310,0)-T305,0),"")</f>
        <v>450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 t="str">
        <f>IFERROR(VLOOKUP(A335,B342:R361,MATCH(A334,D339:R339,1)-B334,0),"")</f>
        <v/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0</v>
      </c>
      <c r="B335" s="265"/>
      <c r="C335" s="265"/>
      <c r="D335" s="265"/>
      <c r="E335" s="265" t="s">
        <v>148</v>
      </c>
      <c r="F335" s="265"/>
      <c r="G335" s="270">
        <f>Dados!E242</f>
        <v>30.375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 t="str">
        <f>B338</f>
        <v/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 t="str">
        <f>IFERROR(VLOOKUP(A335,B342:R361,MATCH(A334,D339:R339,0)-B334,0),"")</f>
        <v/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469.365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 t="str">
        <f>IFERROR(VLOOKUP(S367,B375:N394,MATCH(S366,D372:R372,0)-T366,0),"")</f>
        <v/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 t="str">
        <f>T368</f>
        <v/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