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moritz_wieland_bwedu_de/Documents/Module/Physik/Praktikum/Versuch Oberflächenspannung/"/>
    </mc:Choice>
  </mc:AlternateContent>
  <xr:revisionPtr revIDLastSave="487" documentId="8_{E0FA83E2-246F-5344-AD71-71693061F64E}" xr6:coauthVersionLast="47" xr6:coauthVersionMax="47" xr10:uidLastSave="{69E62AA9-F923-8C4E-B245-78746A31437C}"/>
  <bookViews>
    <workbookView xWindow="0" yWindow="0" windowWidth="28800" windowHeight="18000" xr2:uid="{DE81842C-0F6B-3545-A67E-92498C59F6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7" i="1" l="1"/>
  <c r="AH46" i="1"/>
  <c r="AH45" i="1"/>
  <c r="AH44" i="1"/>
  <c r="AM9" i="1"/>
  <c r="AM6" i="1"/>
  <c r="AM8" i="1"/>
  <c r="AM7" i="1"/>
  <c r="AM5" i="1"/>
  <c r="AM11" i="1"/>
  <c r="AL11" i="1"/>
  <c r="AL5" i="1" s="1"/>
  <c r="AL9" i="1"/>
  <c r="AI5" i="1"/>
  <c r="AI9" i="1"/>
  <c r="AI8" i="1"/>
  <c r="AI7" i="1"/>
  <c r="AI6" i="1"/>
  <c r="AF6" i="1"/>
  <c r="AF7" i="1"/>
  <c r="AF8" i="1"/>
  <c r="AF9" i="1"/>
  <c r="AF5" i="1"/>
  <c r="Q6" i="1"/>
  <c r="Q5" i="1"/>
  <c r="Q7" i="1"/>
  <c r="Q8" i="1"/>
  <c r="Q9" i="1"/>
  <c r="Q10" i="1"/>
  <c r="Q11" i="1"/>
  <c r="Q12" i="1"/>
  <c r="Q13" i="1"/>
  <c r="Q14" i="1"/>
  <c r="Q15" i="1"/>
  <c r="Q16" i="1"/>
  <c r="Q17" i="1"/>
  <c r="P6" i="1"/>
  <c r="T6" i="1" s="1"/>
  <c r="U6" i="1" s="1"/>
  <c r="T5" i="1"/>
  <c r="I4" i="1"/>
  <c r="I10" i="1"/>
  <c r="C16" i="1"/>
  <c r="J16" i="1"/>
  <c r="I16" i="1"/>
  <c r="D16" i="1"/>
  <c r="C4" i="1"/>
  <c r="C10" i="1"/>
  <c r="AL6" i="1" l="1"/>
  <c r="AL7" i="1"/>
  <c r="AL8" i="1"/>
  <c r="C12" i="1"/>
  <c r="C13" i="1" s="1"/>
  <c r="V17" i="1"/>
  <c r="V9" i="1"/>
  <c r="V16" i="1"/>
  <c r="V15" i="1"/>
  <c r="V7" i="1"/>
  <c r="V12" i="1"/>
  <c r="V10" i="1"/>
  <c r="V8" i="1"/>
  <c r="V14" i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T17" i="1" s="1"/>
  <c r="U17" i="1" s="1"/>
  <c r="V5" i="1"/>
  <c r="T12" i="1"/>
  <c r="U12" i="1" s="1"/>
  <c r="T13" i="1"/>
  <c r="U13" i="1" s="1"/>
  <c r="T10" i="1"/>
  <c r="U10" i="1" s="1"/>
  <c r="T9" i="1"/>
  <c r="U9" i="1" s="1"/>
  <c r="V13" i="1"/>
  <c r="V6" i="1"/>
  <c r="T11" i="1"/>
  <c r="U11" i="1" s="1"/>
  <c r="V11" i="1"/>
  <c r="I12" i="1"/>
  <c r="I13" i="1" s="1"/>
  <c r="C19" i="1"/>
  <c r="C20" i="1" s="1"/>
  <c r="I19" i="1"/>
  <c r="I20" i="1" s="1"/>
  <c r="T7" i="1" l="1"/>
  <c r="U7" i="1" s="1"/>
  <c r="T15" i="1"/>
  <c r="U15" i="1" s="1"/>
  <c r="T8" i="1"/>
  <c r="U8" i="1" s="1"/>
  <c r="T16" i="1"/>
  <c r="U16" i="1" s="1"/>
  <c r="T14" i="1"/>
  <c r="P21" i="1" s="1"/>
  <c r="U14" i="1" l="1"/>
  <c r="P20" i="1" s="1"/>
</calcChain>
</file>

<file path=xl/sharedStrings.xml><?xml version="1.0" encoding="utf-8"?>
<sst xmlns="http://schemas.openxmlformats.org/spreadsheetml/2006/main" count="77" uniqueCount="53">
  <si>
    <t>g</t>
  </si>
  <si>
    <t>mm</t>
  </si>
  <si>
    <t>mN</t>
  </si>
  <si>
    <t>Oberflächenspannung Sigma</t>
  </si>
  <si>
    <t>mN/m</t>
  </si>
  <si>
    <t>mN/mm</t>
  </si>
  <si>
    <t>Delta F</t>
  </si>
  <si>
    <t>Delta D</t>
  </si>
  <si>
    <t>Durchmesser D</t>
  </si>
  <si>
    <t>1. F</t>
  </si>
  <si>
    <t>2. F</t>
  </si>
  <si>
    <t>3. F</t>
  </si>
  <si>
    <t>Fehler Schieblehre</t>
  </si>
  <si>
    <t>Größtfehler</t>
  </si>
  <si>
    <t>Durchschnitt F</t>
  </si>
  <si>
    <t>Wasser</t>
  </si>
  <si>
    <t>Ethanol</t>
  </si>
  <si>
    <t>Lösung</t>
  </si>
  <si>
    <t>x(ml)</t>
  </si>
  <si>
    <t>x_ges(ml)</t>
  </si>
  <si>
    <t>F_mittel(mN)</t>
  </si>
  <si>
    <t>c(mmol/l)</t>
  </si>
  <si>
    <t>log c</t>
  </si>
  <si>
    <t>Sigma(mN/m)</t>
  </si>
  <si>
    <t>mM</t>
  </si>
  <si>
    <t>1. Messung</t>
  </si>
  <si>
    <t>2. Messung</t>
  </si>
  <si>
    <t>-</t>
  </si>
  <si>
    <t>cmc</t>
  </si>
  <si>
    <t>log cmc</t>
  </si>
  <si>
    <t>d(mm)</t>
  </si>
  <si>
    <t>1/r (1/mm)</t>
  </si>
  <si>
    <t>h_demin/f (mm)</t>
  </si>
  <si>
    <t>h_sds/f (mm)</t>
  </si>
  <si>
    <t>h_demin/k (mm)</t>
  </si>
  <si>
    <t>h_sds/k (mm)</t>
  </si>
  <si>
    <t>h_1</t>
  </si>
  <si>
    <t>h_2</t>
  </si>
  <si>
    <t>h1 -&gt; Oberfäche</t>
  </si>
  <si>
    <t>h2 -&gt; Kapilare</t>
  </si>
  <si>
    <t>1cm = x px</t>
  </si>
  <si>
    <t>m_1</t>
  </si>
  <si>
    <t>m_2</t>
  </si>
  <si>
    <t>m_3</t>
  </si>
  <si>
    <t>m_4</t>
  </si>
  <si>
    <t>m/s^2</t>
  </si>
  <si>
    <t>Dichte Wasser</t>
  </si>
  <si>
    <t>Sigma</t>
  </si>
  <si>
    <t>kg/m^3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</si>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</sst>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Sigma(mN/m)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Sheet1!$U$6:$U$17</c:f>
              <c:numCache>
                <c:formatCode>0.000</c:formatCode>
                <c:ptCount val="12"/>
                <c:pt idx="0">
                  <c:v>-1.0008677215312269</c:v>
                </c:pt>
                <c:pt idx="1">
                  <c:v>-0.70070371714501933</c:v>
                </c:pt>
                <c:pt idx="2">
                  <c:v>-0.30535136944662378</c:v>
                </c:pt>
                <c:pt idx="3">
                  <c:v>-8.6001717619175796E-3</c:v>
                </c:pt>
                <c:pt idx="4">
                  <c:v>0.28399665636520083</c:v>
                </c:pt>
                <c:pt idx="5">
                  <c:v>0.56863623584101264</c:v>
                </c:pt>
                <c:pt idx="6">
                  <c:v>0.72893322771346203</c:v>
                </c:pt>
                <c:pt idx="7">
                  <c:v>0.83863199776502506</c:v>
                </c:pt>
                <c:pt idx="8">
                  <c:v>0.92081875395237522</c:v>
                </c:pt>
                <c:pt idx="9">
                  <c:v>0.98575956088538974</c:v>
                </c:pt>
                <c:pt idx="10">
                  <c:v>1.1033441230134662</c:v>
                </c:pt>
                <c:pt idx="11">
                  <c:v>1.1840601887269566</c:v>
                </c:pt>
              </c:numCache>
            </c:numRef>
          </c:xVal>
          <c:yVal>
            <c:numRef>
              <c:f>Sheet1!$V$6:$V$17</c:f>
              <c:numCache>
                <c:formatCode>0.000</c:formatCode>
                <c:ptCount val="12"/>
                <c:pt idx="0">
                  <c:v>87.156278359847448</c:v>
                </c:pt>
                <c:pt idx="1">
                  <c:v>84.630009421880857</c:v>
                </c:pt>
                <c:pt idx="2">
                  <c:v>77.051202607981068</c:v>
                </c:pt>
                <c:pt idx="3">
                  <c:v>66.946126856114702</c:v>
                </c:pt>
                <c:pt idx="4">
                  <c:v>58.104185573231632</c:v>
                </c:pt>
                <c:pt idx="5">
                  <c:v>50.525378759331851</c:v>
                </c:pt>
                <c:pt idx="6">
                  <c:v>42.946571945432076</c:v>
                </c:pt>
                <c:pt idx="7">
                  <c:v>37.894034069498886</c:v>
                </c:pt>
                <c:pt idx="8">
                  <c:v>32.841496193565703</c:v>
                </c:pt>
                <c:pt idx="9">
                  <c:v>38.525601303990534</c:v>
                </c:pt>
                <c:pt idx="10">
                  <c:v>42.315004710940428</c:v>
                </c:pt>
                <c:pt idx="11">
                  <c:v>44.209706414415372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0-5E4B-9083-8609B1A6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837536"/>
        <c:axId val="1366731808"/>
      </c:scatterChart>
      <c:valAx>
        <c:axId val="13668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6731808"/>
        <c:crosses val="autoZero"/>
        <c:crossBetween val="midCat"/>
      </c:valAx>
      <c:valAx>
        <c:axId val="13667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683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Sheet1!$AI$4</c:f>
              <c:strCache>
                <c:ptCount val="1"/>
                <c:pt idx="0">
                  <c:v>h_sds/f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05621172353456E-2"/>
                  <c:y val="0.31831984543598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Sheet1!$AE$5:$AE$9</c:f>
              <c:numCache>
                <c:formatCode>0.000</c:formatCode>
                <c:ptCount val="5"/>
                <c:pt idx="0">
                  <c:v>2.41</c:v>
                </c:pt>
                <c:pt idx="1">
                  <c:v>1.67</c:v>
                </c:pt>
                <c:pt idx="2">
                  <c:v>1.21</c:v>
                </c:pt>
                <c:pt idx="3">
                  <c:v>0.65</c:v>
                </c:pt>
                <c:pt idx="4">
                  <c:v>0.4</c:v>
                </c:pt>
              </c:numCache>
            </c:numRef>
          </c:xVal>
          <c:yVal>
            <c:numRef>
              <c:f>Sheet1!$AI$5:$AI$9</c:f>
              <c:numCache>
                <c:formatCode>0.000</c:formatCode>
                <c:ptCount val="5"/>
                <c:pt idx="0">
                  <c:v>25</c:v>
                </c:pt>
                <c:pt idx="1">
                  <c:v>16</c:v>
                </c:pt>
                <c:pt idx="2">
                  <c:v>10.5</c:v>
                </c:pt>
                <c:pt idx="3">
                  <c:v>5</c:v>
                </c:pt>
                <c:pt idx="4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7-A84E-994C-0A693195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77968"/>
        <c:axId val="1682101216"/>
      </c:scatterChart>
      <c:valAx>
        <c:axId val="1682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101216"/>
        <c:crosses val="autoZero"/>
        <c:crossBetween val="midCat"/>
      </c:valAx>
      <c:valAx>
        <c:axId val="16821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3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Sheet1!$AF$4</c:f>
              <c:strCache>
                <c:ptCount val="1"/>
                <c:pt idx="0">
                  <c:v>h_demin/f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05621172353456E-2"/>
                  <c:y val="0.31831984543598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Sheet1!$AE$5:$AE$9</c:f>
              <c:numCache>
                <c:formatCode>0.000</c:formatCode>
                <c:ptCount val="5"/>
                <c:pt idx="0">
                  <c:v>2.41</c:v>
                </c:pt>
                <c:pt idx="1">
                  <c:v>1.67</c:v>
                </c:pt>
                <c:pt idx="2">
                  <c:v>1.21</c:v>
                </c:pt>
                <c:pt idx="3">
                  <c:v>0.65</c:v>
                </c:pt>
                <c:pt idx="4">
                  <c:v>0.4</c:v>
                </c:pt>
              </c:numCache>
            </c:numRef>
          </c:xVal>
          <c:yVal>
            <c:numRef>
              <c:f>Sheet1!$AF$5:$AF$9</c:f>
              <c:numCache>
                <c:formatCode>0.000</c:formatCode>
                <c:ptCount val="5"/>
                <c:pt idx="0">
                  <c:v>32.900000000000006</c:v>
                </c:pt>
                <c:pt idx="1">
                  <c:v>23.2</c:v>
                </c:pt>
                <c:pt idx="2">
                  <c:v>16.3</c:v>
                </c:pt>
                <c:pt idx="3">
                  <c:v>7.3000000000000007</c:v>
                </c:pt>
                <c:pt idx="4">
                  <c:v>3.1999999999999993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7-A84E-994C-0A693195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77968"/>
        <c:axId val="1682101216"/>
      </c:scatterChart>
      <c:valAx>
        <c:axId val="1682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101216"/>
        <c:crosses val="autoZero"/>
        <c:crossBetween val="midCat"/>
      </c:valAx>
      <c:valAx>
        <c:axId val="16821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3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Sheet1!$AL$4</c:f>
              <c:strCache>
                <c:ptCount val="1"/>
                <c:pt idx="0">
                  <c:v>h_demin/k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05621172353456E-2"/>
                  <c:y val="0.31831984543598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Sheet1!$AE$5:$AE$9</c:f>
              <c:numCache>
                <c:formatCode>0.000</c:formatCode>
                <c:ptCount val="5"/>
                <c:pt idx="0">
                  <c:v>2.41</c:v>
                </c:pt>
                <c:pt idx="1">
                  <c:v>1.67</c:v>
                </c:pt>
                <c:pt idx="2">
                  <c:v>1.21</c:v>
                </c:pt>
                <c:pt idx="3">
                  <c:v>0.65</c:v>
                </c:pt>
                <c:pt idx="4">
                  <c:v>0.4</c:v>
                </c:pt>
              </c:numCache>
            </c:numRef>
          </c:xVal>
          <c:yVal>
            <c:numRef>
              <c:f>Sheet1!$AL$5:$AL$9</c:f>
              <c:numCache>
                <c:formatCode>0.000</c:formatCode>
                <c:ptCount val="5"/>
                <c:pt idx="0">
                  <c:v>37.098540790728897</c:v>
                </c:pt>
                <c:pt idx="1">
                  <c:v>24.742960110235668</c:v>
                </c:pt>
                <c:pt idx="2">
                  <c:v>17.708370137441261</c:v>
                </c:pt>
                <c:pt idx="3">
                  <c:v>9.3647316538882812</c:v>
                </c:pt>
                <c:pt idx="4">
                  <c:v>4.5966858636893617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7-A84E-994C-0A693195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77968"/>
        <c:axId val="1682101216"/>
      </c:scatterChart>
      <c:valAx>
        <c:axId val="1682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101216"/>
        <c:crosses val="autoZero"/>
        <c:crossBetween val="midCat"/>
      </c:valAx>
      <c:valAx>
        <c:axId val="16821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3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Sheet1!$AM$4</c:f>
              <c:strCache>
                <c:ptCount val="1"/>
                <c:pt idx="0">
                  <c:v>h_sds/k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05621172353456E-2"/>
                  <c:y val="0.31831984543598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Sheet1!$AE$5:$AE$9</c:f>
              <c:numCache>
                <c:formatCode>0.000</c:formatCode>
                <c:ptCount val="5"/>
                <c:pt idx="0">
                  <c:v>2.41</c:v>
                </c:pt>
                <c:pt idx="1">
                  <c:v>1.67</c:v>
                </c:pt>
                <c:pt idx="2">
                  <c:v>1.21</c:v>
                </c:pt>
                <c:pt idx="3">
                  <c:v>0.65</c:v>
                </c:pt>
                <c:pt idx="4">
                  <c:v>0.4</c:v>
                </c:pt>
              </c:numCache>
            </c:numRef>
          </c:xVal>
          <c:yVal>
            <c:numRef>
              <c:f>Sheet1!$AM$5:$AM$9</c:f>
              <c:numCache>
                <c:formatCode>0.000</c:formatCode>
                <c:ptCount val="5"/>
                <c:pt idx="0">
                  <c:v>23.084639498432601</c:v>
                </c:pt>
                <c:pt idx="1">
                  <c:v>16.927899686520377</c:v>
                </c:pt>
                <c:pt idx="2">
                  <c:v>10.189655172413794</c:v>
                </c:pt>
                <c:pt idx="3">
                  <c:v>5.1755485893416937</c:v>
                </c:pt>
                <c:pt idx="4">
                  <c:v>3.1379310344827585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7-A84E-994C-0A693195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77968"/>
        <c:axId val="1682101216"/>
      </c:scatterChart>
      <c:valAx>
        <c:axId val="1682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101216"/>
        <c:crosses val="autoZero"/>
        <c:crossBetween val="midCat"/>
      </c:valAx>
      <c:valAx>
        <c:axId val="16821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3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12700</xdr:colOff>
      <xdr:row>3</xdr:row>
      <xdr:rowOff>0</xdr:rowOff>
    </xdr:from>
    <xdr:to>
      <xdr:col>28</xdr:col>
      <xdr:colOff>12700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85EE8-05E6-CBBE-76AD-8F5143BDD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12700</xdr:colOff>
      <xdr:row>27</xdr:row>
      <xdr:rowOff>12700</xdr:rowOff>
    </xdr:from>
    <xdr:to>
      <xdr:col>33</xdr:col>
      <xdr:colOff>0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38B07-173B-BCC8-667F-62144281D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12700</xdr:colOff>
      <xdr:row>13</xdr:row>
      <xdr:rowOff>12700</xdr:rowOff>
    </xdr:from>
    <xdr:to>
      <xdr:col>32</xdr:col>
      <xdr:colOff>1308100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FB057F-2FB9-CE4C-13FB-3256BFC68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12700</xdr:colOff>
      <xdr:row>13</xdr:row>
      <xdr:rowOff>12700</xdr:rowOff>
    </xdr:from>
    <xdr:to>
      <xdr:col>38</xdr:col>
      <xdr:colOff>0</xdr:colOff>
      <xdr:row>26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C69C76-AF7D-ED1D-EC88-E7C938020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12700</xdr:colOff>
      <xdr:row>27</xdr:row>
      <xdr:rowOff>12700</xdr:rowOff>
    </xdr:from>
    <xdr:to>
      <xdr:col>37</xdr:col>
      <xdr:colOff>1320800</xdr:colOff>
      <xdr:row>40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C87B73-F18F-5225-99E5-05C0E5319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E4F2-E95D-9E49-9C76-20B482CC2A84}">
  <dimension ref="A3:AO47"/>
  <sheetViews>
    <sheetView tabSelected="1" workbookViewId="0">
      <selection activeCell="O29" sqref="O29"/>
    </sheetView>
  </sheetViews>
  <sheetFormatPr baseColWidth="10" defaultRowHeight="16" x14ac:dyDescent="0.2"/>
  <cols>
    <col min="1" max="1" width="24.83203125" style="1" bestFit="1" customWidth="1"/>
    <col min="2" max="2" width="2" style="1" customWidth="1"/>
    <col min="3" max="7" width="10.83203125" style="1"/>
    <col min="8" max="8" width="1.6640625" style="1" customWidth="1"/>
    <col min="9" max="13" width="10.83203125" style="1"/>
    <col min="14" max="14" width="2.33203125" style="1" customWidth="1"/>
    <col min="15" max="15" width="15.33203125" style="1" customWidth="1"/>
    <col min="16" max="16" width="16.83203125" style="1" customWidth="1"/>
    <col min="17" max="19" width="14.6640625" style="1" customWidth="1"/>
    <col min="20" max="20" width="15.33203125" style="1" customWidth="1"/>
    <col min="21" max="21" width="11.6640625" style="1" customWidth="1"/>
    <col min="22" max="22" width="14.5" style="1" customWidth="1"/>
    <col min="23" max="24" width="10.83203125" style="1"/>
    <col min="25" max="25" width="14.33203125" style="1" customWidth="1"/>
    <col min="26" max="28" width="10.83203125" style="1"/>
    <col min="29" max="29" width="1.83203125" style="1" customWidth="1"/>
    <col min="30" max="30" width="10.83203125" style="1"/>
    <col min="31" max="31" width="12.6640625" style="1" customWidth="1"/>
    <col min="32" max="34" width="17.33203125" style="1" customWidth="1"/>
    <col min="35" max="37" width="18.33203125" style="1" customWidth="1"/>
    <col min="38" max="38" width="17.5" style="1" customWidth="1"/>
    <col min="39" max="39" width="15.1640625" style="1" customWidth="1"/>
    <col min="40" max="16384" width="10.83203125" style="1"/>
  </cols>
  <sheetData>
    <row r="3" spans="1:41" x14ac:dyDescent="0.2">
      <c r="A3" s="3"/>
      <c r="B3" s="3"/>
      <c r="C3" s="2" t="s">
        <v>15</v>
      </c>
      <c r="D3" s="2"/>
      <c r="E3" s="2"/>
      <c r="F3" s="2"/>
      <c r="G3" s="2"/>
      <c r="I3" s="2" t="s">
        <v>16</v>
      </c>
      <c r="J3" s="2"/>
      <c r="K3" s="2"/>
      <c r="L3" s="2"/>
      <c r="M3" s="2"/>
      <c r="O3" s="2" t="s">
        <v>17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41" x14ac:dyDescent="0.2">
      <c r="A4" s="1" t="s">
        <v>8</v>
      </c>
      <c r="C4" s="1">
        <f>SUM(E4:G4)/3</f>
        <v>63</v>
      </c>
      <c r="D4" s="1" t="s">
        <v>1</v>
      </c>
      <c r="E4" s="1">
        <v>63</v>
      </c>
      <c r="F4" s="1">
        <v>63</v>
      </c>
      <c r="G4" s="1">
        <v>63</v>
      </c>
      <c r="I4" s="1">
        <f>SUM(K4:M4)/3</f>
        <v>63</v>
      </c>
      <c r="J4" s="1" t="s">
        <v>1</v>
      </c>
      <c r="K4" s="1">
        <v>63</v>
      </c>
      <c r="L4" s="1">
        <v>63</v>
      </c>
      <c r="M4" s="1">
        <v>63</v>
      </c>
      <c r="O4" s="1" t="s">
        <v>18</v>
      </c>
      <c r="P4" s="1" t="s">
        <v>19</v>
      </c>
      <c r="Q4" s="1" t="s">
        <v>20</v>
      </c>
      <c r="R4" s="1" t="s">
        <v>25</v>
      </c>
      <c r="S4" s="1" t="s">
        <v>26</v>
      </c>
      <c r="T4" s="1" t="s">
        <v>21</v>
      </c>
      <c r="U4" s="1" t="s">
        <v>22</v>
      </c>
      <c r="V4" s="1" t="s">
        <v>23</v>
      </c>
      <c r="AD4" s="1" t="s">
        <v>30</v>
      </c>
      <c r="AE4" s="1" t="s">
        <v>31</v>
      </c>
      <c r="AF4" s="1" t="s">
        <v>32</v>
      </c>
      <c r="AG4" s="1" t="s">
        <v>36</v>
      </c>
      <c r="AH4" s="1" t="s">
        <v>37</v>
      </c>
      <c r="AI4" s="1" t="s">
        <v>33</v>
      </c>
      <c r="AJ4" s="1" t="s">
        <v>36</v>
      </c>
      <c r="AK4" s="1" t="s">
        <v>37</v>
      </c>
      <c r="AL4" s="1" t="s">
        <v>34</v>
      </c>
      <c r="AM4" s="1" t="s">
        <v>35</v>
      </c>
    </row>
    <row r="5" spans="1:41" x14ac:dyDescent="0.2">
      <c r="O5" s="1">
        <v>0</v>
      </c>
      <c r="P5" s="1">
        <v>0</v>
      </c>
      <c r="Q5" s="1">
        <f>SUM(R5:S5)/2</f>
        <v>33.5</v>
      </c>
      <c r="R5" s="1">
        <v>33</v>
      </c>
      <c r="S5" s="1">
        <v>34</v>
      </c>
      <c r="T5" s="1">
        <f>(50*P5)/(500+P5)</f>
        <v>0</v>
      </c>
      <c r="U5" s="1" t="s">
        <v>27</v>
      </c>
      <c r="V5" s="1">
        <f>Q5/(2*PI()*$I$4)*1000</f>
        <v>84.630009421880857</v>
      </c>
      <c r="AD5" s="1">
        <v>0.83</v>
      </c>
      <c r="AE5" s="1">
        <v>2.41</v>
      </c>
      <c r="AF5" s="1">
        <f>AH5-AG5</f>
        <v>32.900000000000006</v>
      </c>
      <c r="AG5" s="1">
        <v>12.8</v>
      </c>
      <c r="AH5" s="1">
        <v>45.7</v>
      </c>
      <c r="AI5" s="1">
        <f>AK5-AJ5</f>
        <v>25</v>
      </c>
      <c r="AJ5" s="1">
        <v>9</v>
      </c>
      <c r="AK5" s="1">
        <v>34</v>
      </c>
      <c r="AL5" s="1">
        <f>210/$AL$11</f>
        <v>37.098540790728897</v>
      </c>
      <c r="AM5" s="1">
        <f>147.28/$AM$11</f>
        <v>23.084639498432601</v>
      </c>
    </row>
    <row r="6" spans="1:41" x14ac:dyDescent="0.2">
      <c r="A6" s="1" t="s">
        <v>9</v>
      </c>
      <c r="C6" s="1">
        <v>30</v>
      </c>
      <c r="D6" s="1" t="s">
        <v>2</v>
      </c>
      <c r="I6" s="1">
        <v>11</v>
      </c>
      <c r="J6" s="1" t="s">
        <v>2</v>
      </c>
      <c r="O6" s="1">
        <v>1</v>
      </c>
      <c r="P6" s="1">
        <f>P5+O6</f>
        <v>1</v>
      </c>
      <c r="Q6" s="1">
        <f t="shared" ref="Q6:Q17" si="0">SUM(R6:S6)/2</f>
        <v>34.5</v>
      </c>
      <c r="R6" s="1">
        <v>35</v>
      </c>
      <c r="S6" s="1">
        <v>34</v>
      </c>
      <c r="T6" s="1">
        <f t="shared" ref="T6:T17" si="1">(50*P6)/(500+P6)</f>
        <v>9.9800399201596807E-2</v>
      </c>
      <c r="U6" s="1">
        <f t="shared" ref="U6:U17" si="2">LOG(T6)</f>
        <v>-1.0008677215312269</v>
      </c>
      <c r="V6" s="1">
        <f t="shared" ref="V6:V17" si="3">Q6/(2*PI()*$I$4)*1000</f>
        <v>87.156278359847448</v>
      </c>
      <c r="AD6" s="1">
        <v>1.2</v>
      </c>
      <c r="AE6" s="1">
        <v>1.67</v>
      </c>
      <c r="AF6" s="1">
        <f t="shared" ref="AF6:AF9" si="4">AH6-AG6</f>
        <v>23.2</v>
      </c>
      <c r="AG6" s="1">
        <v>12.8</v>
      </c>
      <c r="AH6" s="1">
        <v>36</v>
      </c>
      <c r="AI6" s="1">
        <f t="shared" ref="AI6:AI9" si="5">AK6-AJ6</f>
        <v>16</v>
      </c>
      <c r="AJ6" s="1">
        <v>9</v>
      </c>
      <c r="AK6" s="1">
        <v>25</v>
      </c>
      <c r="AL6" s="1">
        <f>140.06/$AL$11</f>
        <v>24.742960110235668</v>
      </c>
      <c r="AM6" s="1">
        <f>108/$AM$11</f>
        <v>16.927899686520377</v>
      </c>
    </row>
    <row r="7" spans="1:41" x14ac:dyDescent="0.2">
      <c r="A7" s="1" t="s">
        <v>10</v>
      </c>
      <c r="C7" s="1">
        <v>31</v>
      </c>
      <c r="D7" s="1" t="s">
        <v>2</v>
      </c>
      <c r="I7" s="1">
        <v>10</v>
      </c>
      <c r="J7" s="1" t="s">
        <v>2</v>
      </c>
      <c r="O7" s="1">
        <v>1</v>
      </c>
      <c r="P7" s="1">
        <f t="shared" ref="P7:P17" si="6">P6+O7</f>
        <v>2</v>
      </c>
      <c r="Q7" s="1">
        <f t="shared" si="0"/>
        <v>33.5</v>
      </c>
      <c r="R7" s="1">
        <v>34</v>
      </c>
      <c r="S7" s="1">
        <v>33</v>
      </c>
      <c r="T7" s="1">
        <f t="shared" si="1"/>
        <v>0.19920318725099601</v>
      </c>
      <c r="U7" s="1">
        <f t="shared" si="2"/>
        <v>-0.70070371714501933</v>
      </c>
      <c r="V7" s="1">
        <f t="shared" si="3"/>
        <v>84.630009421880857</v>
      </c>
      <c r="AD7" s="1">
        <v>1.65</v>
      </c>
      <c r="AE7" s="1">
        <v>1.21</v>
      </c>
      <c r="AF7" s="1">
        <f t="shared" si="4"/>
        <v>16.3</v>
      </c>
      <c r="AG7" s="1">
        <v>12.8</v>
      </c>
      <c r="AH7" s="1">
        <v>29.1</v>
      </c>
      <c r="AI7" s="1">
        <f t="shared" si="5"/>
        <v>10.5</v>
      </c>
      <c r="AJ7" s="1">
        <v>9</v>
      </c>
      <c r="AK7" s="1">
        <v>19.5</v>
      </c>
      <c r="AL7" s="1">
        <f>100.24/$AL$11</f>
        <v>17.708370137441261</v>
      </c>
      <c r="AM7" s="1">
        <f>65.01/$AM$11</f>
        <v>10.189655172413794</v>
      </c>
    </row>
    <row r="8" spans="1:41" x14ac:dyDescent="0.2">
      <c r="A8" s="1" t="s">
        <v>11</v>
      </c>
      <c r="C8" s="1">
        <v>32</v>
      </c>
      <c r="D8" s="1" t="s">
        <v>2</v>
      </c>
      <c r="I8" s="1">
        <v>10.5</v>
      </c>
      <c r="J8" s="1" t="s">
        <v>2</v>
      </c>
      <c r="O8" s="1">
        <v>3</v>
      </c>
      <c r="P8" s="1">
        <f t="shared" si="6"/>
        <v>5</v>
      </c>
      <c r="Q8" s="1">
        <f t="shared" si="0"/>
        <v>30.5</v>
      </c>
      <c r="R8" s="1">
        <v>30</v>
      </c>
      <c r="S8" s="1">
        <v>31</v>
      </c>
      <c r="T8" s="1">
        <f t="shared" si="1"/>
        <v>0.49504950495049505</v>
      </c>
      <c r="U8" s="1">
        <f t="shared" si="2"/>
        <v>-0.30535136944662378</v>
      </c>
      <c r="V8" s="1">
        <f t="shared" si="3"/>
        <v>77.051202607981068</v>
      </c>
      <c r="AD8" s="1">
        <v>3.1</v>
      </c>
      <c r="AE8" s="1">
        <v>0.65</v>
      </c>
      <c r="AF8" s="1">
        <f t="shared" si="4"/>
        <v>7.3000000000000007</v>
      </c>
      <c r="AG8" s="1">
        <v>12.8</v>
      </c>
      <c r="AH8" s="1">
        <v>20.100000000000001</v>
      </c>
      <c r="AI8" s="1">
        <f t="shared" si="5"/>
        <v>5</v>
      </c>
      <c r="AJ8" s="1">
        <v>9</v>
      </c>
      <c r="AK8" s="1">
        <v>14</v>
      </c>
      <c r="AL8" s="1">
        <f>53.01/$AL$11</f>
        <v>9.3647316538882812</v>
      </c>
      <c r="AM8" s="1">
        <f>33.02/$AM$11</f>
        <v>5.1755485893416937</v>
      </c>
    </row>
    <row r="9" spans="1:41" x14ac:dyDescent="0.2">
      <c r="O9" s="1">
        <v>5</v>
      </c>
      <c r="P9" s="1">
        <f t="shared" si="6"/>
        <v>10</v>
      </c>
      <c r="Q9" s="1">
        <f t="shared" si="0"/>
        <v>26.5</v>
      </c>
      <c r="R9" s="1">
        <v>26</v>
      </c>
      <c r="S9" s="1">
        <v>27</v>
      </c>
      <c r="T9" s="1">
        <f t="shared" si="1"/>
        <v>0.98039215686274506</v>
      </c>
      <c r="U9" s="1">
        <f t="shared" si="2"/>
        <v>-8.6001717619175796E-3</v>
      </c>
      <c r="V9" s="1">
        <f t="shared" si="3"/>
        <v>66.946126856114702</v>
      </c>
      <c r="AD9" s="1">
        <v>5</v>
      </c>
      <c r="AE9" s="1">
        <v>0.4</v>
      </c>
      <c r="AF9" s="1">
        <f t="shared" si="4"/>
        <v>3.1999999999999993</v>
      </c>
      <c r="AG9" s="1">
        <v>12.8</v>
      </c>
      <c r="AH9" s="1">
        <v>16</v>
      </c>
      <c r="AI9" s="1">
        <f t="shared" si="5"/>
        <v>3.5</v>
      </c>
      <c r="AJ9" s="1">
        <v>9</v>
      </c>
      <c r="AK9" s="1">
        <v>12.5</v>
      </c>
      <c r="AL9" s="1">
        <f>26.02/$AL$11</f>
        <v>4.5966858636893617</v>
      </c>
      <c r="AM9" s="1">
        <f>20.02/$AM$11</f>
        <v>3.1379310344827585</v>
      </c>
    </row>
    <row r="10" spans="1:41" x14ac:dyDescent="0.2">
      <c r="A10" s="1" t="s">
        <v>14</v>
      </c>
      <c r="C10" s="1">
        <f>SUM(C6:C8)/3</f>
        <v>31</v>
      </c>
      <c r="D10" s="1" t="s">
        <v>2</v>
      </c>
      <c r="I10" s="1">
        <f>SUM(I6:I8)/3</f>
        <v>10.5</v>
      </c>
      <c r="J10" s="1" t="s">
        <v>2</v>
      </c>
      <c r="O10" s="1">
        <v>10</v>
      </c>
      <c r="P10" s="1">
        <f t="shared" si="6"/>
        <v>20</v>
      </c>
      <c r="Q10" s="1">
        <f t="shared" si="0"/>
        <v>23</v>
      </c>
      <c r="R10" s="1">
        <v>23</v>
      </c>
      <c r="S10" s="1">
        <v>23</v>
      </c>
      <c r="T10" s="1">
        <f t="shared" si="1"/>
        <v>1.9230769230769231</v>
      </c>
      <c r="U10" s="1">
        <f t="shared" si="2"/>
        <v>0.28399665636520083</v>
      </c>
      <c r="V10" s="1">
        <f t="shared" si="3"/>
        <v>58.104185573231632</v>
      </c>
    </row>
    <row r="11" spans="1:41" x14ac:dyDescent="0.2">
      <c r="O11" s="1">
        <v>20</v>
      </c>
      <c r="P11" s="1">
        <f t="shared" si="6"/>
        <v>40</v>
      </c>
      <c r="Q11" s="1">
        <f t="shared" si="0"/>
        <v>20</v>
      </c>
      <c r="R11" s="1">
        <v>20</v>
      </c>
      <c r="S11" s="1">
        <v>20</v>
      </c>
      <c r="T11" s="1">
        <f t="shared" si="1"/>
        <v>3.7037037037037037</v>
      </c>
      <c r="U11" s="1">
        <f t="shared" si="2"/>
        <v>0.56863623584101264</v>
      </c>
      <c r="V11" s="1">
        <f t="shared" si="3"/>
        <v>50.525378759331851</v>
      </c>
      <c r="AD11" s="1" t="s">
        <v>38</v>
      </c>
      <c r="AL11" s="1">
        <f>283.03/50</f>
        <v>5.6605999999999996</v>
      </c>
      <c r="AM11" s="1">
        <f>319/50</f>
        <v>6.38</v>
      </c>
      <c r="AO11" s="1" t="s">
        <v>40</v>
      </c>
    </row>
    <row r="12" spans="1:41" x14ac:dyDescent="0.2">
      <c r="A12" s="1" t="s">
        <v>3</v>
      </c>
      <c r="C12" s="1">
        <f>C10/(2*PI()*C4)</f>
        <v>7.8314337076964377E-2</v>
      </c>
      <c r="D12" s="1" t="s">
        <v>5</v>
      </c>
      <c r="I12" s="1">
        <f>I10/(2*PI()*I4)</f>
        <v>2.6525823848649221E-2</v>
      </c>
      <c r="J12" s="1" t="s">
        <v>5</v>
      </c>
      <c r="O12" s="1">
        <v>20</v>
      </c>
      <c r="P12" s="1">
        <f t="shared" si="6"/>
        <v>60</v>
      </c>
      <c r="Q12" s="1">
        <f t="shared" si="0"/>
        <v>17</v>
      </c>
      <c r="R12" s="1">
        <v>18</v>
      </c>
      <c r="S12" s="1">
        <v>16</v>
      </c>
      <c r="T12" s="1">
        <f t="shared" si="1"/>
        <v>5.3571428571428568</v>
      </c>
      <c r="U12" s="1">
        <f t="shared" si="2"/>
        <v>0.72893322771346203</v>
      </c>
      <c r="V12" s="1">
        <f t="shared" si="3"/>
        <v>42.946571945432076</v>
      </c>
      <c r="AD12" s="1" t="s">
        <v>39</v>
      </c>
    </row>
    <row r="13" spans="1:41" x14ac:dyDescent="0.2">
      <c r="C13" s="1">
        <f>C12*1000</f>
        <v>78.314337076964378</v>
      </c>
      <c r="D13" s="1" t="s">
        <v>4</v>
      </c>
      <c r="I13" s="1">
        <f>I12*1000</f>
        <v>26.525823848649221</v>
      </c>
      <c r="J13" s="1" t="s">
        <v>4</v>
      </c>
      <c r="O13" s="1">
        <v>20</v>
      </c>
      <c r="P13" s="1">
        <f t="shared" si="6"/>
        <v>80</v>
      </c>
      <c r="Q13" s="1">
        <f t="shared" si="0"/>
        <v>15</v>
      </c>
      <c r="R13" s="1">
        <v>15</v>
      </c>
      <c r="S13" s="1">
        <v>15</v>
      </c>
      <c r="T13" s="1">
        <f t="shared" si="1"/>
        <v>6.8965517241379306</v>
      </c>
      <c r="U13" s="1">
        <f t="shared" si="2"/>
        <v>0.83863199776502506</v>
      </c>
      <c r="V13" s="1">
        <f t="shared" si="3"/>
        <v>37.894034069498886</v>
      </c>
    </row>
    <row r="14" spans="1:41" x14ac:dyDescent="0.2">
      <c r="O14" s="1">
        <v>20</v>
      </c>
      <c r="P14" s="1">
        <f t="shared" si="6"/>
        <v>100</v>
      </c>
      <c r="Q14" s="1">
        <f t="shared" si="0"/>
        <v>13</v>
      </c>
      <c r="R14" s="1">
        <v>13</v>
      </c>
      <c r="S14" s="1">
        <v>13</v>
      </c>
      <c r="T14" s="1">
        <f t="shared" si="1"/>
        <v>8.3333333333333339</v>
      </c>
      <c r="U14" s="1">
        <f t="shared" si="2"/>
        <v>0.92081875395237522</v>
      </c>
      <c r="V14" s="1">
        <f t="shared" si="3"/>
        <v>32.841496193565703</v>
      </c>
      <c r="AM14" s="1" t="s">
        <v>43</v>
      </c>
    </row>
    <row r="15" spans="1:41" x14ac:dyDescent="0.2">
      <c r="A15" s="1" t="s">
        <v>6</v>
      </c>
      <c r="C15" s="1">
        <v>1</v>
      </c>
      <c r="D15" s="1" t="s">
        <v>2</v>
      </c>
      <c r="I15" s="1">
        <v>1</v>
      </c>
      <c r="J15" s="1" t="s">
        <v>2</v>
      </c>
      <c r="O15" s="1">
        <v>20</v>
      </c>
      <c r="P15" s="1">
        <f t="shared" si="6"/>
        <v>120</v>
      </c>
      <c r="Q15" s="1">
        <f t="shared" si="0"/>
        <v>15.25</v>
      </c>
      <c r="R15" s="1">
        <v>15</v>
      </c>
      <c r="S15" s="1">
        <v>15.5</v>
      </c>
      <c r="T15" s="1">
        <f t="shared" si="1"/>
        <v>9.67741935483871</v>
      </c>
      <c r="U15" s="1">
        <f t="shared" si="2"/>
        <v>0.98575956088538974</v>
      </c>
      <c r="V15" s="1">
        <f t="shared" si="3"/>
        <v>38.525601303990534</v>
      </c>
      <c r="AH15" s="1" t="s">
        <v>41</v>
      </c>
      <c r="AM15" s="1">
        <v>15.936999999999999</v>
      </c>
    </row>
    <row r="16" spans="1:41" x14ac:dyDescent="0.2">
      <c r="A16" s="1" t="s">
        <v>7</v>
      </c>
      <c r="C16" s="1">
        <f>C17</f>
        <v>0.05</v>
      </c>
      <c r="D16" s="1" t="str">
        <f>D17</f>
        <v>mm</v>
      </c>
      <c r="I16" s="1">
        <f>I17</f>
        <v>0.05</v>
      </c>
      <c r="J16" s="1" t="str">
        <f>J17</f>
        <v>mm</v>
      </c>
      <c r="O16" s="1">
        <v>50</v>
      </c>
      <c r="P16" s="1">
        <f t="shared" si="6"/>
        <v>170</v>
      </c>
      <c r="Q16" s="1">
        <f t="shared" si="0"/>
        <v>16.75</v>
      </c>
      <c r="R16" s="1">
        <v>17</v>
      </c>
      <c r="S16" s="1">
        <v>16.5</v>
      </c>
      <c r="T16" s="1">
        <f t="shared" si="1"/>
        <v>12.686567164179104</v>
      </c>
      <c r="U16" s="1">
        <f t="shared" si="2"/>
        <v>1.1033441230134662</v>
      </c>
      <c r="V16" s="1">
        <f t="shared" si="3"/>
        <v>42.315004710940428</v>
      </c>
      <c r="AH16" s="1">
        <v>14.845000000000001</v>
      </c>
    </row>
    <row r="17" spans="1:39" x14ac:dyDescent="0.2">
      <c r="A17" s="1" t="s">
        <v>12</v>
      </c>
      <c r="C17" s="1">
        <v>0.05</v>
      </c>
      <c r="D17" s="1" t="s">
        <v>1</v>
      </c>
      <c r="I17" s="1">
        <v>0.05</v>
      </c>
      <c r="J17" s="1" t="s">
        <v>1</v>
      </c>
      <c r="O17" s="1">
        <v>50</v>
      </c>
      <c r="P17" s="1">
        <f t="shared" si="6"/>
        <v>220</v>
      </c>
      <c r="Q17" s="1">
        <f t="shared" si="0"/>
        <v>17.5</v>
      </c>
      <c r="R17" s="1">
        <v>17.5</v>
      </c>
      <c r="S17" s="1">
        <v>17.5</v>
      </c>
      <c r="T17" s="1">
        <f t="shared" si="1"/>
        <v>15.277777777777779</v>
      </c>
      <c r="U17" s="1">
        <f t="shared" si="2"/>
        <v>1.1840601887269566</v>
      </c>
      <c r="V17" s="1">
        <f t="shared" si="3"/>
        <v>44.209706414415372</v>
      </c>
    </row>
    <row r="19" spans="1:39" x14ac:dyDescent="0.2">
      <c r="A19" s="1" t="s">
        <v>13</v>
      </c>
      <c r="C19" s="1">
        <f>ABS(1/(2*PI()*C4))*C15+ABS(C10/(2*PI()*C4^2))*C16</f>
        <v>2.5884231737419612E-3</v>
      </c>
      <c r="D19" s="1" t="s">
        <v>5</v>
      </c>
      <c r="I19" s="1">
        <f>ABS(1/(2*PI()*I4))*I15+ABS(I10/(2*PI()*I4^2))*I16</f>
        <v>2.5473211791163142E-3</v>
      </c>
      <c r="J19" s="1" t="s">
        <v>5</v>
      </c>
    </row>
    <row r="20" spans="1:39" x14ac:dyDescent="0.2">
      <c r="C20" s="1">
        <f>C19*1000</f>
        <v>2.5884231737419614</v>
      </c>
      <c r="D20" s="1" t="s">
        <v>4</v>
      </c>
      <c r="I20" s="1">
        <f>I19*1000</f>
        <v>2.5473211791163144</v>
      </c>
      <c r="J20" s="1" t="s">
        <v>4</v>
      </c>
      <c r="O20" s="1" t="s">
        <v>29</v>
      </c>
      <c r="P20" s="1">
        <f>U14</f>
        <v>0.92081875395237522</v>
      </c>
    </row>
    <row r="21" spans="1:39" x14ac:dyDescent="0.2">
      <c r="O21" s="1" t="s">
        <v>28</v>
      </c>
      <c r="P21" s="1">
        <f>T14</f>
        <v>8.3333333333333339</v>
      </c>
      <c r="Q21" s="1" t="s">
        <v>24</v>
      </c>
    </row>
    <row r="28" spans="1:39" x14ac:dyDescent="0.2">
      <c r="AH28" s="1" t="s">
        <v>42</v>
      </c>
      <c r="AM28" s="1" t="s">
        <v>44</v>
      </c>
    </row>
    <row r="29" spans="1:39" x14ac:dyDescent="0.2">
      <c r="AH29" s="1">
        <v>10.845000000000001</v>
      </c>
      <c r="AM29" s="1">
        <v>10.234</v>
      </c>
    </row>
    <row r="43" spans="30:36" x14ac:dyDescent="0.2">
      <c r="AD43" s="1" t="s">
        <v>0</v>
      </c>
      <c r="AF43" s="1" t="s">
        <v>46</v>
      </c>
      <c r="AH43" s="1" t="s">
        <v>47</v>
      </c>
    </row>
    <row r="44" spans="30:36" x14ac:dyDescent="0.2">
      <c r="AD44" s="1">
        <v>9.81</v>
      </c>
      <c r="AE44" s="1" t="s">
        <v>45</v>
      </c>
      <c r="AF44" s="1">
        <v>0.997</v>
      </c>
      <c r="AG44" s="1" t="s">
        <v>48</v>
      </c>
      <c r="AH44" s="1">
        <f>1/2*AH16*$AF$44*$AD$44</f>
        <v>72.596280825000008</v>
      </c>
      <c r="AI44" s="1" t="s">
        <v>4</v>
      </c>
      <c r="AJ44" s="1" t="s">
        <v>49</v>
      </c>
    </row>
    <row r="45" spans="30:36" x14ac:dyDescent="0.2">
      <c r="AH45" s="1">
        <f>1/2*AH29*$AF$44*$AD$44</f>
        <v>53.035140825000006</v>
      </c>
      <c r="AI45" s="1" t="s">
        <v>4</v>
      </c>
      <c r="AJ45" s="1" t="s">
        <v>50</v>
      </c>
    </row>
    <row r="46" spans="30:36" x14ac:dyDescent="0.2">
      <c r="AH46" s="1">
        <f>1/2*AM15*$AF$44*$AD$44</f>
        <v>77.936472045000002</v>
      </c>
      <c r="AI46" s="1" t="s">
        <v>4</v>
      </c>
      <c r="AJ46" s="1" t="s">
        <v>51</v>
      </c>
    </row>
    <row r="47" spans="30:36" x14ac:dyDescent="0.2">
      <c r="AH47" s="1">
        <f>1/2*AM29*$AF$44*$AD$44</f>
        <v>50.047176690000001</v>
      </c>
      <c r="AI47" s="1" t="s">
        <v>4</v>
      </c>
      <c r="AJ47" s="1" t="s">
        <v>52</v>
      </c>
    </row>
  </sheetData>
  <mergeCells count="3">
    <mergeCell ref="I3:M3"/>
    <mergeCell ref="C3:G3"/>
    <mergeCell ref="O3:AB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wieland</dc:creator>
  <cp:lastModifiedBy>moritz wieland</cp:lastModifiedBy>
  <dcterms:created xsi:type="dcterms:W3CDTF">2024-01-11T12:07:30Z</dcterms:created>
  <dcterms:modified xsi:type="dcterms:W3CDTF">2024-01-11T21:17:39Z</dcterms:modified>
</cp:coreProperties>
</file>