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templates/"/>
    </mc:Choice>
  </mc:AlternateContent>
  <xr:revisionPtr revIDLastSave="0" documentId="13_ncr:1_{05BC5C4D-C42A-434A-9C4F-CB698D414AC6}" xr6:coauthVersionLast="43" xr6:coauthVersionMax="43" xr10:uidLastSave="{00000000-0000-0000-0000-000000000000}"/>
  <bookViews>
    <workbookView xWindow="2840" yWindow="460" windowWidth="36400" windowHeight="26720" tabRatio="716" activeTab="8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&amp;T" sheetId="36" r:id="rId8"/>
    <sheet name="Scorecard" sheetId="35" r:id="rId9"/>
  </sheets>
  <externalReferences>
    <externalReference r:id="rId10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2" l="1"/>
  <c r="E25" i="22"/>
  <c r="K21" i="22" l="1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G10" i="19"/>
  <c r="H8" i="19"/>
  <c r="G8" i="19"/>
  <c r="H7" i="19"/>
  <c r="G7" i="19"/>
  <c r="H6" i="19"/>
  <c r="G6" i="19"/>
  <c r="J4" i="22"/>
  <c r="J30" i="22" s="1"/>
  <c r="J5" i="22"/>
  <c r="J26" i="22" s="1"/>
  <c r="J6" i="22"/>
  <c r="J25" i="22" s="1"/>
  <c r="J7" i="22"/>
  <c r="J27" i="22" s="1"/>
  <c r="J8" i="22"/>
  <c r="J9" i="22"/>
  <c r="J10" i="22"/>
  <c r="J21" i="22"/>
  <c r="J20" i="22"/>
  <c r="J19" i="22"/>
  <c r="J35" i="22" s="1"/>
  <c r="J18" i="22"/>
  <c r="J17" i="22"/>
  <c r="J16" i="22"/>
  <c r="J34" i="22" s="1"/>
  <c r="J15" i="22"/>
  <c r="J14" i="22"/>
  <c r="J13" i="22"/>
  <c r="J33" i="22" s="1"/>
  <c r="J12" i="22"/>
  <c r="J11" i="22"/>
  <c r="J32" i="22" s="1"/>
  <c r="H11" i="19"/>
  <c r="G11" i="19"/>
  <c r="G14" i="19"/>
  <c r="H14" i="19"/>
  <c r="J22" i="22" l="1"/>
  <c r="J31" i="22"/>
  <c r="J36" i="22" s="1"/>
  <c r="K35" i="22"/>
  <c r="L35" i="22" s="1"/>
  <c r="K34" i="22"/>
  <c r="L34" i="22" s="1"/>
  <c r="K33" i="22"/>
  <c r="L33" i="22" s="1"/>
  <c r="K32" i="22"/>
  <c r="L32" i="22" s="1"/>
  <c r="K25" i="22"/>
  <c r="K26" i="22"/>
  <c r="L26" i="22" s="1"/>
  <c r="K31" i="22"/>
  <c r="K30" i="22"/>
  <c r="K27" i="22"/>
  <c r="L27" i="22" s="1"/>
  <c r="K22" i="22"/>
  <c r="K35" i="21"/>
  <c r="K34" i="21"/>
  <c r="K33" i="21"/>
  <c r="K32" i="21"/>
  <c r="K31" i="21"/>
  <c r="K30" i="21"/>
  <c r="K22" i="21"/>
  <c r="J28" i="22"/>
  <c r="K25" i="21"/>
  <c r="K26" i="21"/>
  <c r="O21" i="22"/>
  <c r="O20" i="22"/>
  <c r="O19" i="22"/>
  <c r="E21" i="22"/>
  <c r="E20" i="22"/>
  <c r="K36" i="21" l="1"/>
  <c r="L31" i="22"/>
  <c r="K36" i="22"/>
  <c r="L36" i="22" s="1"/>
  <c r="L30" i="22"/>
  <c r="L25" i="22"/>
  <c r="K28" i="22"/>
  <c r="L28" i="22" s="1"/>
  <c r="O35" i="22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3" i="36"/>
  <c r="B4" i="36"/>
  <c r="B5" i="36"/>
  <c r="B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" i="36"/>
  <c r="J21" i="21"/>
  <c r="J20" i="21"/>
  <c r="J19" i="21"/>
  <c r="C25" i="36" l="1"/>
  <c r="B25" i="36"/>
  <c r="J35" i="21"/>
  <c r="J10" i="20"/>
  <c r="J9" i="20"/>
  <c r="J8" i="20"/>
  <c r="J7" i="20"/>
  <c r="J6" i="20"/>
  <c r="J5" i="20"/>
  <c r="I10" i="20"/>
  <c r="I9" i="20"/>
  <c r="I8" i="20"/>
  <c r="I7" i="20"/>
  <c r="I6" i="20"/>
  <c r="I5" i="20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D21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O21" i="21"/>
  <c r="O20" i="21"/>
  <c r="O19" i="21"/>
  <c r="O35" i="21" s="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J18" i="21"/>
  <c r="J17" i="21"/>
  <c r="J16" i="21"/>
  <c r="J15" i="21"/>
  <c r="J14" i="21"/>
  <c r="J13" i="21"/>
  <c r="J12" i="21"/>
  <c r="J11" i="21"/>
  <c r="J10" i="21"/>
  <c r="J32" i="21" s="1"/>
  <c r="J9" i="21"/>
  <c r="J8" i="21"/>
  <c r="J7" i="21"/>
  <c r="J6" i="21"/>
  <c r="J5" i="21"/>
  <c r="J4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D44" i="20"/>
  <c r="D43" i="20"/>
  <c r="D42" i="20"/>
  <c r="D41" i="20"/>
  <c r="D40" i="20"/>
  <c r="D39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D21" i="20"/>
  <c r="D20" i="20"/>
  <c r="D19" i="20"/>
  <c r="D18" i="20"/>
  <c r="D17" i="20"/>
  <c r="D16" i="20"/>
  <c r="C44" i="20"/>
  <c r="C43" i="20"/>
  <c r="C42" i="20"/>
  <c r="C41" i="20"/>
  <c r="C40" i="20"/>
  <c r="C39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C21" i="20"/>
  <c r="C20" i="20"/>
  <c r="C19" i="20"/>
  <c r="C18" i="20"/>
  <c r="C17" i="20"/>
  <c r="C16" i="20"/>
  <c r="D37" i="20"/>
  <c r="C37" i="20"/>
  <c r="J26" i="20"/>
  <c r="C26" i="20"/>
  <c r="D14" i="20"/>
  <c r="C14" i="20"/>
  <c r="G3" i="20"/>
  <c r="D10" i="20"/>
  <c r="C10" i="20"/>
  <c r="D9" i="20"/>
  <c r="C9" i="20"/>
  <c r="D8" i="20"/>
  <c r="C8" i="20"/>
  <c r="D7" i="20"/>
  <c r="C7" i="20"/>
  <c r="D6" i="20"/>
  <c r="C6" i="20"/>
  <c r="D5" i="20"/>
  <c r="C5" i="20"/>
  <c r="C3" i="20"/>
  <c r="G20" i="31"/>
  <c r="D20" i="31"/>
  <c r="C20" i="31"/>
  <c r="B20" i="31"/>
  <c r="E20" i="31" s="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E15" i="31" s="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D4" i="31"/>
  <c r="C4" i="31"/>
  <c r="B4" i="31"/>
  <c r="A4" i="31"/>
  <c r="G3" i="31"/>
  <c r="D3" i="31"/>
  <c r="C3" i="31"/>
  <c r="B3" i="31"/>
  <c r="A3" i="31"/>
  <c r="G2" i="31"/>
  <c r="D2" i="31"/>
  <c r="C2" i="31"/>
  <c r="B2" i="31"/>
  <c r="A2" i="31"/>
  <c r="G20" i="27"/>
  <c r="D20" i="27"/>
  <c r="C20" i="27"/>
  <c r="B20" i="27"/>
  <c r="A20" i="27"/>
  <c r="G19" i="27"/>
  <c r="D19" i="27"/>
  <c r="C19" i="27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A16" i="27"/>
  <c r="G15" i="27"/>
  <c r="D15" i="27"/>
  <c r="C15" i="27"/>
  <c r="B15" i="27"/>
  <c r="A15" i="27"/>
  <c r="G14" i="27"/>
  <c r="D14" i="27"/>
  <c r="C14" i="27"/>
  <c r="B14" i="27"/>
  <c r="A14" i="27"/>
  <c r="G13" i="27"/>
  <c r="D13" i="27"/>
  <c r="C13" i="27"/>
  <c r="B13" i="27"/>
  <c r="A13" i="27"/>
  <c r="G12" i="27"/>
  <c r="D12" i="27"/>
  <c r="C12" i="27"/>
  <c r="B12" i="27"/>
  <c r="A12" i="27"/>
  <c r="G11" i="27"/>
  <c r="D11" i="27"/>
  <c r="C11" i="27"/>
  <c r="B11" i="27"/>
  <c r="E11" i="27" s="1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A5" i="27"/>
  <c r="G4" i="27"/>
  <c r="D4" i="27"/>
  <c r="C4" i="27"/>
  <c r="B4" i="27"/>
  <c r="A4" i="27"/>
  <c r="G3" i="27"/>
  <c r="D3" i="27"/>
  <c r="C3" i="27"/>
  <c r="B3" i="27"/>
  <c r="E3" i="27" s="1"/>
  <c r="A3" i="27"/>
  <c r="G2" i="27"/>
  <c r="D2" i="27"/>
  <c r="C2" i="27"/>
  <c r="B2" i="27"/>
  <c r="A2" i="27"/>
  <c r="H28" i="19"/>
  <c r="G28" i="19"/>
  <c r="H27" i="19"/>
  <c r="G27" i="19"/>
  <c r="H26" i="19"/>
  <c r="G26" i="19"/>
  <c r="H25" i="19"/>
  <c r="G25" i="19"/>
  <c r="H24" i="19"/>
  <c r="G24" i="19"/>
  <c r="H15" i="19"/>
  <c r="G15" i="19"/>
  <c r="D14" i="19"/>
  <c r="C14" i="19"/>
  <c r="H13" i="19"/>
  <c r="G13" i="19"/>
  <c r="D13" i="19"/>
  <c r="C13" i="19"/>
  <c r="H12" i="19"/>
  <c r="G12" i="19"/>
  <c r="D11" i="19"/>
  <c r="C11" i="19"/>
  <c r="H10" i="19"/>
  <c r="H9" i="19"/>
  <c r="G9" i="19"/>
  <c r="H5" i="19"/>
  <c r="G5" i="19"/>
  <c r="D5" i="19"/>
  <c r="C5" i="19"/>
  <c r="H4" i="19"/>
  <c r="G4" i="19"/>
  <c r="D4" i="19"/>
  <c r="C4" i="19"/>
  <c r="H3" i="19"/>
  <c r="G3" i="19"/>
  <c r="D3" i="19"/>
  <c r="C3" i="19"/>
  <c r="D34" i="21" l="1"/>
  <c r="E6" i="27"/>
  <c r="E14" i="27"/>
  <c r="E11" i="31"/>
  <c r="D33" i="21"/>
  <c r="O22" i="21"/>
  <c r="J22" i="21"/>
  <c r="E2" i="27"/>
  <c r="E10" i="27"/>
  <c r="E16" i="31"/>
  <c r="O32" i="21"/>
  <c r="J26" i="21"/>
  <c r="E18" i="27"/>
  <c r="J25" i="21"/>
  <c r="O33" i="21"/>
  <c r="J31" i="21"/>
  <c r="K27" i="21"/>
  <c r="O22" i="22"/>
  <c r="E19" i="27"/>
  <c r="E3" i="31"/>
  <c r="E19" i="31"/>
  <c r="D26" i="21"/>
  <c r="O30" i="21"/>
  <c r="O27" i="21"/>
  <c r="O26" i="21"/>
  <c r="E9" i="31"/>
  <c r="E5" i="31"/>
  <c r="D25" i="21"/>
  <c r="D32" i="21"/>
  <c r="J30" i="21"/>
  <c r="J34" i="21"/>
  <c r="O25" i="21"/>
  <c r="E7" i="27"/>
  <c r="E2" i="31"/>
  <c r="E7" i="31"/>
  <c r="O31" i="21"/>
  <c r="J27" i="21"/>
  <c r="D27" i="21"/>
  <c r="D30" i="21"/>
  <c r="E6" i="31"/>
  <c r="E15" i="27"/>
  <c r="E4" i="31"/>
  <c r="D31" i="21"/>
  <c r="D35" i="21"/>
  <c r="J33" i="21"/>
  <c r="O34" i="21"/>
  <c r="E16" i="27"/>
  <c r="E17" i="27"/>
  <c r="E20" i="27"/>
  <c r="E9" i="27"/>
  <c r="E12" i="27"/>
  <c r="E10" i="31"/>
  <c r="E13" i="31"/>
  <c r="E5" i="27"/>
  <c r="E8" i="27"/>
  <c r="E12" i="31"/>
  <c r="E18" i="31"/>
  <c r="E13" i="27"/>
  <c r="E4" i="27"/>
  <c r="E8" i="31"/>
  <c r="E14" i="31"/>
  <c r="E17" i="31"/>
  <c r="J36" i="21" l="1"/>
  <c r="O28" i="21"/>
  <c r="L35" i="21"/>
  <c r="L34" i="21"/>
  <c r="F21" i="21"/>
  <c r="F20" i="21"/>
  <c r="F19" i="21"/>
  <c r="E35" i="21" s="1"/>
  <c r="L25" i="21" l="1"/>
  <c r="L27" i="21"/>
  <c r="L33" i="21"/>
  <c r="L31" i="21"/>
  <c r="L26" i="21"/>
  <c r="F35" i="21"/>
  <c r="L32" i="21"/>
  <c r="D35" i="22"/>
  <c r="L30" i="21"/>
  <c r="K28" i="21"/>
  <c r="O36" i="21"/>
  <c r="P28" i="21"/>
  <c r="P30" i="21"/>
  <c r="J28" i="21"/>
  <c r="D36" i="21"/>
  <c r="D28" i="21"/>
  <c r="I12" i="20"/>
  <c r="O34" i="22"/>
  <c r="O33" i="22"/>
  <c r="O32" i="22"/>
  <c r="O26" i="22"/>
  <c r="O27" i="22"/>
  <c r="O25" i="22"/>
  <c r="O31" i="22"/>
  <c r="O30" i="22"/>
  <c r="F21" i="22"/>
  <c r="F20" i="22"/>
  <c r="E35" i="22" s="1"/>
  <c r="F19" i="22"/>
  <c r="G5" i="20"/>
  <c r="P36" i="21" l="1"/>
  <c r="P35" i="21"/>
  <c r="L36" i="21"/>
  <c r="L28" i="21"/>
  <c r="P31" i="21"/>
  <c r="P26" i="21"/>
  <c r="D30" i="22"/>
  <c r="D26" i="22"/>
  <c r="D25" i="22"/>
  <c r="D27" i="22"/>
  <c r="D32" i="22"/>
  <c r="P34" i="21"/>
  <c r="P33" i="21"/>
  <c r="P25" i="21"/>
  <c r="P32" i="21"/>
  <c r="P27" i="21"/>
  <c r="D33" i="22"/>
  <c r="F35" i="22"/>
  <c r="D31" i="22"/>
  <c r="D34" i="22"/>
  <c r="F7" i="21"/>
  <c r="F10" i="22"/>
  <c r="F18" i="22"/>
  <c r="F5" i="21"/>
  <c r="F13" i="21"/>
  <c r="E22" i="21"/>
  <c r="F15" i="22"/>
  <c r="F11" i="22"/>
  <c r="F8" i="22"/>
  <c r="F12" i="22"/>
  <c r="F16" i="22"/>
  <c r="F14" i="22"/>
  <c r="F5" i="22"/>
  <c r="F13" i="22"/>
  <c r="F17" i="22"/>
  <c r="F9" i="22"/>
  <c r="F7" i="22"/>
  <c r="F6" i="22"/>
  <c r="D22" i="22"/>
  <c r="E22" i="22"/>
  <c r="F4" i="22"/>
  <c r="F11" i="21"/>
  <c r="F8" i="21"/>
  <c r="F4" i="21"/>
  <c r="F12" i="21"/>
  <c r="F9" i="21"/>
  <c r="F17" i="21"/>
  <c r="F10" i="21"/>
  <c r="F18" i="21"/>
  <c r="F6" i="21"/>
  <c r="F14" i="21"/>
  <c r="D22" i="21"/>
  <c r="F16" i="21"/>
  <c r="F15" i="21"/>
  <c r="E32" i="21" l="1"/>
  <c r="F27" i="22"/>
  <c r="E31" i="21"/>
  <c r="E27" i="21"/>
  <c r="F27" i="21" s="1"/>
  <c r="E30" i="21"/>
  <c r="E26" i="21"/>
  <c r="F26" i="21" s="1"/>
  <c r="E34" i="21"/>
  <c r="E33" i="21"/>
  <c r="F33" i="21" s="1"/>
  <c r="E25" i="21"/>
  <c r="E31" i="22"/>
  <c r="F31" i="22" s="1"/>
  <c r="E33" i="22"/>
  <c r="F33" i="22" s="1"/>
  <c r="E26" i="22"/>
  <c r="F26" i="22" s="1"/>
  <c r="F32" i="21"/>
  <c r="E34" i="22"/>
  <c r="F34" i="22" s="1"/>
  <c r="F31" i="21"/>
  <c r="F30" i="21"/>
  <c r="E32" i="22"/>
  <c r="F32" i="22" s="1"/>
  <c r="E30" i="22"/>
  <c r="O28" i="22"/>
  <c r="F22" i="22"/>
  <c r="P30" i="22"/>
  <c r="O36" i="22"/>
  <c r="D36" i="22"/>
  <c r="D28" i="22"/>
  <c r="F22" i="21"/>
  <c r="P34" i="22" l="1"/>
  <c r="P35" i="22"/>
  <c r="P28" i="22"/>
  <c r="P25" i="22"/>
  <c r="P26" i="22"/>
  <c r="P27" i="22"/>
  <c r="F25" i="21"/>
  <c r="E28" i="21"/>
  <c r="F28" i="21" s="1"/>
  <c r="F34" i="21"/>
  <c r="E36" i="21"/>
  <c r="F36" i="21" s="1"/>
  <c r="P36" i="22"/>
  <c r="P31" i="22"/>
  <c r="P32" i="22"/>
  <c r="P33" i="22"/>
  <c r="F30" i="22"/>
  <c r="E36" i="22"/>
  <c r="F36" i="22" s="1"/>
  <c r="F25" i="22"/>
  <c r="E28" i="22"/>
  <c r="F28" i="22" s="1"/>
  <c r="C50" i="35" l="1"/>
  <c r="C42" i="35"/>
  <c r="B31" i="35" l="1"/>
  <c r="B33" i="35"/>
  <c r="M28" i="20" l="1"/>
  <c r="N32" i="20"/>
  <c r="N31" i="20"/>
  <c r="M32" i="20"/>
  <c r="M31" i="20"/>
  <c r="N33" i="20"/>
  <c r="N28" i="20"/>
  <c r="C37" i="35"/>
  <c r="E37" i="35"/>
  <c r="C29" i="35"/>
  <c r="E29" i="35"/>
  <c r="M33" i="20" l="1"/>
  <c r="N29" i="20"/>
  <c r="M29" i="20"/>
  <c r="N30" i="20"/>
  <c r="M30" i="20"/>
  <c r="G32" i="20"/>
  <c r="C22" i="20"/>
  <c r="D22" i="20"/>
  <c r="F33" i="20"/>
  <c r="F32" i="20"/>
  <c r="F31" i="20"/>
  <c r="F30" i="20"/>
  <c r="F29" i="20"/>
  <c r="F28" i="20"/>
  <c r="G33" i="20"/>
  <c r="G31" i="20"/>
  <c r="G30" i="20"/>
  <c r="G29" i="20"/>
  <c r="G28" i="20"/>
  <c r="D45" i="20"/>
  <c r="C45" i="20"/>
  <c r="N34" i="20" l="1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J34" i="20"/>
  <c r="K34" i="20"/>
  <c r="M34" i="20"/>
  <c r="D34" i="20"/>
  <c r="C34" i="20"/>
  <c r="C12" i="19"/>
  <c r="D17" i="19" s="1"/>
  <c r="D12" i="19"/>
  <c r="C17" i="19" s="1"/>
  <c r="H19" i="19"/>
  <c r="H18" i="19"/>
  <c r="G19" i="19"/>
  <c r="G18" i="19"/>
  <c r="H16" i="19"/>
  <c r="H20" i="19" s="1"/>
  <c r="G16" i="19"/>
  <c r="G10" i="20"/>
  <c r="H10" i="20"/>
  <c r="G21" i="20" s="1"/>
  <c r="F10" i="20"/>
  <c r="E10" i="20"/>
  <c r="F21" i="20" s="1"/>
  <c r="G9" i="20"/>
  <c r="H9" i="20"/>
  <c r="G20" i="20" s="1"/>
  <c r="F9" i="20"/>
  <c r="E9" i="20"/>
  <c r="F20" i="20" s="1"/>
  <c r="G8" i="20"/>
  <c r="H8" i="20"/>
  <c r="G19" i="20" s="1"/>
  <c r="F8" i="20"/>
  <c r="E8" i="20"/>
  <c r="F19" i="20" s="1"/>
  <c r="G7" i="20"/>
  <c r="H7" i="20"/>
  <c r="G18" i="20" s="1"/>
  <c r="F7" i="20"/>
  <c r="E7" i="20"/>
  <c r="F18" i="20" s="1"/>
  <c r="G6" i="20"/>
  <c r="H6" i="20"/>
  <c r="G17" i="20" s="1"/>
  <c r="F6" i="20"/>
  <c r="E6" i="20"/>
  <c r="F17" i="20" s="1"/>
  <c r="H5" i="20"/>
  <c r="G16" i="20" s="1"/>
  <c r="F5" i="20"/>
  <c r="E5" i="20"/>
  <c r="H17" i="19"/>
  <c r="G17" i="19"/>
  <c r="D7" i="19"/>
  <c r="C7" i="19"/>
  <c r="E31" i="35" s="1"/>
  <c r="D6" i="19"/>
  <c r="C6" i="19"/>
  <c r="C31" i="35" l="1"/>
  <c r="C44" i="35"/>
  <c r="F11" i="20"/>
  <c r="H11" i="20"/>
  <c r="G22" i="20" s="1"/>
  <c r="F16" i="20"/>
  <c r="E11" i="20"/>
  <c r="F22" i="20" s="1"/>
  <c r="G11" i="20"/>
  <c r="C15" i="19"/>
  <c r="E35" i="35" s="1"/>
  <c r="H21" i="19"/>
  <c r="C16" i="19"/>
  <c r="F34" i="20"/>
  <c r="G21" i="19"/>
  <c r="E33" i="35" s="1"/>
  <c r="G20" i="19"/>
  <c r="D15" i="19"/>
  <c r="D16" i="19"/>
  <c r="C33" i="35" l="1"/>
  <c r="C46" i="35"/>
  <c r="C35" i="35"/>
  <c r="C48" i="35"/>
</calcChain>
</file>

<file path=xl/sharedStrings.xml><?xml version="1.0" encoding="utf-8"?>
<sst xmlns="http://schemas.openxmlformats.org/spreadsheetml/2006/main" count="288" uniqueCount="82">
  <si>
    <t>Total</t>
  </si>
  <si>
    <t>Scores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</si>
  <si>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</si>
  <si>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</si>
  <si>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</si>
  <si>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</si>
  <si>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</si>
  <si>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</si>
  <si>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</si>
  <si>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</si>
  <si>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</si>
  <si>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</si>
  <si>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</si>
  <si>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</si>
  <si>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</si>
  <si>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</si>
  <si>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</si>
  <si>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</si>
  <si>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</si>
  <si>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</si>
  <si>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</si>
  <si>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</si>
  <si>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</si>
  <si>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</si>
  <si>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</si>
  <si>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</si>
  <si>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</si>
  <si>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</si>
  <si>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</si>
  <si>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</si>
  <si>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</si>
  <si>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</si>
  <si>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</si>
  <si>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</si>
  <si>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</si>
  <si>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</si>
  <si>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</si>
  <si>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</si>
  <si>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</si>
  <si>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</si>
  <si>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</si>
  <si>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</si>
  <si>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</si>
  <si>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</si>
  <si>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</si>
  <si>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</si>
  <si>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</si>
  <si>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</si>
  <si>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</si>
  <si>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</si>
  <si>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</si>
  <si>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</si>
  <si>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</si>
  <si>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</si>
  <si>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</si>
  <si>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</si>
  <si>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</si>
  <si>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</si>
  <si>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</si>
  <si>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UPDATE IF DATA IS AVAILABLE</t>
  </si>
  <si>
    <t>Conceded</t>
  </si>
  <si>
    <t>Sector</t>
  </si>
  <si>
    <t>Total Won</t>
  </si>
  <si>
    <t>Total Lost</t>
  </si>
  <si>
    <t>Own lost</t>
  </si>
  <si>
    <t>Scorecard</t>
  </si>
  <si>
    <t>Target</t>
  </si>
  <si>
    <t>possessions</t>
  </si>
  <si>
    <t>tackles</t>
  </si>
  <si>
    <t>4A</t>
  </si>
  <si>
    <t>5A</t>
  </si>
  <si>
    <t>6A</t>
  </si>
  <si>
    <t>4B</t>
  </si>
  <si>
    <t>4C</t>
  </si>
  <si>
    <t>5B</t>
  </si>
  <si>
    <t>5C</t>
  </si>
  <si>
    <t>6B</t>
  </si>
  <si>
    <t>6C</t>
  </si>
  <si>
    <t>c</t>
  </si>
  <si>
    <t>b</t>
  </si>
  <si>
    <t>a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</si>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</sst>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5" fillId="0" borderId="0" xfId="192"/>
    <xf numFmtId="0" fontId="6" fillId="0" borderId="0" xfId="192" applyFont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0" fillId="0" borderId="0" xfId="0" applyNumberFormat="1"/>
    <xf numFmtId="0" fontId="12" fillId="0" borderId="0" xfId="0" applyFont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008080"/>
      <color rgb="FF006201"/>
      <color rgb="FF64003D"/>
      <color rgb="FF3F5968"/>
      <color rgb="FFE70922"/>
      <color rgb="FFABDAF3"/>
      <color rgb="FF91B9CD"/>
      <color rgb="FF192329"/>
      <color rgb="FF19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64003D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0.375</c:v>
                </c:pt>
                <c:pt idx="1">
                  <c:v>0.83333333333333337</c:v>
                </c:pt>
                <c:pt idx="2">
                  <c:v>0.75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E341-8435-B2207B23254C}"/>
            </c:ext>
          </c:extLst>
        </c:ser>
        <c:ser>
          <c:idx val="1"/>
          <c:order val="1"/>
          <c:tx>
            <c:v>%</c:v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0.8571428571428571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E341-8435-B2207B23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1C46-A918-4CF7B7C18028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C-1C46-A918-4CF7B7C1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Frees</a:t>
            </a:r>
            <a:r>
              <a:rPr lang="en-US" b="1" baseline="0">
                <a:solidFill>
                  <a:schemeClr val="tx1"/>
                </a:solidFill>
              </a:rPr>
              <a:t> (Round by Round)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D741-B2CA-2103CFE7E0DD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D741-B2CA-2103CFE7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small">
                <a:solidFill>
                  <a:schemeClr val="tx1"/>
                </a:solidFill>
                <a:effectLst/>
              </a:rPr>
              <a:t>Possessions</a:t>
            </a:r>
            <a:r>
              <a:rPr lang="en-US" sz="1800" b="1" i="0" cap="small" baseline="0">
                <a:solidFill>
                  <a:schemeClr val="tx1"/>
                </a:solidFill>
                <a:effectLst/>
              </a:rPr>
              <a:t> / Tackles</a:t>
            </a:r>
            <a:endParaRPr lang="en-IE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chemeClr val="tx1"/>
                </a:solidFill>
              </a:defRPr>
            </a:pP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'P&amp;T'!$B$1</c:f>
              <c:strCache>
                <c:ptCount val="1"/>
                <c:pt idx="0">
                  <c:v>possessions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'P&amp;T'!$B$2:$B$22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1C4B-97A1-197E37E215F0}"/>
            </c:ext>
          </c:extLst>
        </c:ser>
        <c:ser>
          <c:idx val="2"/>
          <c:order val="1"/>
          <c:tx>
            <c:strRef>
              <c:f>'P&amp;T'!$C$1</c:f>
              <c:strCache>
                <c:ptCount val="1"/>
                <c:pt idx="0">
                  <c:v>tackles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'P&amp;T'!$C$2:$C$22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8-1C4B-97A1-197E37E2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0872399"/>
        <c:axId val="2111193999"/>
      </c:barChart>
      <c:catAx>
        <c:axId val="21108723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3999"/>
        <c:crosses val="autoZero"/>
        <c:auto val="1"/>
        <c:lblAlgn val="ctr"/>
        <c:lblOffset val="100"/>
        <c:noMultiLvlLbl val="0"/>
      </c:catAx>
      <c:valAx>
        <c:axId val="21111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0.56521739130434778</c:v>
                </c:pt>
                <c:pt idx="1">
                  <c:v>0.4642857142857143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0.5357142857142857</c:v>
                </c:pt>
                <c:pt idx="1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0.7021276595744681</c:v>
                </c:pt>
                <c:pt idx="1">
                  <c:v>0.5757575757575758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64003D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TimeSectorANALYSIS!$C$26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F744-B76A-3F0DBC59EC20}"/>
            </c:ext>
          </c:extLst>
        </c:ser>
        <c:ser>
          <c:idx val="1"/>
          <c:order val="1"/>
          <c:tx>
            <c:strRef>
              <c:f>TimeSectorANALYSIS!$J$26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TimeSectorANALYSIS!$M$28:$M$33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F744-B76A-3F0DBC5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808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2-E54B-B78A-6A7AC10F4AE2}"/>
              </c:ext>
            </c:extLst>
          </c:dPt>
          <c:dPt>
            <c:idx val="1"/>
            <c:bubble3D val="0"/>
            <c:spPr>
              <a:solidFill>
                <a:srgbClr val="80000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2-E54B-B78A-6A7AC10F4A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E54B-B78A-6A7AC10F4A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008080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3D-0A47-9BE6-419224BA9A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B3D-0A47-9BE6-419224BA9A0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D-0A47-9BE6-419224BA9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0.7021276595744681</c:v>
                </c:pt>
                <c:pt idx="1">
                  <c:v>0.5757575757575758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D-0A47-9BE6-419224BA9A00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80000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D-0A47-9BE6-419224BA9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8D4D-A726-84DCEB635AFD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8D4D-A726-84DCEB63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chart" Target="../charts/chart10.xml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30</xdr:row>
      <xdr:rowOff>5552</xdr:rowOff>
    </xdr:from>
    <xdr:to>
      <xdr:col>3</xdr:col>
      <xdr:colOff>798629</xdr:colOff>
      <xdr:row>35</xdr:row>
      <xdr:rowOff>101328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4904123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30</xdr:row>
      <xdr:rowOff>5552</xdr:rowOff>
    </xdr:from>
    <xdr:to>
      <xdr:col>4</xdr:col>
      <xdr:colOff>413110</xdr:colOff>
      <xdr:row>35</xdr:row>
      <xdr:rowOff>101328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4904123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30</xdr:row>
      <xdr:rowOff>5552</xdr:rowOff>
    </xdr:from>
    <xdr:to>
      <xdr:col>5</xdr:col>
      <xdr:colOff>544284</xdr:colOff>
      <xdr:row>35</xdr:row>
      <xdr:rowOff>101328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4904123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22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22</xdr:row>
      <xdr:rowOff>151824</xdr:rowOff>
    </xdr:from>
    <xdr:to>
      <xdr:col>4</xdr:col>
      <xdr:colOff>8533</xdr:colOff>
      <xdr:row>28</xdr:row>
      <xdr:rowOff>94186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3744110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22</xdr:row>
      <xdr:rowOff>151824</xdr:rowOff>
    </xdr:from>
    <xdr:to>
      <xdr:col>4</xdr:col>
      <xdr:colOff>439526</xdr:colOff>
      <xdr:row>28</xdr:row>
      <xdr:rowOff>94186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3744110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22</xdr:row>
      <xdr:rowOff>151824</xdr:rowOff>
    </xdr:from>
    <xdr:to>
      <xdr:col>5</xdr:col>
      <xdr:colOff>503179</xdr:colOff>
      <xdr:row>28</xdr:row>
      <xdr:rowOff>94186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3744110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18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317481</xdr:colOff>
      <xdr:row>30</xdr:row>
      <xdr:rowOff>84067</xdr:rowOff>
    </xdr:from>
    <xdr:to>
      <xdr:col>3</xdr:col>
      <xdr:colOff>299802</xdr:colOff>
      <xdr:row>37</xdr:row>
      <xdr:rowOff>38347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152052" y="4982638"/>
          <a:ext cx="1651464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644513</xdr:colOff>
      <xdr:row>22</xdr:row>
      <xdr:rowOff>12496</xdr:rowOff>
    </xdr:from>
    <xdr:to>
      <xdr:col>3</xdr:col>
      <xdr:colOff>4687</xdr:colOff>
      <xdr:row>29</xdr:row>
      <xdr:rowOff>149656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479084" y="3604782"/>
          <a:ext cx="1029317" cy="12801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780222</xdr:colOff>
      <xdr:row>10</xdr:row>
      <xdr:rowOff>97979</xdr:rowOff>
    </xdr:from>
    <xdr:to>
      <xdr:col>13</xdr:col>
      <xdr:colOff>768610</xdr:colOff>
      <xdr:row>12</xdr:row>
      <xdr:rowOff>45727</xdr:rowOff>
    </xdr:to>
    <xdr:sp macro="" textlink="[1]Match!$C$1">
      <xdr:nvSpPr>
        <xdr:cNvPr id="17" name="Rectangle 16">
          <a:extLst>
            <a:ext uri="{FF2B5EF4-FFF2-40B4-BE49-F238E27FC236}">
              <a16:creationId xmlns:a16="http://schemas.microsoft.com/office/drawing/2014/main" id="{92B4DC7F-ACE3-734C-AEA8-35AACC060B74}"/>
            </a:ext>
          </a:extLst>
        </xdr:cNvPr>
        <xdr:cNvSpPr>
          <a:spLocks noChangeAspect="1"/>
        </xdr:cNvSpPr>
      </xdr:nvSpPr>
      <xdr:spPr>
        <a:xfrm>
          <a:off x="10795079" y="173083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07763B-6B89-334A-B011-532ED7AA0D6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10</xdr:row>
      <xdr:rowOff>97979</xdr:rowOff>
    </xdr:from>
    <xdr:to>
      <xdr:col>12</xdr:col>
      <xdr:colOff>706808</xdr:colOff>
      <xdr:row>12</xdr:row>
      <xdr:rowOff>45727</xdr:rowOff>
    </xdr:to>
    <xdr:sp macro="" textlink="[1]Match!$B$1">
      <xdr:nvSpPr>
        <xdr:cNvPr id="18" name="Rectangle 17">
          <a:extLst>
            <a:ext uri="{FF2B5EF4-FFF2-40B4-BE49-F238E27FC236}">
              <a16:creationId xmlns:a16="http://schemas.microsoft.com/office/drawing/2014/main" id="{6DBE6BE3-70CF-794D-834D-0A4C2496CB6D}"/>
            </a:ext>
          </a:extLst>
        </xdr:cNvPr>
        <xdr:cNvSpPr>
          <a:spLocks noChangeAspect="1"/>
        </xdr:cNvSpPr>
      </xdr:nvSpPr>
      <xdr:spPr>
        <a:xfrm>
          <a:off x="9898705" y="173083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6DB47FF-73F1-0140-9309-136979CF8EA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12</xdr:row>
      <xdr:rowOff>123378</xdr:rowOff>
    </xdr:from>
    <xdr:to>
      <xdr:col>13</xdr:col>
      <xdr:colOff>768610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D7FD9BD0-95C6-4D44-A3F7-8FC95A8E294D}"/>
            </a:ext>
          </a:extLst>
        </xdr:cNvPr>
        <xdr:cNvSpPr>
          <a:spLocks noChangeAspect="1"/>
        </xdr:cNvSpPr>
      </xdr:nvSpPr>
      <xdr:spPr>
        <a:xfrm>
          <a:off x="10795079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28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12</xdr:row>
      <xdr:rowOff>123378</xdr:rowOff>
    </xdr:from>
    <xdr:to>
      <xdr:col>12</xdr:col>
      <xdr:colOff>706808</xdr:colOff>
      <xdr:row>14</xdr:row>
      <xdr:rowOff>71127</xdr:rowOff>
    </xdr:to>
    <xdr:sp macro="" textlink="MatchANALYSIS!$C12">
      <xdr:nvSpPr>
        <xdr:cNvPr id="21" name="Rectangle 20">
          <a:extLst>
            <a:ext uri="{FF2B5EF4-FFF2-40B4-BE49-F238E27FC236}">
              <a16:creationId xmlns:a16="http://schemas.microsoft.com/office/drawing/2014/main" id="{AD4BA122-064D-2C4B-9CF3-86A9751F1C0E}"/>
            </a:ext>
          </a:extLst>
        </xdr:cNvPr>
        <xdr:cNvSpPr>
          <a:spLocks noChangeAspect="1"/>
        </xdr:cNvSpPr>
      </xdr:nvSpPr>
      <xdr:spPr>
        <a:xfrm>
          <a:off x="9898705" y="20828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23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14</xdr:row>
      <xdr:rowOff>148779</xdr:rowOff>
    </xdr:from>
    <xdr:to>
      <xdr:col>13</xdr:col>
      <xdr:colOff>768610</xdr:colOff>
      <xdr:row>16</xdr:row>
      <xdr:rowOff>96528</xdr:rowOff>
    </xdr:to>
    <xdr:sp macro="" textlink="MatchANALYSIS!$D13">
      <xdr:nvSpPr>
        <xdr:cNvPr id="22" name="Rectangle 21">
          <a:extLst>
            <a:ext uri="{FF2B5EF4-FFF2-40B4-BE49-F238E27FC236}">
              <a16:creationId xmlns:a16="http://schemas.microsoft.com/office/drawing/2014/main" id="{4AF518D9-550D-DF4D-94ED-A08D3B094041}"/>
            </a:ext>
          </a:extLst>
        </xdr:cNvPr>
        <xdr:cNvSpPr>
          <a:spLocks noChangeAspect="1"/>
        </xdr:cNvSpPr>
      </xdr:nvSpPr>
      <xdr:spPr>
        <a:xfrm>
          <a:off x="10795079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14</xdr:row>
      <xdr:rowOff>148779</xdr:rowOff>
    </xdr:from>
    <xdr:to>
      <xdr:col>12</xdr:col>
      <xdr:colOff>706808</xdr:colOff>
      <xdr:row>16</xdr:row>
      <xdr:rowOff>96528</xdr:rowOff>
    </xdr:to>
    <xdr:sp macro="" textlink="MatchANALYSIS!$C13">
      <xdr:nvSpPr>
        <xdr:cNvPr id="23" name="Rectangle 22">
          <a:extLst>
            <a:ext uri="{FF2B5EF4-FFF2-40B4-BE49-F238E27FC236}">
              <a16:creationId xmlns:a16="http://schemas.microsoft.com/office/drawing/2014/main" id="{B8EFF721-7024-0342-B0AE-1ECE1D2AF41B}"/>
            </a:ext>
          </a:extLst>
        </xdr:cNvPr>
        <xdr:cNvSpPr>
          <a:spLocks noChangeAspect="1"/>
        </xdr:cNvSpPr>
      </xdr:nvSpPr>
      <xdr:spPr>
        <a:xfrm>
          <a:off x="9898705" y="243477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17</xdr:row>
      <xdr:rowOff>9</xdr:rowOff>
    </xdr:from>
    <xdr:to>
      <xdr:col>13</xdr:col>
      <xdr:colOff>768610</xdr:colOff>
      <xdr:row>18</xdr:row>
      <xdr:rowOff>111043</xdr:rowOff>
    </xdr:to>
    <xdr:sp macro="" textlink="MatchANALYSIS!$D14">
      <xdr:nvSpPr>
        <xdr:cNvPr id="24" name="Rectangle 23">
          <a:extLst>
            <a:ext uri="{FF2B5EF4-FFF2-40B4-BE49-F238E27FC236}">
              <a16:creationId xmlns:a16="http://schemas.microsoft.com/office/drawing/2014/main" id="{4FA6B2C8-0AA2-B34B-B60E-3650DBB43F75}"/>
            </a:ext>
          </a:extLst>
        </xdr:cNvPr>
        <xdr:cNvSpPr>
          <a:spLocks noChangeAspect="1"/>
        </xdr:cNvSpPr>
      </xdr:nvSpPr>
      <xdr:spPr>
        <a:xfrm>
          <a:off x="10795079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17</xdr:row>
      <xdr:rowOff>9</xdr:rowOff>
    </xdr:from>
    <xdr:to>
      <xdr:col>12</xdr:col>
      <xdr:colOff>706808</xdr:colOff>
      <xdr:row>18</xdr:row>
      <xdr:rowOff>111043</xdr:rowOff>
    </xdr:to>
    <xdr:sp macro="" textlink="MatchANALYSIS!$C14">
      <xdr:nvSpPr>
        <xdr:cNvPr id="25" name="Rectangle 24">
          <a:extLst>
            <a:ext uri="{FF2B5EF4-FFF2-40B4-BE49-F238E27FC236}">
              <a16:creationId xmlns:a16="http://schemas.microsoft.com/office/drawing/2014/main" id="{22F0866D-4AFB-644E-A4A5-6C4519DA863F}"/>
            </a:ext>
          </a:extLst>
        </xdr:cNvPr>
        <xdr:cNvSpPr>
          <a:spLocks noChangeAspect="1"/>
        </xdr:cNvSpPr>
      </xdr:nvSpPr>
      <xdr:spPr>
        <a:xfrm>
          <a:off x="9898705" y="277586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19</xdr:row>
      <xdr:rowOff>18151</xdr:rowOff>
    </xdr:from>
    <xdr:to>
      <xdr:col>13</xdr:col>
      <xdr:colOff>768610</xdr:colOff>
      <xdr:row>20</xdr:row>
      <xdr:rowOff>129186</xdr:rowOff>
    </xdr:to>
    <xdr:sp macro="" textlink="MatchANALYSIS!$D15">
      <xdr:nvSpPr>
        <xdr:cNvPr id="26" name="Rectangle 25">
          <a:extLst>
            <a:ext uri="{FF2B5EF4-FFF2-40B4-BE49-F238E27FC236}">
              <a16:creationId xmlns:a16="http://schemas.microsoft.com/office/drawing/2014/main" id="{85DC46B7-9BC1-8B4C-A5FB-F406E3AF1517}"/>
            </a:ext>
          </a:extLst>
        </xdr:cNvPr>
        <xdr:cNvSpPr>
          <a:spLocks noChangeAspect="1"/>
        </xdr:cNvSpPr>
      </xdr:nvSpPr>
      <xdr:spPr>
        <a:xfrm>
          <a:off x="10795079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49%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19</xdr:row>
      <xdr:rowOff>18151</xdr:rowOff>
    </xdr:from>
    <xdr:to>
      <xdr:col>12</xdr:col>
      <xdr:colOff>706808</xdr:colOff>
      <xdr:row>20</xdr:row>
      <xdr:rowOff>129186</xdr:rowOff>
    </xdr:to>
    <xdr:sp macro="" textlink="MatchANALYSIS!$C15">
      <xdr:nvSpPr>
        <xdr:cNvPr id="27" name="Rectangle 26">
          <a:extLst>
            <a:ext uri="{FF2B5EF4-FFF2-40B4-BE49-F238E27FC236}">
              <a16:creationId xmlns:a16="http://schemas.microsoft.com/office/drawing/2014/main" id="{8B6E6245-D090-2243-B4AD-DC0FF500EB81}"/>
            </a:ext>
          </a:extLst>
        </xdr:cNvPr>
        <xdr:cNvSpPr>
          <a:spLocks noChangeAspect="1"/>
        </xdr:cNvSpPr>
      </xdr:nvSpPr>
      <xdr:spPr>
        <a:xfrm>
          <a:off x="9898705" y="312058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51%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8" name="Rectangle 27">
          <a:extLst>
            <a:ext uri="{FF2B5EF4-FFF2-40B4-BE49-F238E27FC236}">
              <a16:creationId xmlns:a16="http://schemas.microsoft.com/office/drawing/2014/main" id="{0E2F9DC1-2222-E345-90B6-B9B308FEC35D}"/>
            </a:ext>
          </a:extLst>
        </xdr:cNvPr>
        <xdr:cNvSpPr>
          <a:spLocks noChangeAspect="1"/>
        </xdr:cNvSpPr>
      </xdr:nvSpPr>
      <xdr:spPr>
        <a:xfrm>
          <a:off x="9016962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9" name="Rectangle 28">
          <a:extLst>
            <a:ext uri="{FF2B5EF4-FFF2-40B4-BE49-F238E27FC236}">
              <a16:creationId xmlns:a16="http://schemas.microsoft.com/office/drawing/2014/main" id="{D20B9DFD-90B6-5047-AAE7-8B0AAB32DFFE}"/>
            </a:ext>
          </a:extLst>
        </xdr:cNvPr>
        <xdr:cNvSpPr>
          <a:spLocks noChangeAspect="1"/>
        </xdr:cNvSpPr>
      </xdr:nvSpPr>
      <xdr:spPr>
        <a:xfrm>
          <a:off x="9016962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0" name="Rectangle 29">
          <a:extLst>
            <a:ext uri="{FF2B5EF4-FFF2-40B4-BE49-F238E27FC236}">
              <a16:creationId xmlns:a16="http://schemas.microsoft.com/office/drawing/2014/main" id="{5E71DEB2-8D2E-2944-8AFB-3C59F1FFD22D}"/>
            </a:ext>
          </a:extLst>
        </xdr:cNvPr>
        <xdr:cNvSpPr>
          <a:spLocks noChangeAspect="1"/>
        </xdr:cNvSpPr>
      </xdr:nvSpPr>
      <xdr:spPr>
        <a:xfrm>
          <a:off x="9016962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1" name="Rectangle 30">
          <a:extLst>
            <a:ext uri="{FF2B5EF4-FFF2-40B4-BE49-F238E27FC236}">
              <a16:creationId xmlns:a16="http://schemas.microsoft.com/office/drawing/2014/main" id="{0160CDD4-1498-EC4B-9900-D48340F5BA5C}"/>
            </a:ext>
          </a:extLst>
        </xdr:cNvPr>
        <xdr:cNvSpPr>
          <a:spLocks noChangeAspect="1"/>
        </xdr:cNvSpPr>
      </xdr:nvSpPr>
      <xdr:spPr>
        <a:xfrm>
          <a:off x="9016962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7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5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32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17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0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8EBFDEE-C607-B445-85FE-6FBEADA0E883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937E62-F93B-3649-8354-8F76DEF7613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14</xdr:col>
      <xdr:colOff>14517</xdr:colOff>
      <xdr:row>3</xdr:row>
      <xdr:rowOff>43543</xdr:rowOff>
    </xdr:from>
    <xdr:to>
      <xdr:col>20</xdr:col>
      <xdr:colOff>550830</xdr:colOff>
      <xdr:row>50</xdr:row>
      <xdr:rowOff>132807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416F240-BFCD-4E76-8D07-6E1EF8A5AEE3}"/>
            </a:ext>
          </a:extLst>
        </xdr:cNvPr>
        <xdr:cNvGrpSpPr/>
      </xdr:nvGrpSpPr>
      <xdr:grpSpPr>
        <a:xfrm>
          <a:off x="11749317" y="576943"/>
          <a:ext cx="5565513" cy="8445864"/>
          <a:chOff x="12460517" y="560614"/>
          <a:chExt cx="5870313" cy="8190050"/>
        </a:xfrm>
      </xdr:grpSpPr>
      <xdr:sp macro="" textlink="Location1ANALYSIS!F25">
        <xdr:nvSpPr>
          <xdr:cNvPr id="122" name="Rectangle 121">
            <a:extLst>
              <a:ext uri="{FF2B5EF4-FFF2-40B4-BE49-F238E27FC236}">
                <a16:creationId xmlns:a16="http://schemas.microsoft.com/office/drawing/2014/main" id="{D024B807-AE82-C841-B9A0-ED0A5E29B6C6}"/>
              </a:ext>
            </a:extLst>
          </xdr:cNvPr>
          <xdr:cNvSpPr>
            <a:spLocks noChangeAspect="1"/>
          </xdr:cNvSpPr>
        </xdr:nvSpPr>
        <xdr:spPr>
          <a:xfrm>
            <a:off x="12914086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3626E69-E22D-0341-95B3-E1A9F3D67FC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1ANALYSIS!F31">
        <xdr:nvSpPr>
          <xdr:cNvPr id="123" name="Rectangle 122">
            <a:extLst>
              <a:ext uri="{FF2B5EF4-FFF2-40B4-BE49-F238E27FC236}">
                <a16:creationId xmlns:a16="http://schemas.microsoft.com/office/drawing/2014/main" id="{B822244A-D45C-944C-8BB8-3684FF538751}"/>
              </a:ext>
            </a:extLst>
          </xdr:cNvPr>
          <xdr:cNvSpPr>
            <a:spLocks noChangeAspect="1"/>
          </xdr:cNvSpPr>
        </xdr:nvSpPr>
        <xdr:spPr>
          <a:xfrm>
            <a:off x="13955488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D047C4EA-1D48-6F40-893B-09566ADCE5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2">
        <xdr:nvSpPr>
          <xdr:cNvPr id="124" name="Rectangle 123">
            <a:extLst>
              <a:ext uri="{FF2B5EF4-FFF2-40B4-BE49-F238E27FC236}">
                <a16:creationId xmlns:a16="http://schemas.microsoft.com/office/drawing/2014/main" id="{2A8CB4D7-920A-D749-AB7A-733B00BEDE7C}"/>
              </a:ext>
            </a:extLst>
          </xdr:cNvPr>
          <xdr:cNvSpPr>
            <a:spLocks noChangeAspect="1"/>
          </xdr:cNvSpPr>
        </xdr:nvSpPr>
        <xdr:spPr>
          <a:xfrm>
            <a:off x="15269033" y="4323441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4037E7-3A33-DC46-9C17-9985F7330DF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25%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3">
        <xdr:nvSpPr>
          <xdr:cNvPr id="125" name="Rectangle 124">
            <a:extLst>
              <a:ext uri="{FF2B5EF4-FFF2-40B4-BE49-F238E27FC236}">
                <a16:creationId xmlns:a16="http://schemas.microsoft.com/office/drawing/2014/main" id="{188C3BD6-0A47-AC4F-AF6C-0E63C4E9FAE9}"/>
              </a:ext>
            </a:extLst>
          </xdr:cNvPr>
          <xdr:cNvSpPr>
            <a:spLocks noChangeAspect="1"/>
          </xdr:cNvSpPr>
        </xdr:nvSpPr>
        <xdr:spPr>
          <a:xfrm>
            <a:off x="16491863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417DE3B-AC10-A84A-8126-417A2B4696C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4">
        <xdr:nvSpPr>
          <xdr:cNvPr id="126" name="Rectangle 125">
            <a:extLst>
              <a:ext uri="{FF2B5EF4-FFF2-40B4-BE49-F238E27FC236}">
                <a16:creationId xmlns:a16="http://schemas.microsoft.com/office/drawing/2014/main" id="{597D8227-D659-6F4A-A383-1A34619EDD99}"/>
              </a:ext>
            </a:extLst>
          </xdr:cNvPr>
          <xdr:cNvSpPr>
            <a:spLocks noChangeAspect="1"/>
          </xdr:cNvSpPr>
        </xdr:nvSpPr>
        <xdr:spPr>
          <a:xfrm>
            <a:off x="17279262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04601E-E124-CD40-B9BD-A8F02C145DA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80%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25">
        <xdr:nvSpPr>
          <xdr:cNvPr id="92" name="Rectangle 91">
            <a:extLst>
              <a:ext uri="{FF2B5EF4-FFF2-40B4-BE49-F238E27FC236}">
                <a16:creationId xmlns:a16="http://schemas.microsoft.com/office/drawing/2014/main" id="{D76BC544-1255-F346-A3CE-B0A638BD48CB}"/>
              </a:ext>
            </a:extLst>
          </xdr:cNvPr>
          <xdr:cNvSpPr>
            <a:spLocks noChangeAspect="1"/>
          </xdr:cNvSpPr>
        </xdr:nvSpPr>
        <xdr:spPr>
          <a:xfrm>
            <a:off x="12895943" y="8467273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BDADE8B-4152-C24B-91A6-11B340F4FDC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2ANALYSIS!F31">
        <xdr:nvSpPr>
          <xdr:cNvPr id="93" name="Rectangle 92">
            <a:extLst>
              <a:ext uri="{FF2B5EF4-FFF2-40B4-BE49-F238E27FC236}">
                <a16:creationId xmlns:a16="http://schemas.microsoft.com/office/drawing/2014/main" id="{812AF9BA-5D8B-7B4E-BAB2-F147C962C9BA}"/>
              </a:ext>
            </a:extLst>
          </xdr:cNvPr>
          <xdr:cNvSpPr>
            <a:spLocks noChangeAspect="1"/>
          </xdr:cNvSpPr>
        </xdr:nvSpPr>
        <xdr:spPr>
          <a:xfrm>
            <a:off x="1391920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3662102-D7DA-5A44-A706-E9F49364D56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2">
        <xdr:nvSpPr>
          <xdr:cNvPr id="94" name="Rectangle 93">
            <a:extLst>
              <a:ext uri="{FF2B5EF4-FFF2-40B4-BE49-F238E27FC236}">
                <a16:creationId xmlns:a16="http://schemas.microsoft.com/office/drawing/2014/main" id="{72FA2937-FC10-8640-88E4-C8F11C8031C8}"/>
              </a:ext>
            </a:extLst>
          </xdr:cNvPr>
          <xdr:cNvSpPr>
            <a:spLocks noChangeAspect="1"/>
          </xdr:cNvSpPr>
        </xdr:nvSpPr>
        <xdr:spPr>
          <a:xfrm>
            <a:off x="15214604" y="8467273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F40B7B7-89C9-F343-BF88-16BCDE8AEEC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4">
        <xdr:nvSpPr>
          <xdr:cNvPr id="98" name="Rectangle 97">
            <a:extLst>
              <a:ext uri="{FF2B5EF4-FFF2-40B4-BE49-F238E27FC236}">
                <a16:creationId xmlns:a16="http://schemas.microsoft.com/office/drawing/2014/main" id="{5292FCC6-BCA3-1A48-A18F-C0AAA49D8C54}"/>
              </a:ext>
            </a:extLst>
          </xdr:cNvPr>
          <xdr:cNvSpPr>
            <a:spLocks noChangeAspect="1"/>
          </xdr:cNvSpPr>
        </xdr:nvSpPr>
        <xdr:spPr>
          <a:xfrm>
            <a:off x="1745344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A666B43-0336-E74E-B59F-5282ED4620D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3">
        <xdr:nvSpPr>
          <xdr:cNvPr id="102" name="Rectangle 101">
            <a:extLst>
              <a:ext uri="{FF2B5EF4-FFF2-40B4-BE49-F238E27FC236}">
                <a16:creationId xmlns:a16="http://schemas.microsoft.com/office/drawing/2014/main" id="{B4CF671F-2DE3-2A41-BBF1-DECFF7B5A8D1}"/>
              </a:ext>
            </a:extLst>
          </xdr:cNvPr>
          <xdr:cNvSpPr>
            <a:spLocks noChangeAspect="1"/>
          </xdr:cNvSpPr>
        </xdr:nvSpPr>
        <xdr:spPr>
          <a:xfrm>
            <a:off x="16480974" y="844913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D826A31-71D0-3146-8DBD-D9C95108FCC0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26">
        <xdr:nvSpPr>
          <xdr:cNvPr id="163" name="Rectangle 162">
            <a:extLst>
              <a:ext uri="{FF2B5EF4-FFF2-40B4-BE49-F238E27FC236}">
                <a16:creationId xmlns:a16="http://schemas.microsoft.com/office/drawing/2014/main" id="{F537EC13-40B2-504F-AB92-893631A9318E}"/>
              </a:ext>
            </a:extLst>
          </xdr:cNvPr>
          <xdr:cNvSpPr>
            <a:spLocks noChangeAspect="1"/>
          </xdr:cNvSpPr>
        </xdr:nvSpPr>
        <xdr:spPr>
          <a:xfrm>
            <a:off x="12507688" y="12246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EAA395-21FC-634F-9650-8862AD08095B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100%</a:t>
            </a:fld>
            <a:endParaRPr lang="en-US" sz="1000" i="0"/>
          </a:p>
        </xdr:txBody>
      </xdr:sp>
      <xdr:sp macro="" textlink="Location1ANALYSIS!F27">
        <xdr:nvSpPr>
          <xdr:cNvPr id="164" name="Rectangle 163">
            <a:extLst>
              <a:ext uri="{FF2B5EF4-FFF2-40B4-BE49-F238E27FC236}">
                <a16:creationId xmlns:a16="http://schemas.microsoft.com/office/drawing/2014/main" id="{C3B4EAFC-DE62-1C4F-80AC-812C29870D97}"/>
              </a:ext>
            </a:extLst>
          </xdr:cNvPr>
          <xdr:cNvSpPr>
            <a:spLocks noChangeAspect="1"/>
          </xdr:cNvSpPr>
        </xdr:nvSpPr>
        <xdr:spPr>
          <a:xfrm>
            <a:off x="12507688" y="22841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F345D332-4976-5C4A-8316-6CB63E8DF99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56%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F25">
        <xdr:nvSpPr>
          <xdr:cNvPr id="165" name="Rectangle 164">
            <a:extLst>
              <a:ext uri="{FF2B5EF4-FFF2-40B4-BE49-F238E27FC236}">
                <a16:creationId xmlns:a16="http://schemas.microsoft.com/office/drawing/2014/main" id="{0CDD86C2-76EC-3D4D-9A4C-3703778A2B94}"/>
              </a:ext>
            </a:extLst>
          </xdr:cNvPr>
          <xdr:cNvSpPr>
            <a:spLocks noChangeAspect="1"/>
          </xdr:cNvSpPr>
        </xdr:nvSpPr>
        <xdr:spPr>
          <a:xfrm>
            <a:off x="12507688" y="33618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A8548065-5F5A-FC44-B783-1D336C1B5BD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sp macro="" textlink="Location2ANALYSIS!F26">
        <xdr:nvSpPr>
          <xdr:cNvPr id="166" name="Rectangle 165">
            <a:extLst>
              <a:ext uri="{FF2B5EF4-FFF2-40B4-BE49-F238E27FC236}">
                <a16:creationId xmlns:a16="http://schemas.microsoft.com/office/drawing/2014/main" id="{45336401-39BF-6049-9C11-8D1C09C8736E}"/>
              </a:ext>
            </a:extLst>
          </xdr:cNvPr>
          <xdr:cNvSpPr>
            <a:spLocks noChangeAspect="1"/>
          </xdr:cNvSpPr>
        </xdr:nvSpPr>
        <xdr:spPr>
          <a:xfrm>
            <a:off x="12460517" y="53049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6E84DDCF-4036-DA45-A295-C6BE7BAFA86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1D7383A-BF0B-884C-81EA-73ED0D501C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90287" y="923482"/>
            <a:ext cx="5328252" cy="3279850"/>
          </a:xfrm>
          <a:prstGeom prst="rect">
            <a:avLst/>
          </a:prstGeom>
        </xdr:spPr>
      </xdr:pic>
      <xdr:sp macro="" textlink="Location1ANALYSIS!D14">
        <xdr:nvSpPr>
          <xdr:cNvPr id="39" name="TextBox 38">
            <a:extLst>
              <a:ext uri="{FF2B5EF4-FFF2-40B4-BE49-F238E27FC236}">
                <a16:creationId xmlns:a16="http://schemas.microsoft.com/office/drawing/2014/main" id="{84ED2402-8EAE-C244-8B18-221FCDBB0BE7}"/>
              </a:ext>
            </a:extLst>
          </xdr:cNvPr>
          <xdr:cNvSpPr txBox="1"/>
        </xdr:nvSpPr>
        <xdr:spPr>
          <a:xfrm>
            <a:off x="1297214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0ABABB-505C-7D48-996F-479E4B5C058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40" name="TextBox 39">
            <a:extLst>
              <a:ext uri="{FF2B5EF4-FFF2-40B4-BE49-F238E27FC236}">
                <a16:creationId xmlns:a16="http://schemas.microsoft.com/office/drawing/2014/main" id="{528DAAB7-2D1D-B841-A5E6-9B55398AC648}"/>
              </a:ext>
            </a:extLst>
          </xdr:cNvPr>
          <xdr:cNvSpPr txBox="1"/>
        </xdr:nvSpPr>
        <xdr:spPr>
          <a:xfrm>
            <a:off x="13451116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07C795-D7A4-5642-B06B-CEFD5E2B970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B39A549A-910E-2E43-8B41-1B8296CE91B0}"/>
              </a:ext>
            </a:extLst>
          </xdr:cNvPr>
          <xdr:cNvSpPr txBox="1"/>
        </xdr:nvSpPr>
        <xdr:spPr>
          <a:xfrm>
            <a:off x="13208001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1ANALYSIS!D15">
        <xdr:nvSpPr>
          <xdr:cNvPr id="43" name="TextBox 42">
            <a:extLst>
              <a:ext uri="{FF2B5EF4-FFF2-40B4-BE49-F238E27FC236}">
                <a16:creationId xmlns:a16="http://schemas.microsoft.com/office/drawing/2014/main" id="{3B30A745-2C59-C64D-AF11-7A8A1D0A7283}"/>
              </a:ext>
            </a:extLst>
          </xdr:cNvPr>
          <xdr:cNvSpPr txBox="1"/>
        </xdr:nvSpPr>
        <xdr:spPr>
          <a:xfrm>
            <a:off x="1401354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DEAF80-04CD-BE4A-B1B7-BA090D157CD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44" name="TextBox 43">
            <a:extLst>
              <a:ext uri="{FF2B5EF4-FFF2-40B4-BE49-F238E27FC236}">
                <a16:creationId xmlns:a16="http://schemas.microsoft.com/office/drawing/2014/main" id="{D05707F2-17B6-BD45-A282-D77988968045}"/>
              </a:ext>
            </a:extLst>
          </xdr:cNvPr>
          <xdr:cNvSpPr txBox="1"/>
        </xdr:nvSpPr>
        <xdr:spPr>
          <a:xfrm>
            <a:off x="14492518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FB5722-C461-0B4D-96AE-4B623D06C3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5" name="TextBox 44">
            <a:extLst>
              <a:ext uri="{FF2B5EF4-FFF2-40B4-BE49-F238E27FC236}">
                <a16:creationId xmlns:a16="http://schemas.microsoft.com/office/drawing/2014/main" id="{716CF1D4-F085-5B42-99A8-1A57C41ECED3}"/>
              </a:ext>
            </a:extLst>
          </xdr:cNvPr>
          <xdr:cNvSpPr txBox="1"/>
        </xdr:nvSpPr>
        <xdr:spPr>
          <a:xfrm>
            <a:off x="14303832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6">
        <xdr:nvSpPr>
          <xdr:cNvPr id="47" name="TextBox 46">
            <a:extLst>
              <a:ext uri="{FF2B5EF4-FFF2-40B4-BE49-F238E27FC236}">
                <a16:creationId xmlns:a16="http://schemas.microsoft.com/office/drawing/2014/main" id="{5D9B9866-9FD4-864C-8BF5-C8D766A0CF6F}"/>
              </a:ext>
            </a:extLst>
          </xdr:cNvPr>
          <xdr:cNvSpPr txBox="1"/>
        </xdr:nvSpPr>
        <xdr:spPr>
          <a:xfrm>
            <a:off x="1527266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E307EF-F0B3-5E4D-826D-7E3F7E5640A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48" name="TextBox 47">
            <a:extLst>
              <a:ext uri="{FF2B5EF4-FFF2-40B4-BE49-F238E27FC236}">
                <a16:creationId xmlns:a16="http://schemas.microsoft.com/office/drawing/2014/main" id="{75A318DE-64FB-9740-B0F6-86471155BC62}"/>
              </a:ext>
            </a:extLst>
          </xdr:cNvPr>
          <xdr:cNvSpPr txBox="1"/>
        </xdr:nvSpPr>
        <xdr:spPr>
          <a:xfrm>
            <a:off x="1569720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E37AC2-18DB-6E4B-A6EE-6BD37EFB9200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9" name="TextBox 48">
            <a:extLst>
              <a:ext uri="{FF2B5EF4-FFF2-40B4-BE49-F238E27FC236}">
                <a16:creationId xmlns:a16="http://schemas.microsoft.com/office/drawing/2014/main" id="{A35BED95-7B81-BA43-BA5E-4BD6A3E8E094}"/>
              </a:ext>
            </a:extLst>
          </xdr:cNvPr>
          <xdr:cNvSpPr txBox="1"/>
        </xdr:nvSpPr>
        <xdr:spPr>
          <a:xfrm>
            <a:off x="15508521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7">
        <xdr:nvSpPr>
          <xdr:cNvPr id="51" name="TextBox 50">
            <a:extLst>
              <a:ext uri="{FF2B5EF4-FFF2-40B4-BE49-F238E27FC236}">
                <a16:creationId xmlns:a16="http://schemas.microsoft.com/office/drawing/2014/main" id="{C791335E-D320-854D-A143-833ABA16F83A}"/>
              </a:ext>
            </a:extLst>
          </xdr:cNvPr>
          <xdr:cNvSpPr txBox="1"/>
        </xdr:nvSpPr>
        <xdr:spPr>
          <a:xfrm>
            <a:off x="16531780" y="118582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AE9FB-FBEC-394C-9548-5DAFD5BA35B2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52" name="TextBox 51">
            <a:extLst>
              <a:ext uri="{FF2B5EF4-FFF2-40B4-BE49-F238E27FC236}">
                <a16:creationId xmlns:a16="http://schemas.microsoft.com/office/drawing/2014/main" id="{4E6FF952-8AAD-8C40-8A00-094328FE34FF}"/>
              </a:ext>
            </a:extLst>
          </xdr:cNvPr>
          <xdr:cNvSpPr txBox="1"/>
        </xdr:nvSpPr>
        <xdr:spPr>
          <a:xfrm>
            <a:off x="17010752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BE3BCA-C39F-5846-A76D-07833472243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3" name="TextBox 52">
            <a:extLst>
              <a:ext uri="{FF2B5EF4-FFF2-40B4-BE49-F238E27FC236}">
                <a16:creationId xmlns:a16="http://schemas.microsoft.com/office/drawing/2014/main" id="{46CE2265-0BC1-164D-9515-DD43A1895EA6}"/>
              </a:ext>
            </a:extLst>
          </xdr:cNvPr>
          <xdr:cNvSpPr txBox="1"/>
        </xdr:nvSpPr>
        <xdr:spPr>
          <a:xfrm>
            <a:off x="16767637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8">
        <xdr:nvSpPr>
          <xdr:cNvPr id="55" name="TextBox 54">
            <a:extLst>
              <a:ext uri="{FF2B5EF4-FFF2-40B4-BE49-F238E27FC236}">
                <a16:creationId xmlns:a16="http://schemas.microsoft.com/office/drawing/2014/main" id="{B5F1D6FA-03ED-9449-8560-777D76537AF2}"/>
              </a:ext>
            </a:extLst>
          </xdr:cNvPr>
          <xdr:cNvSpPr txBox="1"/>
        </xdr:nvSpPr>
        <xdr:spPr>
          <a:xfrm>
            <a:off x="17500609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1424D8A-7FEC-9644-A63C-5E7EAB500710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56" name="TextBox 55">
            <a:extLst>
              <a:ext uri="{FF2B5EF4-FFF2-40B4-BE49-F238E27FC236}">
                <a16:creationId xmlns:a16="http://schemas.microsoft.com/office/drawing/2014/main" id="{7DC4DF93-1D7A-5749-8951-C345C3BE68FD}"/>
              </a:ext>
            </a:extLst>
          </xdr:cNvPr>
          <xdr:cNvSpPr txBox="1"/>
        </xdr:nvSpPr>
        <xdr:spPr>
          <a:xfrm>
            <a:off x="17979580" y="11858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7" name="TextBox 56">
            <a:extLst>
              <a:ext uri="{FF2B5EF4-FFF2-40B4-BE49-F238E27FC236}">
                <a16:creationId xmlns:a16="http://schemas.microsoft.com/office/drawing/2014/main" id="{F06F709F-53E9-2B47-A984-AE501AC1D28F}"/>
              </a:ext>
            </a:extLst>
          </xdr:cNvPr>
          <xdr:cNvSpPr txBox="1"/>
        </xdr:nvSpPr>
        <xdr:spPr>
          <a:xfrm>
            <a:off x="17827180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9">
        <xdr:nvSpPr>
          <xdr:cNvPr id="71" name="TextBox 70">
            <a:extLst>
              <a:ext uri="{FF2B5EF4-FFF2-40B4-BE49-F238E27FC236}">
                <a16:creationId xmlns:a16="http://schemas.microsoft.com/office/drawing/2014/main" id="{1986954F-50EA-6D45-B7C5-F673C8C7CF23}"/>
              </a:ext>
            </a:extLst>
          </xdr:cNvPr>
          <xdr:cNvSpPr txBox="1"/>
        </xdr:nvSpPr>
        <xdr:spPr>
          <a:xfrm>
            <a:off x="1296125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E62510-DBC0-B94D-91F7-26CA6CC2E9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72" name="TextBox 71">
            <a:extLst>
              <a:ext uri="{FF2B5EF4-FFF2-40B4-BE49-F238E27FC236}">
                <a16:creationId xmlns:a16="http://schemas.microsoft.com/office/drawing/2014/main" id="{F6AC6DBD-5F6C-6148-886B-B0580EF11A29}"/>
              </a:ext>
            </a:extLst>
          </xdr:cNvPr>
          <xdr:cNvSpPr txBox="1"/>
        </xdr:nvSpPr>
        <xdr:spPr>
          <a:xfrm>
            <a:off x="13440230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B5969E-0A13-7543-BCB4-8B95225C875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3" name="TextBox 72">
            <a:extLst>
              <a:ext uri="{FF2B5EF4-FFF2-40B4-BE49-F238E27FC236}">
                <a16:creationId xmlns:a16="http://schemas.microsoft.com/office/drawing/2014/main" id="{5AA118C9-F0D8-8444-945A-CFAB1FCFE966}"/>
              </a:ext>
            </a:extLst>
          </xdr:cNvPr>
          <xdr:cNvSpPr txBox="1"/>
        </xdr:nvSpPr>
        <xdr:spPr>
          <a:xfrm>
            <a:off x="13197115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0">
        <xdr:nvSpPr>
          <xdr:cNvPr id="75" name="TextBox 74">
            <a:extLst>
              <a:ext uri="{FF2B5EF4-FFF2-40B4-BE49-F238E27FC236}">
                <a16:creationId xmlns:a16="http://schemas.microsoft.com/office/drawing/2014/main" id="{D9D7DA36-984F-4840-8BA7-DBCEDF4E5EC8}"/>
              </a:ext>
            </a:extLst>
          </xdr:cNvPr>
          <xdr:cNvSpPr txBox="1"/>
        </xdr:nvSpPr>
        <xdr:spPr>
          <a:xfrm>
            <a:off x="1400266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751AF77-E22D-4B49-98F6-22A3A378FB2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76" name="TextBox 75">
            <a:extLst>
              <a:ext uri="{FF2B5EF4-FFF2-40B4-BE49-F238E27FC236}">
                <a16:creationId xmlns:a16="http://schemas.microsoft.com/office/drawing/2014/main" id="{2FAAD188-B5EE-234F-8C8C-29D337AF2ECE}"/>
              </a:ext>
            </a:extLst>
          </xdr:cNvPr>
          <xdr:cNvSpPr txBox="1"/>
        </xdr:nvSpPr>
        <xdr:spPr>
          <a:xfrm>
            <a:off x="14481632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5A53B31-C597-A54F-8781-B14A51FC135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7" name="TextBox 76">
            <a:extLst>
              <a:ext uri="{FF2B5EF4-FFF2-40B4-BE49-F238E27FC236}">
                <a16:creationId xmlns:a16="http://schemas.microsoft.com/office/drawing/2014/main" id="{F2FB3501-B746-4049-996A-8B7294061144}"/>
              </a:ext>
            </a:extLst>
          </xdr:cNvPr>
          <xdr:cNvSpPr txBox="1"/>
        </xdr:nvSpPr>
        <xdr:spPr>
          <a:xfrm>
            <a:off x="14292946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1">
        <xdr:nvSpPr>
          <xdr:cNvPr id="79" name="TextBox 78">
            <a:extLst>
              <a:ext uri="{FF2B5EF4-FFF2-40B4-BE49-F238E27FC236}">
                <a16:creationId xmlns:a16="http://schemas.microsoft.com/office/drawing/2014/main" id="{9BF09D03-D057-0748-9D71-5B4B3760BB63}"/>
              </a:ext>
            </a:extLst>
          </xdr:cNvPr>
          <xdr:cNvSpPr txBox="1"/>
        </xdr:nvSpPr>
        <xdr:spPr>
          <a:xfrm>
            <a:off x="1526177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80" name="TextBox 79">
            <a:extLst>
              <a:ext uri="{FF2B5EF4-FFF2-40B4-BE49-F238E27FC236}">
                <a16:creationId xmlns:a16="http://schemas.microsoft.com/office/drawing/2014/main" id="{8E5A961C-3C94-F347-A181-A40FB428DB7C}"/>
              </a:ext>
            </a:extLst>
          </xdr:cNvPr>
          <xdr:cNvSpPr txBox="1"/>
        </xdr:nvSpPr>
        <xdr:spPr>
          <a:xfrm>
            <a:off x="1568632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1" name="TextBox 80">
            <a:extLst>
              <a:ext uri="{FF2B5EF4-FFF2-40B4-BE49-F238E27FC236}">
                <a16:creationId xmlns:a16="http://schemas.microsoft.com/office/drawing/2014/main" id="{9F06B7AE-47E1-0940-9DDB-71EF2A45C13C}"/>
              </a:ext>
            </a:extLst>
          </xdr:cNvPr>
          <xdr:cNvSpPr txBox="1"/>
        </xdr:nvSpPr>
        <xdr:spPr>
          <a:xfrm>
            <a:off x="15497635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2">
        <xdr:nvSpPr>
          <xdr:cNvPr id="83" name="TextBox 82">
            <a:extLst>
              <a:ext uri="{FF2B5EF4-FFF2-40B4-BE49-F238E27FC236}">
                <a16:creationId xmlns:a16="http://schemas.microsoft.com/office/drawing/2014/main" id="{E39C6F4A-CAC9-F546-9A00-B803DB9FA95A}"/>
              </a:ext>
            </a:extLst>
          </xdr:cNvPr>
          <xdr:cNvSpPr txBox="1"/>
        </xdr:nvSpPr>
        <xdr:spPr>
          <a:xfrm>
            <a:off x="165208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B32939-C659-9248-A5DF-95D6C67B0C7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84" name="TextBox 83">
            <a:extLst>
              <a:ext uri="{FF2B5EF4-FFF2-40B4-BE49-F238E27FC236}">
                <a16:creationId xmlns:a16="http://schemas.microsoft.com/office/drawing/2014/main" id="{57306F90-9DBF-CF44-9C60-090001FAA551}"/>
              </a:ext>
            </a:extLst>
          </xdr:cNvPr>
          <xdr:cNvSpPr txBox="1"/>
        </xdr:nvSpPr>
        <xdr:spPr>
          <a:xfrm>
            <a:off x="16999866" y="22907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BBE66D-C6DA-5742-A553-289CBCD145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5" name="TextBox 84">
            <a:extLst>
              <a:ext uri="{FF2B5EF4-FFF2-40B4-BE49-F238E27FC236}">
                <a16:creationId xmlns:a16="http://schemas.microsoft.com/office/drawing/2014/main" id="{42F2FF1D-842C-C043-ACA1-3F2982D88894}"/>
              </a:ext>
            </a:extLst>
          </xdr:cNvPr>
          <xdr:cNvSpPr txBox="1"/>
        </xdr:nvSpPr>
        <xdr:spPr>
          <a:xfrm>
            <a:off x="16756751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3">
        <xdr:nvSpPr>
          <xdr:cNvPr id="87" name="TextBox 86">
            <a:extLst>
              <a:ext uri="{FF2B5EF4-FFF2-40B4-BE49-F238E27FC236}">
                <a16:creationId xmlns:a16="http://schemas.microsoft.com/office/drawing/2014/main" id="{88C89233-AFDA-0141-9855-215B0D40C77C}"/>
              </a:ext>
            </a:extLst>
          </xdr:cNvPr>
          <xdr:cNvSpPr txBox="1"/>
        </xdr:nvSpPr>
        <xdr:spPr>
          <a:xfrm>
            <a:off x="17489723" y="229072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3507C8-BBF4-6B4D-A21B-C74433F2F4A5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88" name="TextBox 87">
            <a:extLst>
              <a:ext uri="{FF2B5EF4-FFF2-40B4-BE49-F238E27FC236}">
                <a16:creationId xmlns:a16="http://schemas.microsoft.com/office/drawing/2014/main" id="{8598A9D0-1D0E-BE4B-8980-2B58C41E0EBB}"/>
              </a:ext>
            </a:extLst>
          </xdr:cNvPr>
          <xdr:cNvSpPr txBox="1"/>
        </xdr:nvSpPr>
        <xdr:spPr>
          <a:xfrm>
            <a:off x="179686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5718EC-9EBA-2C4C-A964-C507EE76C85F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9" name="TextBox 88">
            <a:extLst>
              <a:ext uri="{FF2B5EF4-FFF2-40B4-BE49-F238E27FC236}">
                <a16:creationId xmlns:a16="http://schemas.microsoft.com/office/drawing/2014/main" id="{CE96A87F-66CE-4946-A73D-9FBD6F149A1F}"/>
              </a:ext>
            </a:extLst>
          </xdr:cNvPr>
          <xdr:cNvSpPr txBox="1"/>
        </xdr:nvSpPr>
        <xdr:spPr>
          <a:xfrm>
            <a:off x="17816294" y="2290720"/>
            <a:ext cx="2948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4">
        <xdr:nvSpPr>
          <xdr:cNvPr id="95" name="TextBox 94">
            <a:extLst>
              <a:ext uri="{FF2B5EF4-FFF2-40B4-BE49-F238E27FC236}">
                <a16:creationId xmlns:a16="http://schemas.microsoft.com/office/drawing/2014/main" id="{5B2CBB9D-25B7-F44E-A2D5-573CDFED2A53}"/>
              </a:ext>
            </a:extLst>
          </xdr:cNvPr>
          <xdr:cNvSpPr txBox="1"/>
        </xdr:nvSpPr>
        <xdr:spPr>
          <a:xfrm>
            <a:off x="1296851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96" name="TextBox 95">
            <a:extLst>
              <a:ext uri="{FF2B5EF4-FFF2-40B4-BE49-F238E27FC236}">
                <a16:creationId xmlns:a16="http://schemas.microsoft.com/office/drawing/2014/main" id="{83CF7060-0EB3-9543-84FC-62C13A993C5A}"/>
              </a:ext>
            </a:extLst>
          </xdr:cNvPr>
          <xdr:cNvSpPr txBox="1"/>
        </xdr:nvSpPr>
        <xdr:spPr>
          <a:xfrm>
            <a:off x="13447487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97" name="TextBox 96">
            <a:extLst>
              <a:ext uri="{FF2B5EF4-FFF2-40B4-BE49-F238E27FC236}">
                <a16:creationId xmlns:a16="http://schemas.microsoft.com/office/drawing/2014/main" id="{1B2F1988-C239-A143-B36A-E12824711A7D}"/>
              </a:ext>
            </a:extLst>
          </xdr:cNvPr>
          <xdr:cNvSpPr txBox="1"/>
        </xdr:nvSpPr>
        <xdr:spPr>
          <a:xfrm>
            <a:off x="13204372" y="340469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5">
        <xdr:nvSpPr>
          <xdr:cNvPr id="99" name="TextBox 98">
            <a:extLst>
              <a:ext uri="{FF2B5EF4-FFF2-40B4-BE49-F238E27FC236}">
                <a16:creationId xmlns:a16="http://schemas.microsoft.com/office/drawing/2014/main" id="{8BA4F9A1-88A7-CF42-97FE-48918F9F6F11}"/>
              </a:ext>
            </a:extLst>
          </xdr:cNvPr>
          <xdr:cNvSpPr txBox="1"/>
        </xdr:nvSpPr>
        <xdr:spPr>
          <a:xfrm>
            <a:off x="14009918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39D58-3F6C-F043-B396-A63BC8ADC6C7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00" name="TextBox 99">
            <a:extLst>
              <a:ext uri="{FF2B5EF4-FFF2-40B4-BE49-F238E27FC236}">
                <a16:creationId xmlns:a16="http://schemas.microsoft.com/office/drawing/2014/main" id="{F59FD6FD-3BF4-2245-8D8A-042CBDC0CA7C}"/>
              </a:ext>
            </a:extLst>
          </xdr:cNvPr>
          <xdr:cNvSpPr txBox="1"/>
        </xdr:nvSpPr>
        <xdr:spPr>
          <a:xfrm>
            <a:off x="14488889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2E89AB-C01F-614F-906E-507B090E163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1" name="TextBox 100">
            <a:extLst>
              <a:ext uri="{FF2B5EF4-FFF2-40B4-BE49-F238E27FC236}">
                <a16:creationId xmlns:a16="http://schemas.microsoft.com/office/drawing/2014/main" id="{38CACB7F-FAB3-6149-A4A2-65CFF07A50DC}"/>
              </a:ext>
            </a:extLst>
          </xdr:cNvPr>
          <xdr:cNvSpPr txBox="1"/>
        </xdr:nvSpPr>
        <xdr:spPr>
          <a:xfrm>
            <a:off x="14300203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6">
        <xdr:nvSpPr>
          <xdr:cNvPr id="103" name="TextBox 102">
            <a:extLst>
              <a:ext uri="{FF2B5EF4-FFF2-40B4-BE49-F238E27FC236}">
                <a16:creationId xmlns:a16="http://schemas.microsoft.com/office/drawing/2014/main" id="{C50235A9-35C9-594D-A99A-677443F20365}"/>
              </a:ext>
            </a:extLst>
          </xdr:cNvPr>
          <xdr:cNvSpPr txBox="1"/>
        </xdr:nvSpPr>
        <xdr:spPr>
          <a:xfrm>
            <a:off x="1526903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0D9CFC-7BB5-4F40-AA8E-C65379DF43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04" name="TextBox 103">
            <a:extLst>
              <a:ext uri="{FF2B5EF4-FFF2-40B4-BE49-F238E27FC236}">
                <a16:creationId xmlns:a16="http://schemas.microsoft.com/office/drawing/2014/main" id="{FF8957A2-765E-934E-ACA5-AC0E98026B72}"/>
              </a:ext>
            </a:extLst>
          </xdr:cNvPr>
          <xdr:cNvSpPr txBox="1"/>
        </xdr:nvSpPr>
        <xdr:spPr>
          <a:xfrm>
            <a:off x="15693578" y="340469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FFF130-C36A-7F4F-9FBD-A87D09ACB20A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5" name="TextBox 104">
            <a:extLst>
              <a:ext uri="{FF2B5EF4-FFF2-40B4-BE49-F238E27FC236}">
                <a16:creationId xmlns:a16="http://schemas.microsoft.com/office/drawing/2014/main" id="{16F6E7E7-9BFA-4E47-91C1-F84117A8E392}"/>
              </a:ext>
            </a:extLst>
          </xdr:cNvPr>
          <xdr:cNvSpPr txBox="1"/>
        </xdr:nvSpPr>
        <xdr:spPr>
          <a:xfrm>
            <a:off x="15504892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7">
        <xdr:nvSpPr>
          <xdr:cNvPr id="107" name="TextBox 106">
            <a:extLst>
              <a:ext uri="{FF2B5EF4-FFF2-40B4-BE49-F238E27FC236}">
                <a16:creationId xmlns:a16="http://schemas.microsoft.com/office/drawing/2014/main" id="{82C17512-88CF-194E-8872-A53A225F387C}"/>
              </a:ext>
            </a:extLst>
          </xdr:cNvPr>
          <xdr:cNvSpPr txBox="1"/>
        </xdr:nvSpPr>
        <xdr:spPr>
          <a:xfrm>
            <a:off x="16528151" y="340469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466FF2-E905-164C-9088-C4ACEA28A7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08" name="TextBox 107">
            <a:extLst>
              <a:ext uri="{FF2B5EF4-FFF2-40B4-BE49-F238E27FC236}">
                <a16:creationId xmlns:a16="http://schemas.microsoft.com/office/drawing/2014/main" id="{2CED95AC-1100-C84E-83FB-66467BD0223A}"/>
              </a:ext>
            </a:extLst>
          </xdr:cNvPr>
          <xdr:cNvSpPr txBox="1"/>
        </xdr:nvSpPr>
        <xdr:spPr>
          <a:xfrm>
            <a:off x="17007123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8919A9-C51C-0945-A2B2-338F8724CFDC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9" name="TextBox 108">
            <a:extLst>
              <a:ext uri="{FF2B5EF4-FFF2-40B4-BE49-F238E27FC236}">
                <a16:creationId xmlns:a16="http://schemas.microsoft.com/office/drawing/2014/main" id="{308128A2-0C16-3948-BD93-58E479497E7B}"/>
              </a:ext>
            </a:extLst>
          </xdr:cNvPr>
          <xdr:cNvSpPr txBox="1"/>
        </xdr:nvSpPr>
        <xdr:spPr>
          <a:xfrm>
            <a:off x="16764008" y="3404690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8">
        <xdr:nvSpPr>
          <xdr:cNvPr id="111" name="TextBox 110">
            <a:extLst>
              <a:ext uri="{FF2B5EF4-FFF2-40B4-BE49-F238E27FC236}">
                <a16:creationId xmlns:a16="http://schemas.microsoft.com/office/drawing/2014/main" id="{BB06ECA8-F23C-8440-ADAF-75E08809C1B1}"/>
              </a:ext>
            </a:extLst>
          </xdr:cNvPr>
          <xdr:cNvSpPr txBox="1"/>
        </xdr:nvSpPr>
        <xdr:spPr>
          <a:xfrm>
            <a:off x="17496980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73B7E7E-1AB4-1A49-91FA-2C260568229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12" name="TextBox 111">
            <a:extLst>
              <a:ext uri="{FF2B5EF4-FFF2-40B4-BE49-F238E27FC236}">
                <a16:creationId xmlns:a16="http://schemas.microsoft.com/office/drawing/2014/main" id="{1928AAB7-B201-7940-BC2A-5D9C1E07D6FB}"/>
              </a:ext>
            </a:extLst>
          </xdr:cNvPr>
          <xdr:cNvSpPr txBox="1"/>
        </xdr:nvSpPr>
        <xdr:spPr>
          <a:xfrm>
            <a:off x="17975951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B2F85-08A0-384D-98DE-642662E9F0C6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13" name="TextBox 112">
            <a:extLst>
              <a:ext uri="{FF2B5EF4-FFF2-40B4-BE49-F238E27FC236}">
                <a16:creationId xmlns:a16="http://schemas.microsoft.com/office/drawing/2014/main" id="{1F734BC7-0469-A648-AC32-224F46535CA4}"/>
              </a:ext>
            </a:extLst>
          </xdr:cNvPr>
          <xdr:cNvSpPr txBox="1"/>
        </xdr:nvSpPr>
        <xdr:spPr>
          <a:xfrm>
            <a:off x="17823551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pic>
        <xdr:nvPicPr>
          <xdr:cNvPr id="106" name="Picture 105">
            <a:extLst>
              <a:ext uri="{FF2B5EF4-FFF2-40B4-BE49-F238E27FC236}">
                <a16:creationId xmlns:a16="http://schemas.microsoft.com/office/drawing/2014/main" id="{661DA014-2B52-3A42-BF7F-F74BE0C70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61259" y="5060778"/>
            <a:ext cx="5328252" cy="3279851"/>
          </a:xfrm>
          <a:prstGeom prst="rect">
            <a:avLst/>
          </a:prstGeom>
        </xdr:spPr>
      </xdr:pic>
      <xdr:sp macro="" textlink="Location2ANALYSIS!D14">
        <xdr:nvSpPr>
          <xdr:cNvPr id="110" name="TextBox 109">
            <a:extLst>
              <a:ext uri="{FF2B5EF4-FFF2-40B4-BE49-F238E27FC236}">
                <a16:creationId xmlns:a16="http://schemas.microsoft.com/office/drawing/2014/main" id="{A6658916-1138-7D4E-8131-266C520C15D7}"/>
              </a:ext>
            </a:extLst>
          </xdr:cNvPr>
          <xdr:cNvSpPr txBox="1"/>
        </xdr:nvSpPr>
        <xdr:spPr>
          <a:xfrm>
            <a:off x="1294311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BF74552-ACC2-F546-8A75-EE60D71F53A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114" name="TextBox 113">
            <a:extLst>
              <a:ext uri="{FF2B5EF4-FFF2-40B4-BE49-F238E27FC236}">
                <a16:creationId xmlns:a16="http://schemas.microsoft.com/office/drawing/2014/main" id="{01426818-B80C-5E4E-80D5-A5950414754E}"/>
              </a:ext>
            </a:extLst>
          </xdr:cNvPr>
          <xdr:cNvSpPr txBox="1"/>
        </xdr:nvSpPr>
        <xdr:spPr>
          <a:xfrm>
            <a:off x="13422088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8AA811-94B8-D543-8D15-9F30F67109D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5">
        <xdr:nvSpPr>
          <xdr:cNvPr id="116" name="TextBox 115">
            <a:extLst>
              <a:ext uri="{FF2B5EF4-FFF2-40B4-BE49-F238E27FC236}">
                <a16:creationId xmlns:a16="http://schemas.microsoft.com/office/drawing/2014/main" id="{55F5497B-6E04-6340-A86B-EC944D87CDF5}"/>
              </a:ext>
            </a:extLst>
          </xdr:cNvPr>
          <xdr:cNvSpPr txBox="1"/>
        </xdr:nvSpPr>
        <xdr:spPr>
          <a:xfrm>
            <a:off x="13966376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32A5B0-32A4-5743-84F9-D74587C3324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17" name="TextBox 116">
            <a:extLst>
              <a:ext uri="{FF2B5EF4-FFF2-40B4-BE49-F238E27FC236}">
                <a16:creationId xmlns:a16="http://schemas.microsoft.com/office/drawing/2014/main" id="{A8C78710-9856-0541-B450-8E26043C5DBC}"/>
              </a:ext>
            </a:extLst>
          </xdr:cNvPr>
          <xdr:cNvSpPr txBox="1"/>
        </xdr:nvSpPr>
        <xdr:spPr>
          <a:xfrm>
            <a:off x="14445347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904523-DA9F-094B-A64B-8DCA635E877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6">
        <xdr:nvSpPr>
          <xdr:cNvPr id="119" name="TextBox 118">
            <a:extLst>
              <a:ext uri="{FF2B5EF4-FFF2-40B4-BE49-F238E27FC236}">
                <a16:creationId xmlns:a16="http://schemas.microsoft.com/office/drawing/2014/main" id="{7EF5F7F2-1CDC-A24B-91D7-F3A80FBF1D9F}"/>
              </a:ext>
            </a:extLst>
          </xdr:cNvPr>
          <xdr:cNvSpPr txBox="1"/>
        </xdr:nvSpPr>
        <xdr:spPr>
          <a:xfrm>
            <a:off x="1524363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CC6662-1FEB-8645-B715-C6EB72FB69D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120" name="TextBox 119">
            <a:extLst>
              <a:ext uri="{FF2B5EF4-FFF2-40B4-BE49-F238E27FC236}">
                <a16:creationId xmlns:a16="http://schemas.microsoft.com/office/drawing/2014/main" id="{8A63C561-A4E3-E143-A88B-30D81045564B}"/>
              </a:ext>
            </a:extLst>
          </xdr:cNvPr>
          <xdr:cNvSpPr txBox="1"/>
        </xdr:nvSpPr>
        <xdr:spPr>
          <a:xfrm>
            <a:off x="15668179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0CC4CB3-5BDD-3D47-A736-37BE7268744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7">
        <xdr:nvSpPr>
          <xdr:cNvPr id="127" name="TextBox 126">
            <a:extLst>
              <a:ext uri="{FF2B5EF4-FFF2-40B4-BE49-F238E27FC236}">
                <a16:creationId xmlns:a16="http://schemas.microsoft.com/office/drawing/2014/main" id="{69158A67-1384-394C-9C1B-BA962848DECA}"/>
              </a:ext>
            </a:extLst>
          </xdr:cNvPr>
          <xdr:cNvSpPr txBox="1"/>
        </xdr:nvSpPr>
        <xdr:spPr>
          <a:xfrm>
            <a:off x="165027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D2A0F3B-0645-4942-A234-A63DFFF5DE6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128" name="TextBox 127">
            <a:extLst>
              <a:ext uri="{FF2B5EF4-FFF2-40B4-BE49-F238E27FC236}">
                <a16:creationId xmlns:a16="http://schemas.microsoft.com/office/drawing/2014/main" id="{5B234A32-D5C0-D841-804B-AC0DFA237DA2}"/>
              </a:ext>
            </a:extLst>
          </xdr:cNvPr>
          <xdr:cNvSpPr txBox="1"/>
        </xdr:nvSpPr>
        <xdr:spPr>
          <a:xfrm>
            <a:off x="16981724" y="532311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62EA35F-3C22-824A-92A0-12DC6A9FA8F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8">
        <xdr:nvSpPr>
          <xdr:cNvPr id="130" name="TextBox 129">
            <a:extLst>
              <a:ext uri="{FF2B5EF4-FFF2-40B4-BE49-F238E27FC236}">
                <a16:creationId xmlns:a16="http://schemas.microsoft.com/office/drawing/2014/main" id="{FD5FF782-BE4E-AD4E-B322-EDDC8D9A0EC6}"/>
              </a:ext>
            </a:extLst>
          </xdr:cNvPr>
          <xdr:cNvSpPr txBox="1"/>
        </xdr:nvSpPr>
        <xdr:spPr>
          <a:xfrm>
            <a:off x="17471581" y="53231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B04A8D5-95C1-644D-ABF7-D00DB0597A0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131" name="TextBox 130">
            <a:extLst>
              <a:ext uri="{FF2B5EF4-FFF2-40B4-BE49-F238E27FC236}">
                <a16:creationId xmlns:a16="http://schemas.microsoft.com/office/drawing/2014/main" id="{34DE6E36-405E-C142-A3CA-29DD80D2519B}"/>
              </a:ext>
            </a:extLst>
          </xdr:cNvPr>
          <xdr:cNvSpPr txBox="1"/>
        </xdr:nvSpPr>
        <xdr:spPr>
          <a:xfrm>
            <a:off x="179505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058305-7E43-B543-BB04-1DFD1107AB3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9">
        <xdr:nvSpPr>
          <xdr:cNvPr id="133" name="TextBox 132">
            <a:extLst>
              <a:ext uri="{FF2B5EF4-FFF2-40B4-BE49-F238E27FC236}">
                <a16:creationId xmlns:a16="http://schemas.microsoft.com/office/drawing/2014/main" id="{C810E18C-E91A-DD43-85F5-B94D42BB9E24}"/>
              </a:ext>
            </a:extLst>
          </xdr:cNvPr>
          <xdr:cNvSpPr txBox="1"/>
        </xdr:nvSpPr>
        <xdr:spPr>
          <a:xfrm>
            <a:off x="1293223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60EAB-A781-F44D-8272-41C2A6A95DF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34" name="TextBox 133">
            <a:extLst>
              <a:ext uri="{FF2B5EF4-FFF2-40B4-BE49-F238E27FC236}">
                <a16:creationId xmlns:a16="http://schemas.microsoft.com/office/drawing/2014/main" id="{D80F8B0B-5DA1-B146-8AB1-C7564A15E46A}"/>
              </a:ext>
            </a:extLst>
          </xdr:cNvPr>
          <xdr:cNvSpPr txBox="1"/>
        </xdr:nvSpPr>
        <xdr:spPr>
          <a:xfrm>
            <a:off x="13411202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CB083C-7D12-A94C-AA35-D39EEC394A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0">
        <xdr:nvSpPr>
          <xdr:cNvPr id="136" name="TextBox 135">
            <a:extLst>
              <a:ext uri="{FF2B5EF4-FFF2-40B4-BE49-F238E27FC236}">
                <a16:creationId xmlns:a16="http://schemas.microsoft.com/office/drawing/2014/main" id="{9A464038-B420-5A47-9C02-A8EC3DE56E0F}"/>
              </a:ext>
            </a:extLst>
          </xdr:cNvPr>
          <xdr:cNvSpPr txBox="1"/>
        </xdr:nvSpPr>
        <xdr:spPr>
          <a:xfrm>
            <a:off x="13955490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20740A-D7EB-4745-8BEB-CA0382A14B0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137" name="TextBox 136">
            <a:extLst>
              <a:ext uri="{FF2B5EF4-FFF2-40B4-BE49-F238E27FC236}">
                <a16:creationId xmlns:a16="http://schemas.microsoft.com/office/drawing/2014/main" id="{6FE1B5A8-9C29-E14A-B212-51C4A12CF478}"/>
              </a:ext>
            </a:extLst>
          </xdr:cNvPr>
          <xdr:cNvSpPr txBox="1"/>
        </xdr:nvSpPr>
        <xdr:spPr>
          <a:xfrm>
            <a:off x="14434461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632752-3568-7C47-B79B-1D031727837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7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1">
        <xdr:nvSpPr>
          <xdr:cNvPr id="139" name="TextBox 138">
            <a:extLst>
              <a:ext uri="{FF2B5EF4-FFF2-40B4-BE49-F238E27FC236}">
                <a16:creationId xmlns:a16="http://schemas.microsoft.com/office/drawing/2014/main" id="{F15622A7-5782-2B47-9ACD-DA24BCAB87CE}"/>
              </a:ext>
            </a:extLst>
          </xdr:cNvPr>
          <xdr:cNvSpPr txBox="1"/>
        </xdr:nvSpPr>
        <xdr:spPr>
          <a:xfrm>
            <a:off x="1523275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67B4B6-8082-9549-A15F-62F9D419FCD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140" name="TextBox 139">
            <a:extLst>
              <a:ext uri="{FF2B5EF4-FFF2-40B4-BE49-F238E27FC236}">
                <a16:creationId xmlns:a16="http://schemas.microsoft.com/office/drawing/2014/main" id="{03C476FD-3E5D-F846-9121-31C99109665E}"/>
              </a:ext>
            </a:extLst>
          </xdr:cNvPr>
          <xdr:cNvSpPr txBox="1"/>
        </xdr:nvSpPr>
        <xdr:spPr>
          <a:xfrm>
            <a:off x="15657293" y="64280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4F21EC-EB4B-0545-B4B9-2CF5B844144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2">
        <xdr:nvSpPr>
          <xdr:cNvPr id="142" name="TextBox 141">
            <a:extLst>
              <a:ext uri="{FF2B5EF4-FFF2-40B4-BE49-F238E27FC236}">
                <a16:creationId xmlns:a16="http://schemas.microsoft.com/office/drawing/2014/main" id="{3E5AB780-B903-674B-BC8C-B9F7B093C536}"/>
              </a:ext>
            </a:extLst>
          </xdr:cNvPr>
          <xdr:cNvSpPr txBox="1"/>
        </xdr:nvSpPr>
        <xdr:spPr>
          <a:xfrm>
            <a:off x="164918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D1E984-F33F-9449-8C9B-79A0374A43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43" name="TextBox 142">
            <a:extLst>
              <a:ext uri="{FF2B5EF4-FFF2-40B4-BE49-F238E27FC236}">
                <a16:creationId xmlns:a16="http://schemas.microsoft.com/office/drawing/2014/main" id="{2C26F3B1-F082-B94E-A8F3-7615B9B6EA99}"/>
              </a:ext>
            </a:extLst>
          </xdr:cNvPr>
          <xdr:cNvSpPr txBox="1"/>
        </xdr:nvSpPr>
        <xdr:spPr>
          <a:xfrm>
            <a:off x="16970838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D949E5C-AC7F-324B-9007-C22939E83C4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3">
        <xdr:nvSpPr>
          <xdr:cNvPr id="145" name="TextBox 144">
            <a:extLst>
              <a:ext uri="{FF2B5EF4-FFF2-40B4-BE49-F238E27FC236}">
                <a16:creationId xmlns:a16="http://schemas.microsoft.com/office/drawing/2014/main" id="{24B470D5-ED44-BD43-B6DA-92B8962CA46B}"/>
              </a:ext>
            </a:extLst>
          </xdr:cNvPr>
          <xdr:cNvSpPr txBox="1"/>
        </xdr:nvSpPr>
        <xdr:spPr>
          <a:xfrm>
            <a:off x="17460695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CD4753-9D98-8E49-B65C-CB045A857C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146" name="TextBox 145">
            <a:extLst>
              <a:ext uri="{FF2B5EF4-FFF2-40B4-BE49-F238E27FC236}">
                <a16:creationId xmlns:a16="http://schemas.microsoft.com/office/drawing/2014/main" id="{4FC9B569-A079-5740-AC54-7649954A736A}"/>
              </a:ext>
            </a:extLst>
          </xdr:cNvPr>
          <xdr:cNvSpPr txBox="1"/>
        </xdr:nvSpPr>
        <xdr:spPr>
          <a:xfrm>
            <a:off x="179396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26938C-06F3-5C45-B16E-B8C89774A46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4">
        <xdr:nvSpPr>
          <xdr:cNvPr id="148" name="TextBox 147">
            <a:extLst>
              <a:ext uri="{FF2B5EF4-FFF2-40B4-BE49-F238E27FC236}">
                <a16:creationId xmlns:a16="http://schemas.microsoft.com/office/drawing/2014/main" id="{A1085F43-706D-9B4C-AFE3-189E1BA4E51D}"/>
              </a:ext>
            </a:extLst>
          </xdr:cNvPr>
          <xdr:cNvSpPr txBox="1"/>
        </xdr:nvSpPr>
        <xdr:spPr>
          <a:xfrm>
            <a:off x="12939487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149" name="TextBox 148">
            <a:extLst>
              <a:ext uri="{FF2B5EF4-FFF2-40B4-BE49-F238E27FC236}">
                <a16:creationId xmlns:a16="http://schemas.microsoft.com/office/drawing/2014/main" id="{DEB30919-E1E6-4646-A9B5-28C77AE83449}"/>
              </a:ext>
            </a:extLst>
          </xdr:cNvPr>
          <xdr:cNvSpPr txBox="1"/>
        </xdr:nvSpPr>
        <xdr:spPr>
          <a:xfrm>
            <a:off x="13418459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5">
        <xdr:nvSpPr>
          <xdr:cNvPr id="151" name="TextBox 150">
            <a:extLst>
              <a:ext uri="{FF2B5EF4-FFF2-40B4-BE49-F238E27FC236}">
                <a16:creationId xmlns:a16="http://schemas.microsoft.com/office/drawing/2014/main" id="{494A3A34-6EEA-AE4B-892A-768D09E7BC82}"/>
              </a:ext>
            </a:extLst>
          </xdr:cNvPr>
          <xdr:cNvSpPr txBox="1"/>
        </xdr:nvSpPr>
        <xdr:spPr>
          <a:xfrm>
            <a:off x="13962747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0FE9E-6CD3-CF4A-85B3-97EEDBEE4E2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152" name="TextBox 151">
            <a:extLst>
              <a:ext uri="{FF2B5EF4-FFF2-40B4-BE49-F238E27FC236}">
                <a16:creationId xmlns:a16="http://schemas.microsoft.com/office/drawing/2014/main" id="{CA1767E3-6436-9741-A2B3-F8E08547FDC6}"/>
              </a:ext>
            </a:extLst>
          </xdr:cNvPr>
          <xdr:cNvSpPr txBox="1"/>
        </xdr:nvSpPr>
        <xdr:spPr>
          <a:xfrm>
            <a:off x="14441718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CFE5AF2-BF5A-BF4F-AF84-26DFFCE15BC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6">
        <xdr:nvSpPr>
          <xdr:cNvPr id="154" name="TextBox 153">
            <a:extLst>
              <a:ext uri="{FF2B5EF4-FFF2-40B4-BE49-F238E27FC236}">
                <a16:creationId xmlns:a16="http://schemas.microsoft.com/office/drawing/2014/main" id="{51678DF6-5789-7340-B588-E7838D3B9271}"/>
              </a:ext>
            </a:extLst>
          </xdr:cNvPr>
          <xdr:cNvSpPr txBox="1"/>
        </xdr:nvSpPr>
        <xdr:spPr>
          <a:xfrm>
            <a:off x="15240007" y="7541986"/>
            <a:ext cx="2948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3FC2E4-C194-7444-807A-5DBE250D9F9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155" name="TextBox 154">
            <a:extLst>
              <a:ext uri="{FF2B5EF4-FFF2-40B4-BE49-F238E27FC236}">
                <a16:creationId xmlns:a16="http://schemas.microsoft.com/office/drawing/2014/main" id="{B55C6BC9-23C4-E547-A592-8CEF94B5C364}"/>
              </a:ext>
            </a:extLst>
          </xdr:cNvPr>
          <xdr:cNvSpPr txBox="1"/>
        </xdr:nvSpPr>
        <xdr:spPr>
          <a:xfrm>
            <a:off x="15664550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6438E9-8287-0046-B60D-C72716BB386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7">
        <xdr:nvSpPr>
          <xdr:cNvPr id="157" name="TextBox 156">
            <a:extLst>
              <a:ext uri="{FF2B5EF4-FFF2-40B4-BE49-F238E27FC236}">
                <a16:creationId xmlns:a16="http://schemas.microsoft.com/office/drawing/2014/main" id="{F71C4131-3784-D54A-ABF8-638438887524}"/>
              </a:ext>
            </a:extLst>
          </xdr:cNvPr>
          <xdr:cNvSpPr txBox="1"/>
        </xdr:nvSpPr>
        <xdr:spPr>
          <a:xfrm>
            <a:off x="164991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98BFCC-58E9-C049-9354-A170BCC93B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158" name="TextBox 157">
            <a:extLst>
              <a:ext uri="{FF2B5EF4-FFF2-40B4-BE49-F238E27FC236}">
                <a16:creationId xmlns:a16="http://schemas.microsoft.com/office/drawing/2014/main" id="{5FC803F2-A9C0-AE41-923E-3EF6C86E9F30}"/>
              </a:ext>
            </a:extLst>
          </xdr:cNvPr>
          <xdr:cNvSpPr txBox="1"/>
        </xdr:nvSpPr>
        <xdr:spPr>
          <a:xfrm>
            <a:off x="16978095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ABDFB1E-1E87-0B43-8A22-62F141F096A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8">
        <xdr:nvSpPr>
          <xdr:cNvPr id="160" name="TextBox 159">
            <a:extLst>
              <a:ext uri="{FF2B5EF4-FFF2-40B4-BE49-F238E27FC236}">
                <a16:creationId xmlns:a16="http://schemas.microsoft.com/office/drawing/2014/main" id="{791DE9CB-4420-274C-8466-24DB45053366}"/>
              </a:ext>
            </a:extLst>
          </xdr:cNvPr>
          <xdr:cNvSpPr txBox="1"/>
        </xdr:nvSpPr>
        <xdr:spPr>
          <a:xfrm>
            <a:off x="17467952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8793849-3496-774D-8315-CF1F24CD26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94F50A28-78C4-E742-AACE-25D7051A6788}"/>
              </a:ext>
            </a:extLst>
          </xdr:cNvPr>
          <xdr:cNvSpPr txBox="1"/>
        </xdr:nvSpPr>
        <xdr:spPr>
          <a:xfrm>
            <a:off x="13178973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118" name="TextBox 117">
            <a:extLst>
              <a:ext uri="{FF2B5EF4-FFF2-40B4-BE49-F238E27FC236}">
                <a16:creationId xmlns:a16="http://schemas.microsoft.com/office/drawing/2014/main" id="{529537FF-8437-9842-A75C-C47C596EE022}"/>
              </a:ext>
            </a:extLst>
          </xdr:cNvPr>
          <xdr:cNvSpPr txBox="1"/>
        </xdr:nvSpPr>
        <xdr:spPr>
          <a:xfrm>
            <a:off x="14256661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1" name="TextBox 120">
            <a:extLst>
              <a:ext uri="{FF2B5EF4-FFF2-40B4-BE49-F238E27FC236}">
                <a16:creationId xmlns:a16="http://schemas.microsoft.com/office/drawing/2014/main" id="{675D22FB-623A-3648-9347-DD68B37F9896}"/>
              </a:ext>
            </a:extLst>
          </xdr:cNvPr>
          <xdr:cNvSpPr txBox="1"/>
        </xdr:nvSpPr>
        <xdr:spPr>
          <a:xfrm>
            <a:off x="15479493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9" name="TextBox 128">
            <a:extLst>
              <a:ext uri="{FF2B5EF4-FFF2-40B4-BE49-F238E27FC236}">
                <a16:creationId xmlns:a16="http://schemas.microsoft.com/office/drawing/2014/main" id="{EDEBD5CE-13AB-A844-8032-E52621D758BC}"/>
              </a:ext>
            </a:extLst>
          </xdr:cNvPr>
          <xdr:cNvSpPr txBox="1"/>
        </xdr:nvSpPr>
        <xdr:spPr>
          <a:xfrm>
            <a:off x="16738609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2" name="TextBox 131">
            <a:extLst>
              <a:ext uri="{FF2B5EF4-FFF2-40B4-BE49-F238E27FC236}">
                <a16:creationId xmlns:a16="http://schemas.microsoft.com/office/drawing/2014/main" id="{2EEDEFC8-CF73-9B4E-9651-139A4F0689EA}"/>
              </a:ext>
            </a:extLst>
          </xdr:cNvPr>
          <xdr:cNvSpPr txBox="1"/>
        </xdr:nvSpPr>
        <xdr:spPr>
          <a:xfrm>
            <a:off x="17707438" y="5323116"/>
            <a:ext cx="3493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5" name="TextBox 134">
            <a:extLst>
              <a:ext uri="{FF2B5EF4-FFF2-40B4-BE49-F238E27FC236}">
                <a16:creationId xmlns:a16="http://schemas.microsoft.com/office/drawing/2014/main" id="{3E9895B3-7630-4C47-90AD-801F4906404D}"/>
              </a:ext>
            </a:extLst>
          </xdr:cNvPr>
          <xdr:cNvSpPr txBox="1"/>
        </xdr:nvSpPr>
        <xdr:spPr>
          <a:xfrm>
            <a:off x="13168087" y="64280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4E710C8A-854E-1847-8F1F-15DD6D4F032F}"/>
              </a:ext>
            </a:extLst>
          </xdr:cNvPr>
          <xdr:cNvSpPr txBox="1"/>
        </xdr:nvSpPr>
        <xdr:spPr>
          <a:xfrm>
            <a:off x="14245775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1" name="TextBox 140">
            <a:extLst>
              <a:ext uri="{FF2B5EF4-FFF2-40B4-BE49-F238E27FC236}">
                <a16:creationId xmlns:a16="http://schemas.microsoft.com/office/drawing/2014/main" id="{EB6CD242-6061-5747-A436-A89F1DC3A210}"/>
              </a:ext>
            </a:extLst>
          </xdr:cNvPr>
          <xdr:cNvSpPr txBox="1"/>
        </xdr:nvSpPr>
        <xdr:spPr>
          <a:xfrm>
            <a:off x="15468607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4" name="TextBox 143">
            <a:extLst>
              <a:ext uri="{FF2B5EF4-FFF2-40B4-BE49-F238E27FC236}">
                <a16:creationId xmlns:a16="http://schemas.microsoft.com/office/drawing/2014/main" id="{DF52467B-8E87-D841-BCBD-B046DF387E43}"/>
              </a:ext>
            </a:extLst>
          </xdr:cNvPr>
          <xdr:cNvSpPr txBox="1"/>
        </xdr:nvSpPr>
        <xdr:spPr>
          <a:xfrm>
            <a:off x="16727723" y="6428016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7" name="TextBox 146">
            <a:extLst>
              <a:ext uri="{FF2B5EF4-FFF2-40B4-BE49-F238E27FC236}">
                <a16:creationId xmlns:a16="http://schemas.microsoft.com/office/drawing/2014/main" id="{ED75044C-D28B-1C4B-B433-4426D3FF433F}"/>
              </a:ext>
            </a:extLst>
          </xdr:cNvPr>
          <xdr:cNvSpPr txBox="1"/>
        </xdr:nvSpPr>
        <xdr:spPr>
          <a:xfrm>
            <a:off x="17696552" y="6428016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42980B25-BF93-DE49-9180-946EB085868D}"/>
              </a:ext>
            </a:extLst>
          </xdr:cNvPr>
          <xdr:cNvSpPr txBox="1"/>
        </xdr:nvSpPr>
        <xdr:spPr>
          <a:xfrm>
            <a:off x="13175344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3" name="TextBox 152">
            <a:extLst>
              <a:ext uri="{FF2B5EF4-FFF2-40B4-BE49-F238E27FC236}">
                <a16:creationId xmlns:a16="http://schemas.microsoft.com/office/drawing/2014/main" id="{66C93239-CD36-D94B-8BD3-56FD5ADB31DC}"/>
              </a:ext>
            </a:extLst>
          </xdr:cNvPr>
          <xdr:cNvSpPr txBox="1"/>
        </xdr:nvSpPr>
        <xdr:spPr>
          <a:xfrm>
            <a:off x="14253032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6" name="TextBox 155">
            <a:extLst>
              <a:ext uri="{FF2B5EF4-FFF2-40B4-BE49-F238E27FC236}">
                <a16:creationId xmlns:a16="http://schemas.microsoft.com/office/drawing/2014/main" id="{206BD49B-A744-3C46-AA46-89BCD5993ADC}"/>
              </a:ext>
            </a:extLst>
          </xdr:cNvPr>
          <xdr:cNvSpPr txBox="1"/>
        </xdr:nvSpPr>
        <xdr:spPr>
          <a:xfrm>
            <a:off x="15475864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9" name="TextBox 158">
            <a:extLst>
              <a:ext uri="{FF2B5EF4-FFF2-40B4-BE49-F238E27FC236}">
                <a16:creationId xmlns:a16="http://schemas.microsoft.com/office/drawing/2014/main" id="{7FE6569F-DCCA-6B43-BC8A-E62591F163E3}"/>
              </a:ext>
            </a:extLst>
          </xdr:cNvPr>
          <xdr:cNvSpPr txBox="1"/>
        </xdr:nvSpPr>
        <xdr:spPr>
          <a:xfrm>
            <a:off x="16734980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161" name="TextBox 160">
            <a:extLst>
              <a:ext uri="{FF2B5EF4-FFF2-40B4-BE49-F238E27FC236}">
                <a16:creationId xmlns:a16="http://schemas.microsoft.com/office/drawing/2014/main" id="{35BA148D-7ECB-6843-AEE1-DC400EDFADBC}"/>
              </a:ext>
            </a:extLst>
          </xdr:cNvPr>
          <xdr:cNvSpPr txBox="1"/>
        </xdr:nvSpPr>
        <xdr:spPr>
          <a:xfrm>
            <a:off x="179469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3B13E5-F7EA-8F4B-B127-1BA5BD20D7A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B0BCD2FA-3FCA-854C-AF15-B98D1B2BF03A}"/>
              </a:ext>
            </a:extLst>
          </xdr:cNvPr>
          <xdr:cNvSpPr txBox="1"/>
        </xdr:nvSpPr>
        <xdr:spPr>
          <a:xfrm>
            <a:off x="17703809" y="7541986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36" name="Rectangle 335">
            <a:extLst>
              <a:ext uri="{FF2B5EF4-FFF2-40B4-BE49-F238E27FC236}">
                <a16:creationId xmlns:a16="http://schemas.microsoft.com/office/drawing/2014/main" id="{231B60D6-2C9D-9A4D-8411-6B3F6598B117}"/>
              </a:ext>
            </a:extLst>
          </xdr:cNvPr>
          <xdr:cNvSpPr>
            <a:spLocks noChangeAspect="1"/>
          </xdr:cNvSpPr>
        </xdr:nvSpPr>
        <xdr:spPr>
          <a:xfrm>
            <a:off x="15210972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7ECBDE4-ECC8-B246-A07A-00D18B0AD197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37" name="Rectangle 336">
            <a:extLst>
              <a:ext uri="{FF2B5EF4-FFF2-40B4-BE49-F238E27FC236}">
                <a16:creationId xmlns:a16="http://schemas.microsoft.com/office/drawing/2014/main" id="{927EBCDB-0CA6-A34F-A851-766465F5E721}"/>
              </a:ext>
            </a:extLst>
          </xdr:cNvPr>
          <xdr:cNvSpPr>
            <a:spLocks noChangeAspect="1"/>
          </xdr:cNvSpPr>
        </xdr:nvSpPr>
        <xdr:spPr>
          <a:xfrm>
            <a:off x="15153038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4C5C7E0-3632-6749-9286-3F08E2F9A7B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33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19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47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100" b="0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0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949885" y="576942"/>
          <a:ext cx="855742" cy="2633857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32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24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5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7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6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30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31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32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3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4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32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5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7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6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30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31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32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3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4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32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32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32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32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32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32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32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32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32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32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32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32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32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32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32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32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AF20377-D41E-E64D-9153-B747699CF32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27</xdr:col>
      <xdr:colOff>830945</xdr:colOff>
      <xdr:row>3</xdr:row>
      <xdr:rowOff>43543</xdr:rowOff>
    </xdr:from>
    <xdr:to>
      <xdr:col>34</xdr:col>
      <xdr:colOff>590738</xdr:colOff>
      <xdr:row>51</xdr:row>
      <xdr:rowOff>67490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311A19A-145E-4AD0-8BDA-2E0D0CAC78AB}"/>
            </a:ext>
          </a:extLst>
        </xdr:cNvPr>
        <xdr:cNvGrpSpPr/>
      </xdr:nvGrpSpPr>
      <xdr:grpSpPr>
        <a:xfrm>
          <a:off x="23462345" y="576943"/>
          <a:ext cx="5627193" cy="8558347"/>
          <a:chOff x="24833945" y="560614"/>
          <a:chExt cx="5982793" cy="8297090"/>
        </a:xfrm>
      </xdr:grpSpPr>
      <xdr:sp macro="" textlink="Location2ANALYSIS!L25">
        <xdr:nvSpPr>
          <xdr:cNvPr id="324" name="Rectangle 323">
            <a:extLst>
              <a:ext uri="{FF2B5EF4-FFF2-40B4-BE49-F238E27FC236}">
                <a16:creationId xmlns:a16="http://schemas.microsoft.com/office/drawing/2014/main" id="{E68A10CC-10B5-F348-9A7E-9B15E02D4753}"/>
              </a:ext>
            </a:extLst>
          </xdr:cNvPr>
          <xdr:cNvSpPr>
            <a:spLocks noChangeAspect="1"/>
          </xdr:cNvSpPr>
        </xdr:nvSpPr>
        <xdr:spPr>
          <a:xfrm>
            <a:off x="24968203" y="5466443"/>
            <a:ext cx="1426029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BA943087-6141-334C-915B-F3D65C938B5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67%</a:t>
            </a:fld>
            <a:endParaRPr lang="en-US" sz="1000" i="0"/>
          </a:p>
        </xdr:txBody>
      </xdr:sp>
      <xdr:sp macro="" textlink="Location2ANALYSIS!L27">
        <xdr:nvSpPr>
          <xdr:cNvPr id="325" name="Rectangle 324">
            <a:extLst>
              <a:ext uri="{FF2B5EF4-FFF2-40B4-BE49-F238E27FC236}">
                <a16:creationId xmlns:a16="http://schemas.microsoft.com/office/drawing/2014/main" id="{1F8CBFF7-1BC7-7B46-9D97-BF52E96BD847}"/>
              </a:ext>
            </a:extLst>
          </xdr:cNvPr>
          <xdr:cNvSpPr>
            <a:spLocks noChangeAspect="1"/>
          </xdr:cNvSpPr>
        </xdr:nvSpPr>
        <xdr:spPr>
          <a:xfrm>
            <a:off x="24968203" y="65259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A9EFF42-9BDF-5340-9E98-62F65F41CA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73%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L26">
        <xdr:nvSpPr>
          <xdr:cNvPr id="326" name="Rectangle 325">
            <a:extLst>
              <a:ext uri="{FF2B5EF4-FFF2-40B4-BE49-F238E27FC236}">
                <a16:creationId xmlns:a16="http://schemas.microsoft.com/office/drawing/2014/main" id="{B8455047-27C2-0142-B73E-A7C2E51560E1}"/>
              </a:ext>
            </a:extLst>
          </xdr:cNvPr>
          <xdr:cNvSpPr>
            <a:spLocks noChangeAspect="1"/>
          </xdr:cNvSpPr>
        </xdr:nvSpPr>
        <xdr:spPr>
          <a:xfrm>
            <a:off x="24968203" y="76127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06D2C05-5A6D-5F49-8937-C23F3C58E7E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79%</a:t>
            </a:fld>
            <a:endParaRPr lang="en-US" sz="1000" i="0"/>
          </a:p>
        </xdr:txBody>
      </xdr:sp>
      <xdr:sp macro="" textlink="Location1ANALYSIS!L25">
        <xdr:nvSpPr>
          <xdr:cNvPr id="321" name="Rectangle 320">
            <a:extLst>
              <a:ext uri="{FF2B5EF4-FFF2-40B4-BE49-F238E27FC236}">
                <a16:creationId xmlns:a16="http://schemas.microsoft.com/office/drawing/2014/main" id="{E32B5FB3-1D22-714C-B46D-DC435FB57A33}"/>
              </a:ext>
            </a:extLst>
          </xdr:cNvPr>
          <xdr:cNvSpPr>
            <a:spLocks noChangeAspect="1"/>
          </xdr:cNvSpPr>
        </xdr:nvSpPr>
        <xdr:spPr>
          <a:xfrm>
            <a:off x="24833945" y="13407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64%</a:t>
            </a:fld>
            <a:endParaRPr lang="en-US" sz="1000" i="0"/>
          </a:p>
        </xdr:txBody>
      </xdr:sp>
      <xdr:sp macro="" textlink="Location1ANALYSIS!L27">
        <xdr:nvSpPr>
          <xdr:cNvPr id="322" name="Rectangle 321">
            <a:extLst>
              <a:ext uri="{FF2B5EF4-FFF2-40B4-BE49-F238E27FC236}">
                <a16:creationId xmlns:a16="http://schemas.microsoft.com/office/drawing/2014/main" id="{9247293A-1A77-0E4A-AC11-1928E88CF388}"/>
              </a:ext>
            </a:extLst>
          </xdr:cNvPr>
          <xdr:cNvSpPr>
            <a:spLocks noChangeAspect="1"/>
          </xdr:cNvSpPr>
        </xdr:nvSpPr>
        <xdr:spPr>
          <a:xfrm>
            <a:off x="24833945" y="2400300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6">
        <xdr:nvSpPr>
          <xdr:cNvPr id="323" name="Rectangle 322">
            <a:extLst>
              <a:ext uri="{FF2B5EF4-FFF2-40B4-BE49-F238E27FC236}">
                <a16:creationId xmlns:a16="http://schemas.microsoft.com/office/drawing/2014/main" id="{03D9FEBE-55EA-7940-A94B-BA91A31C68AC}"/>
              </a:ext>
            </a:extLst>
          </xdr:cNvPr>
          <xdr:cNvSpPr>
            <a:spLocks noChangeAspect="1"/>
          </xdr:cNvSpPr>
        </xdr:nvSpPr>
        <xdr:spPr>
          <a:xfrm>
            <a:off x="24833945" y="34870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62%</a:t>
            </a:fld>
            <a:endParaRPr lang="en-US" sz="1000" i="0"/>
          </a:p>
        </xdr:txBody>
      </xdr:sp>
      <xdr:pic>
        <xdr:nvPicPr>
          <xdr:cNvPr id="223" name="Picture 222">
            <a:extLst>
              <a:ext uri="{FF2B5EF4-FFF2-40B4-BE49-F238E27FC236}">
                <a16:creationId xmlns:a16="http://schemas.microsoft.com/office/drawing/2014/main" id="{0F7EC8F8-A340-E24F-A6C5-43506AF07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916946"/>
            <a:ext cx="5328252" cy="3279850"/>
          </a:xfrm>
          <a:prstGeom prst="rect">
            <a:avLst/>
          </a:prstGeom>
        </xdr:spPr>
      </xdr:pic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5DA4F685-82F0-7741-9205-833BB2E8E724}"/>
              </a:ext>
            </a:extLst>
          </xdr:cNvPr>
          <xdr:cNvSpPr txBox="1"/>
        </xdr:nvSpPr>
        <xdr:spPr>
          <a:xfrm>
            <a:off x="25559657" y="13407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D30ADE64-1DE7-7A49-A8B0-0A651831C920}"/>
              </a:ext>
            </a:extLst>
          </xdr:cNvPr>
          <xdr:cNvSpPr txBox="1"/>
        </xdr:nvSpPr>
        <xdr:spPr>
          <a:xfrm>
            <a:off x="26582917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11122F1-EE78-8E4D-BC84-6D715EA61261}"/>
              </a:ext>
            </a:extLst>
          </xdr:cNvPr>
          <xdr:cNvSpPr txBox="1"/>
        </xdr:nvSpPr>
        <xdr:spPr>
          <a:xfrm>
            <a:off x="27878320" y="13407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44CD7415-59D4-3D4C-AF69-49B8E42033A1}"/>
              </a:ext>
            </a:extLst>
          </xdr:cNvPr>
          <xdr:cNvSpPr txBox="1"/>
        </xdr:nvSpPr>
        <xdr:spPr>
          <a:xfrm>
            <a:off x="29119293" y="1340755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B650A6C1-B5E1-7C40-ABC9-AB641E7072B5}"/>
              </a:ext>
            </a:extLst>
          </xdr:cNvPr>
          <xdr:cNvSpPr txBox="1"/>
        </xdr:nvSpPr>
        <xdr:spPr>
          <a:xfrm>
            <a:off x="30106265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39" name="TextBox 238">
            <a:extLst>
              <a:ext uri="{FF2B5EF4-FFF2-40B4-BE49-F238E27FC236}">
                <a16:creationId xmlns:a16="http://schemas.microsoft.com/office/drawing/2014/main" id="{79C3728A-6CC2-1149-A041-F6C8471D62A9}"/>
              </a:ext>
            </a:extLst>
          </xdr:cNvPr>
          <xdr:cNvSpPr txBox="1"/>
        </xdr:nvSpPr>
        <xdr:spPr>
          <a:xfrm>
            <a:off x="29866771" y="2481944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283D33-911D-CD4C-9283-62A7BDA21D5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40" name="TextBox 239">
            <a:extLst>
              <a:ext uri="{FF2B5EF4-FFF2-40B4-BE49-F238E27FC236}">
                <a16:creationId xmlns:a16="http://schemas.microsoft.com/office/drawing/2014/main" id="{876C4566-CC93-FE40-A85A-46685D977633}"/>
              </a:ext>
            </a:extLst>
          </xdr:cNvPr>
          <xdr:cNvSpPr txBox="1"/>
        </xdr:nvSpPr>
        <xdr:spPr>
          <a:xfrm>
            <a:off x="30345742" y="2481944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92119C6-9F6F-9F45-8255-E82193C313B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348FA54F-3167-6042-AF04-9D1441DBDD25}"/>
              </a:ext>
            </a:extLst>
          </xdr:cNvPr>
          <xdr:cNvSpPr txBox="1"/>
        </xdr:nvSpPr>
        <xdr:spPr>
          <a:xfrm>
            <a:off x="25548771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0">
        <xdr:nvSpPr>
          <xdr:cNvPr id="242" name="TextBox 241">
            <a:extLst>
              <a:ext uri="{FF2B5EF4-FFF2-40B4-BE49-F238E27FC236}">
                <a16:creationId xmlns:a16="http://schemas.microsoft.com/office/drawing/2014/main" id="{2D219D48-653D-764D-A9E8-BD0B388366BC}"/>
              </a:ext>
            </a:extLst>
          </xdr:cNvPr>
          <xdr:cNvSpPr txBox="1"/>
        </xdr:nvSpPr>
        <xdr:spPr>
          <a:xfrm>
            <a:off x="28839887" y="2481945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F7BC5A3-3CC3-1B4A-B459-1455A2B3E52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0">
        <xdr:nvSpPr>
          <xdr:cNvPr id="243" name="TextBox 242">
            <a:extLst>
              <a:ext uri="{FF2B5EF4-FFF2-40B4-BE49-F238E27FC236}">
                <a16:creationId xmlns:a16="http://schemas.microsoft.com/office/drawing/2014/main" id="{B03931BB-C1BB-7442-B0DA-297B07172E53}"/>
              </a:ext>
            </a:extLst>
          </xdr:cNvPr>
          <xdr:cNvSpPr txBox="1"/>
        </xdr:nvSpPr>
        <xdr:spPr>
          <a:xfrm>
            <a:off x="29264430" y="2481945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33205F-CFD3-1648-9936-D2908A0A93E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013A87BD-31A0-2240-A1FC-18DA132897DC}"/>
              </a:ext>
            </a:extLst>
          </xdr:cNvPr>
          <xdr:cNvSpPr txBox="1"/>
        </xdr:nvSpPr>
        <xdr:spPr>
          <a:xfrm>
            <a:off x="26572031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1">
        <xdr:nvSpPr>
          <xdr:cNvPr id="245" name="TextBox 244">
            <a:extLst>
              <a:ext uri="{FF2B5EF4-FFF2-40B4-BE49-F238E27FC236}">
                <a16:creationId xmlns:a16="http://schemas.microsoft.com/office/drawing/2014/main" id="{D7CBFBD0-EF45-4943-A235-E9BA6E8FECC9}"/>
              </a:ext>
            </a:extLst>
          </xdr:cNvPr>
          <xdr:cNvSpPr txBox="1"/>
        </xdr:nvSpPr>
        <xdr:spPr>
          <a:xfrm>
            <a:off x="27631577" y="2445655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46" name="TextBox 245">
            <a:extLst>
              <a:ext uri="{FF2B5EF4-FFF2-40B4-BE49-F238E27FC236}">
                <a16:creationId xmlns:a16="http://schemas.microsoft.com/office/drawing/2014/main" id="{3FCC4BDF-2C42-4541-A534-24B5A6C5C465}"/>
              </a:ext>
            </a:extLst>
          </xdr:cNvPr>
          <xdr:cNvSpPr txBox="1"/>
        </xdr:nvSpPr>
        <xdr:spPr>
          <a:xfrm>
            <a:off x="28056120" y="2445655"/>
            <a:ext cx="60959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0F627F2C-44A5-EB4C-BD69-33DAE1E9B16D}"/>
              </a:ext>
            </a:extLst>
          </xdr:cNvPr>
          <xdr:cNvSpPr txBox="1"/>
        </xdr:nvSpPr>
        <xdr:spPr>
          <a:xfrm>
            <a:off x="27867434" y="24456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48" name="TextBox 247">
            <a:extLst>
              <a:ext uri="{FF2B5EF4-FFF2-40B4-BE49-F238E27FC236}">
                <a16:creationId xmlns:a16="http://schemas.microsoft.com/office/drawing/2014/main" id="{152C0F62-0926-7543-8598-D95F398BB388}"/>
              </a:ext>
            </a:extLst>
          </xdr:cNvPr>
          <xdr:cNvSpPr txBox="1"/>
        </xdr:nvSpPr>
        <xdr:spPr>
          <a:xfrm>
            <a:off x="26368836" y="2481941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AE48CA-939C-BA4C-8D92-3EC7518DB7D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49" name="TextBox 248">
            <a:extLst>
              <a:ext uri="{FF2B5EF4-FFF2-40B4-BE49-F238E27FC236}">
                <a16:creationId xmlns:a16="http://schemas.microsoft.com/office/drawing/2014/main" id="{DED3A6AF-E61C-F746-AC67-067B349E5841}"/>
              </a:ext>
            </a:extLst>
          </xdr:cNvPr>
          <xdr:cNvSpPr txBox="1"/>
        </xdr:nvSpPr>
        <xdr:spPr>
          <a:xfrm>
            <a:off x="26847807" y="2481941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366FAC-6E84-EE42-93F9-0FEF2455B38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97F7654C-C133-9841-8935-7FCBA971A47F}"/>
              </a:ext>
            </a:extLst>
          </xdr:cNvPr>
          <xdr:cNvSpPr txBox="1"/>
        </xdr:nvSpPr>
        <xdr:spPr>
          <a:xfrm>
            <a:off x="29108407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3">
        <xdr:nvSpPr>
          <xdr:cNvPr id="251" name="TextBox 250">
            <a:extLst>
              <a:ext uri="{FF2B5EF4-FFF2-40B4-BE49-F238E27FC236}">
                <a16:creationId xmlns:a16="http://schemas.microsoft.com/office/drawing/2014/main" id="{9C23A38D-70F1-9740-9862-668DAF0F99FC}"/>
              </a:ext>
            </a:extLst>
          </xdr:cNvPr>
          <xdr:cNvSpPr txBox="1"/>
        </xdr:nvSpPr>
        <xdr:spPr>
          <a:xfrm>
            <a:off x="25323808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7428A6-F64E-2442-8A66-5CF9954FF3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Verdana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252" name="TextBox 251">
            <a:extLst>
              <a:ext uri="{FF2B5EF4-FFF2-40B4-BE49-F238E27FC236}">
                <a16:creationId xmlns:a16="http://schemas.microsoft.com/office/drawing/2014/main" id="{C727DA9D-358C-F64D-8A23-4FD1B9E7D45C}"/>
              </a:ext>
            </a:extLst>
          </xdr:cNvPr>
          <xdr:cNvSpPr txBox="1"/>
        </xdr:nvSpPr>
        <xdr:spPr>
          <a:xfrm>
            <a:off x="25802780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6816A4-0C07-A44E-A762-75721EB1826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24E05597-6074-0D49-A28F-4FF1974BB182}"/>
              </a:ext>
            </a:extLst>
          </xdr:cNvPr>
          <xdr:cNvSpPr txBox="1"/>
        </xdr:nvSpPr>
        <xdr:spPr>
          <a:xfrm>
            <a:off x="30095379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4">
        <xdr:nvSpPr>
          <xdr:cNvPr id="254" name="TextBox 253">
            <a:extLst>
              <a:ext uri="{FF2B5EF4-FFF2-40B4-BE49-F238E27FC236}">
                <a16:creationId xmlns:a16="http://schemas.microsoft.com/office/drawing/2014/main" id="{2390BCAE-653B-ED46-9245-29E7F88EB8A1}"/>
              </a:ext>
            </a:extLst>
          </xdr:cNvPr>
          <xdr:cNvSpPr txBox="1"/>
        </xdr:nvSpPr>
        <xdr:spPr>
          <a:xfrm>
            <a:off x="29874028" y="1337112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EC7B6F-A52E-9844-9824-CA723FDF8C9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55" name="TextBox 254">
            <a:extLst>
              <a:ext uri="{FF2B5EF4-FFF2-40B4-BE49-F238E27FC236}">
                <a16:creationId xmlns:a16="http://schemas.microsoft.com/office/drawing/2014/main" id="{1094C682-28E6-F441-9872-6B52E04C540D}"/>
              </a:ext>
            </a:extLst>
          </xdr:cNvPr>
          <xdr:cNvSpPr txBox="1"/>
        </xdr:nvSpPr>
        <xdr:spPr>
          <a:xfrm>
            <a:off x="30352999" y="1337112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73E4FC-C595-5548-BA6E-A902D79A5A7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57" name="TextBox 256">
            <a:extLst>
              <a:ext uri="{FF2B5EF4-FFF2-40B4-BE49-F238E27FC236}">
                <a16:creationId xmlns:a16="http://schemas.microsoft.com/office/drawing/2014/main" id="{EBA8C75F-15CC-5C47-BD5C-701417A202B2}"/>
              </a:ext>
            </a:extLst>
          </xdr:cNvPr>
          <xdr:cNvSpPr txBox="1"/>
        </xdr:nvSpPr>
        <xdr:spPr>
          <a:xfrm>
            <a:off x="28847144" y="135525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58" name="TextBox 257">
            <a:extLst>
              <a:ext uri="{FF2B5EF4-FFF2-40B4-BE49-F238E27FC236}">
                <a16:creationId xmlns:a16="http://schemas.microsoft.com/office/drawing/2014/main" id="{1B7B12D5-CBE5-1441-B306-BDE12777DE10}"/>
              </a:ext>
            </a:extLst>
          </xdr:cNvPr>
          <xdr:cNvSpPr txBox="1"/>
        </xdr:nvSpPr>
        <xdr:spPr>
          <a:xfrm>
            <a:off x="29271687" y="1337113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6">
        <xdr:nvSpPr>
          <xdr:cNvPr id="260" name="TextBox 259">
            <a:extLst>
              <a:ext uri="{FF2B5EF4-FFF2-40B4-BE49-F238E27FC236}">
                <a16:creationId xmlns:a16="http://schemas.microsoft.com/office/drawing/2014/main" id="{90D84400-C270-C547-847B-5822A6D24AF4}"/>
              </a:ext>
            </a:extLst>
          </xdr:cNvPr>
          <xdr:cNvSpPr txBox="1"/>
        </xdr:nvSpPr>
        <xdr:spPr>
          <a:xfrm>
            <a:off x="27638834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2A7EED-65B3-8E43-BFEE-692B4489A7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261" name="TextBox 260">
            <a:extLst>
              <a:ext uri="{FF2B5EF4-FFF2-40B4-BE49-F238E27FC236}">
                <a16:creationId xmlns:a16="http://schemas.microsoft.com/office/drawing/2014/main" id="{FF38CD1F-A4B3-E345-ACF7-6945A01301A0}"/>
              </a:ext>
            </a:extLst>
          </xdr:cNvPr>
          <xdr:cNvSpPr txBox="1"/>
        </xdr:nvSpPr>
        <xdr:spPr>
          <a:xfrm>
            <a:off x="28063377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DB14D-D7EF-3A48-B044-F06D7EE93F5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7">
        <xdr:nvSpPr>
          <xdr:cNvPr id="263" name="TextBox 262">
            <a:extLst>
              <a:ext uri="{FF2B5EF4-FFF2-40B4-BE49-F238E27FC236}">
                <a16:creationId xmlns:a16="http://schemas.microsoft.com/office/drawing/2014/main" id="{F0E5E0F7-FA18-7149-8A0A-AD24C16A6B31}"/>
              </a:ext>
            </a:extLst>
          </xdr:cNvPr>
          <xdr:cNvSpPr txBox="1"/>
        </xdr:nvSpPr>
        <xdr:spPr>
          <a:xfrm>
            <a:off x="26376093" y="1337109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C360C78-6844-9741-AD8A-22BD5986E0D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64" name="TextBox 263">
            <a:extLst>
              <a:ext uri="{FF2B5EF4-FFF2-40B4-BE49-F238E27FC236}">
                <a16:creationId xmlns:a16="http://schemas.microsoft.com/office/drawing/2014/main" id="{2D7A60FB-5D98-4A44-B146-03DFFFC47FAA}"/>
              </a:ext>
            </a:extLst>
          </xdr:cNvPr>
          <xdr:cNvSpPr txBox="1"/>
        </xdr:nvSpPr>
        <xdr:spPr>
          <a:xfrm>
            <a:off x="26855064" y="1337109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A87AB0-B28B-F744-BA4F-4237D467377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66" name="TextBox 265">
            <a:extLst>
              <a:ext uri="{FF2B5EF4-FFF2-40B4-BE49-F238E27FC236}">
                <a16:creationId xmlns:a16="http://schemas.microsoft.com/office/drawing/2014/main" id="{84E9D992-C719-6745-AB9F-141C8CEF946C}"/>
              </a:ext>
            </a:extLst>
          </xdr:cNvPr>
          <xdr:cNvSpPr txBox="1"/>
        </xdr:nvSpPr>
        <xdr:spPr>
          <a:xfrm>
            <a:off x="25331065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ED0DE6-9E5C-3F4C-BD20-278E55C9077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67" name="TextBox 266">
            <a:extLst>
              <a:ext uri="{FF2B5EF4-FFF2-40B4-BE49-F238E27FC236}">
                <a16:creationId xmlns:a16="http://schemas.microsoft.com/office/drawing/2014/main" id="{A6ABD100-5A88-6C41-BB21-EA3CB14A8F9F}"/>
              </a:ext>
            </a:extLst>
          </xdr:cNvPr>
          <xdr:cNvSpPr txBox="1"/>
        </xdr:nvSpPr>
        <xdr:spPr>
          <a:xfrm>
            <a:off x="25810037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86B8F4F7-93F6-1448-B8FD-CC768339C821}"/>
              </a:ext>
            </a:extLst>
          </xdr:cNvPr>
          <xdr:cNvGrpSpPr/>
        </xdr:nvGrpSpPr>
        <xdr:grpSpPr>
          <a:xfrm>
            <a:off x="25334694" y="3508843"/>
            <a:ext cx="5329509" cy="541848"/>
            <a:chOff x="23810694" y="3327414"/>
            <a:chExt cx="5002938" cy="514634"/>
          </a:xfrm>
        </xdr:grpSpPr>
        <xdr:sp macro="" textlink="Location1ANALYSIS!J4">
          <xdr:nvSpPr>
            <xdr:cNvPr id="224" name="TextBox 223">
              <a:extLst>
                <a:ext uri="{FF2B5EF4-FFF2-40B4-BE49-F238E27FC236}">
                  <a16:creationId xmlns:a16="http://schemas.microsoft.com/office/drawing/2014/main" id="{8DE9B3A0-2588-4441-B3CC-8133AD0D9B8C}"/>
                </a:ext>
              </a:extLst>
            </xdr:cNvPr>
            <xdr:cNvSpPr txBox="1"/>
          </xdr:nvSpPr>
          <xdr:spPr>
            <a:xfrm>
              <a:off x="28081514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D2D3680-2DE4-4145-A686-48523359C01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4">
          <xdr:nvSpPr>
            <xdr:cNvPr id="225" name="TextBox 224">
              <a:extLst>
                <a:ext uri="{FF2B5EF4-FFF2-40B4-BE49-F238E27FC236}">
                  <a16:creationId xmlns:a16="http://schemas.microsoft.com/office/drawing/2014/main" id="{5EFD4B5C-0CAB-C148-AB0F-991BFBD0231D}"/>
                </a:ext>
              </a:extLst>
            </xdr:cNvPr>
            <xdr:cNvSpPr txBox="1"/>
          </xdr:nvSpPr>
          <xdr:spPr>
            <a:xfrm>
              <a:off x="28506057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AE114C5-A152-E24F-85D7-39877A0986F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5">
          <xdr:nvSpPr>
            <xdr:cNvPr id="227" name="TextBox 226">
              <a:extLst>
                <a:ext uri="{FF2B5EF4-FFF2-40B4-BE49-F238E27FC236}">
                  <a16:creationId xmlns:a16="http://schemas.microsoft.com/office/drawing/2014/main" id="{D86FF4DE-6CC8-7E46-AF0B-46C9A6BE4354}"/>
                </a:ext>
              </a:extLst>
            </xdr:cNvPr>
            <xdr:cNvSpPr txBox="1"/>
          </xdr:nvSpPr>
          <xdr:spPr>
            <a:xfrm>
              <a:off x="27109059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7135652-0B6F-C346-8DD1-3B907017035A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5">
          <xdr:nvSpPr>
            <xdr:cNvPr id="228" name="TextBox 227">
              <a:extLst>
                <a:ext uri="{FF2B5EF4-FFF2-40B4-BE49-F238E27FC236}">
                  <a16:creationId xmlns:a16="http://schemas.microsoft.com/office/drawing/2014/main" id="{EF611D09-5E7A-B946-93CC-8E5BC87ADCE4}"/>
                </a:ext>
              </a:extLst>
            </xdr:cNvPr>
            <xdr:cNvSpPr txBox="1"/>
          </xdr:nvSpPr>
          <xdr:spPr>
            <a:xfrm>
              <a:off x="27533602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577C5A-6073-D24C-BBF4-F7D403D2A8A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3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8">
          <xdr:nvSpPr>
            <xdr:cNvPr id="230" name="TextBox 229">
              <a:extLst>
                <a:ext uri="{FF2B5EF4-FFF2-40B4-BE49-F238E27FC236}">
                  <a16:creationId xmlns:a16="http://schemas.microsoft.com/office/drawing/2014/main" id="{7896CAA1-FB88-5F4D-B6AA-E1805467653F}"/>
                </a:ext>
              </a:extLst>
            </xdr:cNvPr>
            <xdr:cNvSpPr txBox="1"/>
          </xdr:nvSpPr>
          <xdr:spPr>
            <a:xfrm>
              <a:off x="25955177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796CFC-108A-5445-83D4-8AC8C23796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8">
          <xdr:nvSpPr>
            <xdr:cNvPr id="231" name="TextBox 230">
              <a:extLst>
                <a:ext uri="{FF2B5EF4-FFF2-40B4-BE49-F238E27FC236}">
                  <a16:creationId xmlns:a16="http://schemas.microsoft.com/office/drawing/2014/main" id="{A9C62B00-A2E0-2842-80F6-1E8550FB8B5D}"/>
                </a:ext>
              </a:extLst>
            </xdr:cNvPr>
            <xdr:cNvSpPr txBox="1"/>
          </xdr:nvSpPr>
          <xdr:spPr>
            <a:xfrm>
              <a:off x="26379720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02410FE-FF77-364E-B1B5-973482A1F99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7">
          <xdr:nvSpPr>
            <xdr:cNvPr id="233" name="TextBox 232">
              <a:extLst>
                <a:ext uri="{FF2B5EF4-FFF2-40B4-BE49-F238E27FC236}">
                  <a16:creationId xmlns:a16="http://schemas.microsoft.com/office/drawing/2014/main" id="{CBCB3E0C-1893-AF46-BBBB-9FE8341148EC}"/>
                </a:ext>
              </a:extLst>
            </xdr:cNvPr>
            <xdr:cNvSpPr txBox="1"/>
          </xdr:nvSpPr>
          <xdr:spPr>
            <a:xfrm>
              <a:off x="24801293" y="3363700"/>
              <a:ext cx="2948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E9CBB08-01B7-564D-BE07-686A929625F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7">
          <xdr:nvSpPr>
            <xdr:cNvPr id="234" name="TextBox 233">
              <a:extLst>
                <a:ext uri="{FF2B5EF4-FFF2-40B4-BE49-F238E27FC236}">
                  <a16:creationId xmlns:a16="http://schemas.microsoft.com/office/drawing/2014/main" id="{8B88283E-AF59-1F4B-BC82-F63DB039A983}"/>
                </a:ext>
              </a:extLst>
            </xdr:cNvPr>
            <xdr:cNvSpPr txBox="1"/>
          </xdr:nvSpPr>
          <xdr:spPr>
            <a:xfrm>
              <a:off x="25225836" y="3363700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D453E1B-290E-554D-AACF-4E90E4B55532}" type="TxLink">
                <a:rPr lang="en-US" sz="24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8">
          <xdr:nvSpPr>
            <xdr:cNvPr id="236" name="TextBox 235">
              <a:extLst>
                <a:ext uri="{FF2B5EF4-FFF2-40B4-BE49-F238E27FC236}">
                  <a16:creationId xmlns:a16="http://schemas.microsoft.com/office/drawing/2014/main" id="{0B4C49F5-6F98-EA42-8803-3961584CEA4A}"/>
                </a:ext>
              </a:extLst>
            </xdr:cNvPr>
            <xdr:cNvSpPr txBox="1"/>
          </xdr:nvSpPr>
          <xdr:spPr>
            <a:xfrm>
              <a:off x="23810694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FCB2D3A-B36F-DE46-A351-5C5C443C658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8">
          <xdr:nvSpPr>
            <xdr:cNvPr id="237" name="TextBox 236">
              <a:extLst>
                <a:ext uri="{FF2B5EF4-FFF2-40B4-BE49-F238E27FC236}">
                  <a16:creationId xmlns:a16="http://schemas.microsoft.com/office/drawing/2014/main" id="{5F9CE1BB-F535-C645-9990-16C954A29F45}"/>
                </a:ext>
              </a:extLst>
            </xdr:cNvPr>
            <xdr:cNvSpPr txBox="1"/>
          </xdr:nvSpPr>
          <xdr:spPr>
            <a:xfrm>
              <a:off x="24235237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869A09F-A228-DE4D-BE93-230C2AB0939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6" name="TextBox 255">
              <a:extLst>
                <a:ext uri="{FF2B5EF4-FFF2-40B4-BE49-F238E27FC236}">
                  <a16:creationId xmlns:a16="http://schemas.microsoft.com/office/drawing/2014/main" id="{679399FE-DD58-A647-BA80-0C200EBF64EC}"/>
                </a:ext>
              </a:extLst>
            </xdr:cNvPr>
            <xdr:cNvSpPr txBox="1"/>
          </xdr:nvSpPr>
          <xdr:spPr>
            <a:xfrm>
              <a:off x="24050171" y="3378184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9" name="TextBox 258">
              <a:extLst>
                <a:ext uri="{FF2B5EF4-FFF2-40B4-BE49-F238E27FC236}">
                  <a16:creationId xmlns:a16="http://schemas.microsoft.com/office/drawing/2014/main" id="{59D2E21E-CFEE-FB43-9BB3-55012FDBE315}"/>
                </a:ext>
              </a:extLst>
            </xdr:cNvPr>
            <xdr:cNvSpPr txBox="1"/>
          </xdr:nvSpPr>
          <xdr:spPr>
            <a:xfrm>
              <a:off x="25000859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2" name="TextBox 261">
              <a:extLst>
                <a:ext uri="{FF2B5EF4-FFF2-40B4-BE49-F238E27FC236}">
                  <a16:creationId xmlns:a16="http://schemas.microsoft.com/office/drawing/2014/main" id="{5172622E-1DE8-3443-B5AD-4B74B68A346A}"/>
                </a:ext>
              </a:extLst>
            </xdr:cNvPr>
            <xdr:cNvSpPr txBox="1"/>
          </xdr:nvSpPr>
          <xdr:spPr>
            <a:xfrm>
              <a:off x="26187405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5" name="TextBox 264">
              <a:extLst>
                <a:ext uri="{FF2B5EF4-FFF2-40B4-BE49-F238E27FC236}">
                  <a16:creationId xmlns:a16="http://schemas.microsoft.com/office/drawing/2014/main" id="{23015A49-4C29-E849-AE7E-D0DB83D497FD}"/>
                </a:ext>
              </a:extLst>
            </xdr:cNvPr>
            <xdr:cNvSpPr txBox="1"/>
          </xdr:nvSpPr>
          <xdr:spPr>
            <a:xfrm>
              <a:off x="27373950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8" name="TextBox 267">
              <a:extLst>
                <a:ext uri="{FF2B5EF4-FFF2-40B4-BE49-F238E27FC236}">
                  <a16:creationId xmlns:a16="http://schemas.microsoft.com/office/drawing/2014/main" id="{4817FF6A-591E-694C-8DF7-9A521DAF1646}"/>
                </a:ext>
              </a:extLst>
            </xdr:cNvPr>
            <xdr:cNvSpPr txBox="1"/>
          </xdr:nvSpPr>
          <xdr:spPr>
            <a:xfrm>
              <a:off x="28306493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pic>
        <xdr:nvPicPr>
          <xdr:cNvPr id="270" name="Picture 269">
            <a:extLst>
              <a:ext uri="{FF2B5EF4-FFF2-40B4-BE49-F238E27FC236}">
                <a16:creationId xmlns:a16="http://schemas.microsoft.com/office/drawing/2014/main" id="{EA593EFC-4179-3746-9F7E-701F3E473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5060778"/>
            <a:ext cx="5328252" cy="3279851"/>
          </a:xfrm>
          <a:prstGeom prst="rect">
            <a:avLst/>
          </a:prstGeom>
        </xdr:spPr>
      </xdr:pic>
      <xdr:sp macro="" textlink="Location2ANALYSIS!#REF!">
        <xdr:nvSpPr>
          <xdr:cNvPr id="271" name="TextBox 270">
            <a:extLst>
              <a:ext uri="{FF2B5EF4-FFF2-40B4-BE49-F238E27FC236}">
                <a16:creationId xmlns:a16="http://schemas.microsoft.com/office/drawing/2014/main" id="{F29C8102-64EE-8049-8143-FB843F31380B}"/>
              </a:ext>
            </a:extLst>
          </xdr:cNvPr>
          <xdr:cNvSpPr txBox="1"/>
        </xdr:nvSpPr>
        <xdr:spPr>
          <a:xfrm>
            <a:off x="2538551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0F8077-0BD9-634C-8514-5DDABFD9967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272" name="TextBox 271">
            <a:extLst>
              <a:ext uri="{FF2B5EF4-FFF2-40B4-BE49-F238E27FC236}">
                <a16:creationId xmlns:a16="http://schemas.microsoft.com/office/drawing/2014/main" id="{19F070C2-9194-7847-9867-F6C6FC7E40A5}"/>
              </a:ext>
            </a:extLst>
          </xdr:cNvPr>
          <xdr:cNvSpPr txBox="1"/>
        </xdr:nvSpPr>
        <xdr:spPr>
          <a:xfrm>
            <a:off x="2581002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273" name="TextBox 272">
            <a:extLst>
              <a:ext uri="{FF2B5EF4-FFF2-40B4-BE49-F238E27FC236}">
                <a16:creationId xmlns:a16="http://schemas.microsoft.com/office/drawing/2014/main" id="{E1DCA745-CF26-E049-9E76-C745470F90F0}"/>
              </a:ext>
            </a:extLst>
          </xdr:cNvPr>
          <xdr:cNvSpPr txBox="1"/>
        </xdr:nvSpPr>
        <xdr:spPr>
          <a:xfrm>
            <a:off x="25566914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2ANALYSIS!#REF!">
        <xdr:nvSpPr>
          <xdr:cNvPr id="274" name="TextBox 273">
            <a:extLst>
              <a:ext uri="{FF2B5EF4-FFF2-40B4-BE49-F238E27FC236}">
                <a16:creationId xmlns:a16="http://schemas.microsoft.com/office/drawing/2014/main" id="{CA8F0F1B-0EE7-9940-A9D9-FF1892408CBA}"/>
              </a:ext>
            </a:extLst>
          </xdr:cNvPr>
          <xdr:cNvSpPr txBox="1"/>
        </xdr:nvSpPr>
        <xdr:spPr>
          <a:xfrm>
            <a:off x="26318031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3D26E6F-7A09-8546-BE2F-88D4A6CAACB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275" name="TextBox 274">
            <a:extLst>
              <a:ext uri="{FF2B5EF4-FFF2-40B4-BE49-F238E27FC236}">
                <a16:creationId xmlns:a16="http://schemas.microsoft.com/office/drawing/2014/main" id="{CF27BA82-78A5-C44D-A72A-E7995BAAD89D}"/>
              </a:ext>
            </a:extLst>
          </xdr:cNvPr>
          <xdr:cNvSpPr txBox="1"/>
        </xdr:nvSpPr>
        <xdr:spPr>
          <a:xfrm>
            <a:off x="26561144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6" name="TextBox 275">
            <a:extLst>
              <a:ext uri="{FF2B5EF4-FFF2-40B4-BE49-F238E27FC236}">
                <a16:creationId xmlns:a16="http://schemas.microsoft.com/office/drawing/2014/main" id="{97EAE0C8-33C5-3742-B0B3-8982E0F04373}"/>
              </a:ext>
            </a:extLst>
          </xdr:cNvPr>
          <xdr:cNvSpPr txBox="1"/>
        </xdr:nvSpPr>
        <xdr:spPr>
          <a:xfrm>
            <a:off x="26553888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77" name="TextBox 276">
            <a:extLst>
              <a:ext uri="{FF2B5EF4-FFF2-40B4-BE49-F238E27FC236}">
                <a16:creationId xmlns:a16="http://schemas.microsoft.com/office/drawing/2014/main" id="{2B7D7411-92D8-7C49-AC7F-BB0FACEF3196}"/>
              </a:ext>
            </a:extLst>
          </xdr:cNvPr>
          <xdr:cNvSpPr txBox="1"/>
        </xdr:nvSpPr>
        <xdr:spPr>
          <a:xfrm>
            <a:off x="27631577" y="5529941"/>
            <a:ext cx="2948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62A01C1-B4D3-A14F-8F40-34CFE84384B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9" name="TextBox 278">
            <a:extLst>
              <a:ext uri="{FF2B5EF4-FFF2-40B4-BE49-F238E27FC236}">
                <a16:creationId xmlns:a16="http://schemas.microsoft.com/office/drawing/2014/main" id="{D3F0A302-FCA6-7D4F-BCBE-5B1CAF72669E}"/>
              </a:ext>
            </a:extLst>
          </xdr:cNvPr>
          <xdr:cNvSpPr txBox="1"/>
        </xdr:nvSpPr>
        <xdr:spPr>
          <a:xfrm>
            <a:off x="27867434" y="5529941"/>
            <a:ext cx="307575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0" name="TextBox 279">
            <a:extLst>
              <a:ext uri="{FF2B5EF4-FFF2-40B4-BE49-F238E27FC236}">
                <a16:creationId xmlns:a16="http://schemas.microsoft.com/office/drawing/2014/main" id="{F9E12FA1-E94F-5A4F-BCCD-475EE7909048}"/>
              </a:ext>
            </a:extLst>
          </xdr:cNvPr>
          <xdr:cNvSpPr txBox="1"/>
        </xdr:nvSpPr>
        <xdr:spPr>
          <a:xfrm>
            <a:off x="2887255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211E6-A3F4-A449-90AA-2754860E52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7">
        <xdr:nvSpPr>
          <xdr:cNvPr id="281" name="TextBox 280">
            <a:extLst>
              <a:ext uri="{FF2B5EF4-FFF2-40B4-BE49-F238E27FC236}">
                <a16:creationId xmlns:a16="http://schemas.microsoft.com/office/drawing/2014/main" id="{49D74557-B782-6E40-8243-8542CCFC827A}"/>
              </a:ext>
            </a:extLst>
          </xdr:cNvPr>
          <xdr:cNvSpPr txBox="1"/>
        </xdr:nvSpPr>
        <xdr:spPr>
          <a:xfrm>
            <a:off x="2855323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7E16266-A6DD-634E-BF3C-43EC7D8D20D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2" name="TextBox 281">
            <a:extLst>
              <a:ext uri="{FF2B5EF4-FFF2-40B4-BE49-F238E27FC236}">
                <a16:creationId xmlns:a16="http://schemas.microsoft.com/office/drawing/2014/main" id="{425D7BD8-B843-5A46-BC6B-3138E0442BE7}"/>
              </a:ext>
            </a:extLst>
          </xdr:cNvPr>
          <xdr:cNvSpPr txBox="1"/>
        </xdr:nvSpPr>
        <xdr:spPr>
          <a:xfrm>
            <a:off x="29108407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3" name="TextBox 282">
            <a:extLst>
              <a:ext uri="{FF2B5EF4-FFF2-40B4-BE49-F238E27FC236}">
                <a16:creationId xmlns:a16="http://schemas.microsoft.com/office/drawing/2014/main" id="{CCC00266-877F-2B41-AD8A-ACEBE037EDFE}"/>
              </a:ext>
            </a:extLst>
          </xdr:cNvPr>
          <xdr:cNvSpPr txBox="1"/>
        </xdr:nvSpPr>
        <xdr:spPr>
          <a:xfrm>
            <a:off x="29877665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284" name="TextBox 283">
            <a:extLst>
              <a:ext uri="{FF2B5EF4-FFF2-40B4-BE49-F238E27FC236}">
                <a16:creationId xmlns:a16="http://schemas.microsoft.com/office/drawing/2014/main" id="{7E27C3B7-86E1-2D48-91AF-DF43D7D75776}"/>
              </a:ext>
            </a:extLst>
          </xdr:cNvPr>
          <xdr:cNvSpPr txBox="1"/>
        </xdr:nvSpPr>
        <xdr:spPr>
          <a:xfrm>
            <a:off x="29503916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7B0EF3E8-1490-444A-81A5-9C8D55E583C0}"/>
              </a:ext>
            </a:extLst>
          </xdr:cNvPr>
          <xdr:cNvSpPr txBox="1"/>
        </xdr:nvSpPr>
        <xdr:spPr>
          <a:xfrm>
            <a:off x="30113522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6" name="TextBox 285">
            <a:extLst>
              <a:ext uri="{FF2B5EF4-FFF2-40B4-BE49-F238E27FC236}">
                <a16:creationId xmlns:a16="http://schemas.microsoft.com/office/drawing/2014/main" id="{1216AEB5-695A-4E41-98D8-DD0063DE7B94}"/>
              </a:ext>
            </a:extLst>
          </xdr:cNvPr>
          <xdr:cNvSpPr txBox="1"/>
        </xdr:nvSpPr>
        <xdr:spPr>
          <a:xfrm>
            <a:off x="2537463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1BCC6-93AD-224B-85B8-970A260AADD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287" name="TextBox 286">
            <a:extLst>
              <a:ext uri="{FF2B5EF4-FFF2-40B4-BE49-F238E27FC236}">
                <a16:creationId xmlns:a16="http://schemas.microsoft.com/office/drawing/2014/main" id="{3895990A-C0C0-C047-A32A-6DA1BDA55E1D}"/>
              </a:ext>
            </a:extLst>
          </xdr:cNvPr>
          <xdr:cNvSpPr txBox="1"/>
        </xdr:nvSpPr>
        <xdr:spPr>
          <a:xfrm>
            <a:off x="2579914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8" name="TextBox 287">
            <a:extLst>
              <a:ext uri="{FF2B5EF4-FFF2-40B4-BE49-F238E27FC236}">
                <a16:creationId xmlns:a16="http://schemas.microsoft.com/office/drawing/2014/main" id="{B41911BA-2868-EA40-8F99-F6F948293855}"/>
              </a:ext>
            </a:extLst>
          </xdr:cNvPr>
          <xdr:cNvSpPr txBox="1"/>
        </xdr:nvSpPr>
        <xdr:spPr>
          <a:xfrm>
            <a:off x="25556028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9" name="TextBox 288">
            <a:extLst>
              <a:ext uri="{FF2B5EF4-FFF2-40B4-BE49-F238E27FC236}">
                <a16:creationId xmlns:a16="http://schemas.microsoft.com/office/drawing/2014/main" id="{78D61AB6-B560-0347-B6CD-D8738E4DCFEC}"/>
              </a:ext>
            </a:extLst>
          </xdr:cNvPr>
          <xdr:cNvSpPr txBox="1"/>
        </xdr:nvSpPr>
        <xdr:spPr>
          <a:xfrm>
            <a:off x="26307145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A8AD7C-E914-A143-A10E-A6FC4B81828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290" name="TextBox 289">
            <a:extLst>
              <a:ext uri="{FF2B5EF4-FFF2-40B4-BE49-F238E27FC236}">
                <a16:creationId xmlns:a16="http://schemas.microsoft.com/office/drawing/2014/main" id="{1519352A-2F8F-5849-BBE3-C99D18DCEC28}"/>
              </a:ext>
            </a:extLst>
          </xdr:cNvPr>
          <xdr:cNvSpPr txBox="1"/>
        </xdr:nvSpPr>
        <xdr:spPr>
          <a:xfrm>
            <a:off x="26550258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1" name="TextBox 290">
            <a:extLst>
              <a:ext uri="{FF2B5EF4-FFF2-40B4-BE49-F238E27FC236}">
                <a16:creationId xmlns:a16="http://schemas.microsoft.com/office/drawing/2014/main" id="{9AB080F8-CAD9-F64D-962D-9734A2B776D3}"/>
              </a:ext>
            </a:extLst>
          </xdr:cNvPr>
          <xdr:cNvSpPr txBox="1"/>
        </xdr:nvSpPr>
        <xdr:spPr>
          <a:xfrm>
            <a:off x="26543002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2" name="TextBox 291">
            <a:extLst>
              <a:ext uri="{FF2B5EF4-FFF2-40B4-BE49-F238E27FC236}">
                <a16:creationId xmlns:a16="http://schemas.microsoft.com/office/drawing/2014/main" id="{388072F6-1A4A-554A-A960-AA0B1D3CE6C7}"/>
              </a:ext>
            </a:extLst>
          </xdr:cNvPr>
          <xdr:cNvSpPr txBox="1"/>
        </xdr:nvSpPr>
        <xdr:spPr>
          <a:xfrm>
            <a:off x="27620691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EDD30-FF5F-9D4A-AEB5-E1EAFECC4A8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4" name="TextBox 293">
            <a:extLst>
              <a:ext uri="{FF2B5EF4-FFF2-40B4-BE49-F238E27FC236}">
                <a16:creationId xmlns:a16="http://schemas.microsoft.com/office/drawing/2014/main" id="{9EEB0AE3-9668-0A49-B372-DCFE333FFDAF}"/>
              </a:ext>
            </a:extLst>
          </xdr:cNvPr>
          <xdr:cNvSpPr txBox="1"/>
        </xdr:nvSpPr>
        <xdr:spPr>
          <a:xfrm>
            <a:off x="27856548" y="6625769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5" name="TextBox 294">
            <a:extLst>
              <a:ext uri="{FF2B5EF4-FFF2-40B4-BE49-F238E27FC236}">
                <a16:creationId xmlns:a16="http://schemas.microsoft.com/office/drawing/2014/main" id="{DC2AA207-210D-E247-8D0A-8D2BB1A7E83C}"/>
              </a:ext>
            </a:extLst>
          </xdr:cNvPr>
          <xdr:cNvSpPr txBox="1"/>
        </xdr:nvSpPr>
        <xdr:spPr>
          <a:xfrm>
            <a:off x="2886166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BBA6BA-5625-1E4E-A825-0EB52740B41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2">
        <xdr:nvSpPr>
          <xdr:cNvPr id="296" name="TextBox 295">
            <a:extLst>
              <a:ext uri="{FF2B5EF4-FFF2-40B4-BE49-F238E27FC236}">
                <a16:creationId xmlns:a16="http://schemas.microsoft.com/office/drawing/2014/main" id="{B669560B-DE8B-3F4C-B103-A8DCD9158BB7}"/>
              </a:ext>
            </a:extLst>
          </xdr:cNvPr>
          <xdr:cNvSpPr txBox="1"/>
        </xdr:nvSpPr>
        <xdr:spPr>
          <a:xfrm>
            <a:off x="2854234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BDD5C5-DB97-FC44-8643-9A5ECF7057B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7" name="TextBox 296">
            <a:extLst>
              <a:ext uri="{FF2B5EF4-FFF2-40B4-BE49-F238E27FC236}">
                <a16:creationId xmlns:a16="http://schemas.microsoft.com/office/drawing/2014/main" id="{E1482536-6EC9-6649-816B-B9AAB41728FD}"/>
              </a:ext>
            </a:extLst>
          </xdr:cNvPr>
          <xdr:cNvSpPr txBox="1"/>
        </xdr:nvSpPr>
        <xdr:spPr>
          <a:xfrm>
            <a:off x="29097521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8" name="TextBox 297">
            <a:extLst>
              <a:ext uri="{FF2B5EF4-FFF2-40B4-BE49-F238E27FC236}">
                <a16:creationId xmlns:a16="http://schemas.microsoft.com/office/drawing/2014/main" id="{FA47B64B-7BC0-674D-AFAF-955E75345C11}"/>
              </a:ext>
            </a:extLst>
          </xdr:cNvPr>
          <xdr:cNvSpPr txBox="1"/>
        </xdr:nvSpPr>
        <xdr:spPr>
          <a:xfrm>
            <a:off x="29866779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69B685-DE2D-8049-BC53-ECFCCF4BFE9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299" name="TextBox 298">
            <a:extLst>
              <a:ext uri="{FF2B5EF4-FFF2-40B4-BE49-F238E27FC236}">
                <a16:creationId xmlns:a16="http://schemas.microsoft.com/office/drawing/2014/main" id="{C27DF544-63A9-3F44-B482-348408E8D9CE}"/>
              </a:ext>
            </a:extLst>
          </xdr:cNvPr>
          <xdr:cNvSpPr txBox="1"/>
        </xdr:nvSpPr>
        <xdr:spPr>
          <a:xfrm>
            <a:off x="29493030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0" name="TextBox 299">
            <a:extLst>
              <a:ext uri="{FF2B5EF4-FFF2-40B4-BE49-F238E27FC236}">
                <a16:creationId xmlns:a16="http://schemas.microsoft.com/office/drawing/2014/main" id="{9FFFF917-7C52-7245-BF69-F6C712889F05}"/>
              </a:ext>
            </a:extLst>
          </xdr:cNvPr>
          <xdr:cNvSpPr txBox="1"/>
        </xdr:nvSpPr>
        <xdr:spPr>
          <a:xfrm>
            <a:off x="30102636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1" name="TextBox 300">
            <a:extLst>
              <a:ext uri="{FF2B5EF4-FFF2-40B4-BE49-F238E27FC236}">
                <a16:creationId xmlns:a16="http://schemas.microsoft.com/office/drawing/2014/main" id="{34CE0CFB-EA74-1546-B5D0-FE2D5398ADFF}"/>
              </a:ext>
            </a:extLst>
          </xdr:cNvPr>
          <xdr:cNvSpPr txBox="1"/>
        </xdr:nvSpPr>
        <xdr:spPr>
          <a:xfrm>
            <a:off x="25381890" y="773974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DEAFB7-D193-5944-8711-1D472854C29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302" name="TextBox 301">
            <a:extLst>
              <a:ext uri="{FF2B5EF4-FFF2-40B4-BE49-F238E27FC236}">
                <a16:creationId xmlns:a16="http://schemas.microsoft.com/office/drawing/2014/main" id="{1CE09A6D-A623-6745-BBFE-30A3720D018C}"/>
              </a:ext>
            </a:extLst>
          </xdr:cNvPr>
          <xdr:cNvSpPr txBox="1"/>
        </xdr:nvSpPr>
        <xdr:spPr>
          <a:xfrm>
            <a:off x="2580640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08365DEA-0FD8-AD4E-B87B-CA090ECCA154}"/>
              </a:ext>
            </a:extLst>
          </xdr:cNvPr>
          <xdr:cNvSpPr txBox="1"/>
        </xdr:nvSpPr>
        <xdr:spPr>
          <a:xfrm>
            <a:off x="25563285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4" name="TextBox 303">
            <a:extLst>
              <a:ext uri="{FF2B5EF4-FFF2-40B4-BE49-F238E27FC236}">
                <a16:creationId xmlns:a16="http://schemas.microsoft.com/office/drawing/2014/main" id="{3F83B5CD-5FBC-8944-9C04-F8A56D62F380}"/>
              </a:ext>
            </a:extLst>
          </xdr:cNvPr>
          <xdr:cNvSpPr txBox="1"/>
        </xdr:nvSpPr>
        <xdr:spPr>
          <a:xfrm>
            <a:off x="26314402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0DDD1E2-759F-F84B-9AD6-89A5F52077C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305" name="TextBox 304">
            <a:extLst>
              <a:ext uri="{FF2B5EF4-FFF2-40B4-BE49-F238E27FC236}">
                <a16:creationId xmlns:a16="http://schemas.microsoft.com/office/drawing/2014/main" id="{90843CD3-AC3E-E145-92CD-A0D1D65E4D8C}"/>
              </a:ext>
            </a:extLst>
          </xdr:cNvPr>
          <xdr:cNvSpPr txBox="1"/>
        </xdr:nvSpPr>
        <xdr:spPr>
          <a:xfrm>
            <a:off x="26557515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6" name="TextBox 305">
            <a:extLst>
              <a:ext uri="{FF2B5EF4-FFF2-40B4-BE49-F238E27FC236}">
                <a16:creationId xmlns:a16="http://schemas.microsoft.com/office/drawing/2014/main" id="{6EF2FA48-8009-324A-BD3F-D893435076D4}"/>
              </a:ext>
            </a:extLst>
          </xdr:cNvPr>
          <xdr:cNvSpPr txBox="1"/>
        </xdr:nvSpPr>
        <xdr:spPr>
          <a:xfrm>
            <a:off x="26550259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7" name="TextBox 306">
            <a:extLst>
              <a:ext uri="{FF2B5EF4-FFF2-40B4-BE49-F238E27FC236}">
                <a16:creationId xmlns:a16="http://schemas.microsoft.com/office/drawing/2014/main" id="{DF858168-C2F9-2249-B4F1-26F1751F20CF}"/>
              </a:ext>
            </a:extLst>
          </xdr:cNvPr>
          <xdr:cNvSpPr txBox="1"/>
        </xdr:nvSpPr>
        <xdr:spPr>
          <a:xfrm>
            <a:off x="27627948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C9AE186-D5CE-264C-87BE-12BBBA898EA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6">
        <xdr:nvSpPr>
          <xdr:cNvPr id="308" name="TextBox 307">
            <a:extLst>
              <a:ext uri="{FF2B5EF4-FFF2-40B4-BE49-F238E27FC236}">
                <a16:creationId xmlns:a16="http://schemas.microsoft.com/office/drawing/2014/main" id="{1B706642-9113-5F4F-97D2-B94729A1F7BB}"/>
              </a:ext>
            </a:extLst>
          </xdr:cNvPr>
          <xdr:cNvSpPr txBox="1"/>
        </xdr:nvSpPr>
        <xdr:spPr>
          <a:xfrm>
            <a:off x="2756263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B82DCF1-8DFE-634C-85F1-EF9386709DD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9" name="TextBox 308">
            <a:extLst>
              <a:ext uri="{FF2B5EF4-FFF2-40B4-BE49-F238E27FC236}">
                <a16:creationId xmlns:a16="http://schemas.microsoft.com/office/drawing/2014/main" id="{43498A5A-3ED6-6241-AF76-FB93E1B401E4}"/>
              </a:ext>
            </a:extLst>
          </xdr:cNvPr>
          <xdr:cNvSpPr txBox="1"/>
        </xdr:nvSpPr>
        <xdr:spPr>
          <a:xfrm>
            <a:off x="27863805" y="773974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10" name="TextBox 309">
            <a:extLst>
              <a:ext uri="{FF2B5EF4-FFF2-40B4-BE49-F238E27FC236}">
                <a16:creationId xmlns:a16="http://schemas.microsoft.com/office/drawing/2014/main" id="{32FD0F3B-7DC5-7040-A80E-53C40C8A716E}"/>
              </a:ext>
            </a:extLst>
          </xdr:cNvPr>
          <xdr:cNvSpPr txBox="1"/>
        </xdr:nvSpPr>
        <xdr:spPr>
          <a:xfrm>
            <a:off x="2886892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951D2EB-127A-E542-B63D-2DE090D5742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7">
        <xdr:nvSpPr>
          <xdr:cNvPr id="311" name="TextBox 310">
            <a:extLst>
              <a:ext uri="{FF2B5EF4-FFF2-40B4-BE49-F238E27FC236}">
                <a16:creationId xmlns:a16="http://schemas.microsoft.com/office/drawing/2014/main" id="{720C68B2-5144-0744-ABAE-26D6E8813436}"/>
              </a:ext>
            </a:extLst>
          </xdr:cNvPr>
          <xdr:cNvSpPr txBox="1"/>
        </xdr:nvSpPr>
        <xdr:spPr>
          <a:xfrm>
            <a:off x="2854960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BEA346-42A2-4E48-A843-327D3217195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2" name="TextBox 311">
            <a:extLst>
              <a:ext uri="{FF2B5EF4-FFF2-40B4-BE49-F238E27FC236}">
                <a16:creationId xmlns:a16="http://schemas.microsoft.com/office/drawing/2014/main" id="{A89EA0E5-D972-074C-A71E-6ACCA1B0E47E}"/>
              </a:ext>
            </a:extLst>
          </xdr:cNvPr>
          <xdr:cNvSpPr txBox="1"/>
        </xdr:nvSpPr>
        <xdr:spPr>
          <a:xfrm>
            <a:off x="29104778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13" name="TextBox 312">
            <a:extLst>
              <a:ext uri="{FF2B5EF4-FFF2-40B4-BE49-F238E27FC236}">
                <a16:creationId xmlns:a16="http://schemas.microsoft.com/office/drawing/2014/main" id="{FA3E02AA-9C23-874C-954A-01C806267BDF}"/>
              </a:ext>
            </a:extLst>
          </xdr:cNvPr>
          <xdr:cNvSpPr txBox="1"/>
        </xdr:nvSpPr>
        <xdr:spPr>
          <a:xfrm>
            <a:off x="29874036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820509-CC39-F847-8BF1-9DE0EF0A48E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314" name="TextBox 313">
            <a:extLst>
              <a:ext uri="{FF2B5EF4-FFF2-40B4-BE49-F238E27FC236}">
                <a16:creationId xmlns:a16="http://schemas.microsoft.com/office/drawing/2014/main" id="{BCBFD0A7-70E0-704D-9F7A-2A24699F3029}"/>
              </a:ext>
            </a:extLst>
          </xdr:cNvPr>
          <xdr:cNvSpPr txBox="1"/>
        </xdr:nvSpPr>
        <xdr:spPr>
          <a:xfrm>
            <a:off x="29500287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FFD24BDF-246C-2A4E-9DEC-7587197E5CD0}"/>
              </a:ext>
            </a:extLst>
          </xdr:cNvPr>
          <xdr:cNvSpPr txBox="1"/>
        </xdr:nvSpPr>
        <xdr:spPr>
          <a:xfrm>
            <a:off x="30109893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2">
        <xdr:nvSpPr>
          <xdr:cNvPr id="318" name="Rectangle 317">
            <a:extLst>
              <a:ext uri="{FF2B5EF4-FFF2-40B4-BE49-F238E27FC236}">
                <a16:creationId xmlns:a16="http://schemas.microsoft.com/office/drawing/2014/main" id="{2E587A74-AFA4-A44C-A4EC-5181A6329A6F}"/>
              </a:ext>
            </a:extLst>
          </xdr:cNvPr>
          <xdr:cNvSpPr>
            <a:spLocks noChangeAspect="1"/>
          </xdr:cNvSpPr>
        </xdr:nvSpPr>
        <xdr:spPr>
          <a:xfrm>
            <a:off x="27577147" y="4330697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3">
        <xdr:nvSpPr>
          <xdr:cNvPr id="319" name="Rectangle 318">
            <a:extLst>
              <a:ext uri="{FF2B5EF4-FFF2-40B4-BE49-F238E27FC236}">
                <a16:creationId xmlns:a16="http://schemas.microsoft.com/office/drawing/2014/main" id="{76DF6255-49D9-E94E-85C6-96DAB3CCA907}"/>
              </a:ext>
            </a:extLst>
          </xdr:cNvPr>
          <xdr:cNvSpPr>
            <a:spLocks noChangeAspect="1"/>
          </xdr:cNvSpPr>
        </xdr:nvSpPr>
        <xdr:spPr>
          <a:xfrm>
            <a:off x="25262121" y="4312554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38%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4">
        <xdr:nvSpPr>
          <xdr:cNvPr id="320" name="Rectangle 319">
            <a:extLst>
              <a:ext uri="{FF2B5EF4-FFF2-40B4-BE49-F238E27FC236}">
                <a16:creationId xmlns:a16="http://schemas.microsoft.com/office/drawing/2014/main" id="{43ABA3F6-1B24-B545-8CC1-D5D4213344DA}"/>
              </a:ext>
            </a:extLst>
          </xdr:cNvPr>
          <xdr:cNvSpPr>
            <a:spLocks noChangeAspect="1"/>
          </xdr:cNvSpPr>
        </xdr:nvSpPr>
        <xdr:spPr>
          <a:xfrm>
            <a:off x="26303522" y="4312554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0">
        <xdr:nvSpPr>
          <xdr:cNvPr id="327" name="Rectangle 326">
            <a:extLst>
              <a:ext uri="{FF2B5EF4-FFF2-40B4-BE49-F238E27FC236}">
                <a16:creationId xmlns:a16="http://schemas.microsoft.com/office/drawing/2014/main" id="{83AB2E79-B9AE-694C-A8F0-FCFED5222E49}"/>
              </a:ext>
            </a:extLst>
          </xdr:cNvPr>
          <xdr:cNvSpPr>
            <a:spLocks noChangeAspect="1"/>
          </xdr:cNvSpPr>
        </xdr:nvSpPr>
        <xdr:spPr>
          <a:xfrm>
            <a:off x="2530202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213CA0D-6D1C-0A48-AC87-74A30E4FFF8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i="0"/>
          </a:p>
        </xdr:txBody>
      </xdr:sp>
      <xdr:sp macro="" textlink="Location2ANALYSIS!L31">
        <xdr:nvSpPr>
          <xdr:cNvPr id="328" name="Rectangle 327">
            <a:extLst>
              <a:ext uri="{FF2B5EF4-FFF2-40B4-BE49-F238E27FC236}">
                <a16:creationId xmlns:a16="http://schemas.microsoft.com/office/drawing/2014/main" id="{4CA69471-D72C-6F42-AD13-84AE43420D97}"/>
              </a:ext>
            </a:extLst>
          </xdr:cNvPr>
          <xdr:cNvSpPr>
            <a:spLocks noChangeAspect="1"/>
          </xdr:cNvSpPr>
        </xdr:nvSpPr>
        <xdr:spPr>
          <a:xfrm>
            <a:off x="26325288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4847D94-E55D-4C41-84B9-BE87FD6282B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2">
        <xdr:nvSpPr>
          <xdr:cNvPr id="329" name="Rectangle 328">
            <a:extLst>
              <a:ext uri="{FF2B5EF4-FFF2-40B4-BE49-F238E27FC236}">
                <a16:creationId xmlns:a16="http://schemas.microsoft.com/office/drawing/2014/main" id="{4E29FD6F-1A88-0841-AFAA-C2D9ECA06333}"/>
              </a:ext>
            </a:extLst>
          </xdr:cNvPr>
          <xdr:cNvSpPr>
            <a:spLocks noChangeAspect="1"/>
          </xdr:cNvSpPr>
        </xdr:nvSpPr>
        <xdr:spPr>
          <a:xfrm>
            <a:off x="27656976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FA750B1-05D0-9C44-B9EF-B9B433792C0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40%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3">
        <xdr:nvSpPr>
          <xdr:cNvPr id="330" name="Rectangle 329">
            <a:extLst>
              <a:ext uri="{FF2B5EF4-FFF2-40B4-BE49-F238E27FC236}">
                <a16:creationId xmlns:a16="http://schemas.microsoft.com/office/drawing/2014/main" id="{04B4AC12-BDE4-AD48-B636-B05764D3771A}"/>
              </a:ext>
            </a:extLst>
          </xdr:cNvPr>
          <xdr:cNvSpPr>
            <a:spLocks noChangeAspect="1"/>
          </xdr:cNvSpPr>
        </xdr:nvSpPr>
        <xdr:spPr>
          <a:xfrm>
            <a:off x="2889794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9D61B72-8375-7541-9AFF-95E21415E1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4">
        <xdr:nvSpPr>
          <xdr:cNvPr id="331" name="Rectangle 330">
            <a:extLst>
              <a:ext uri="{FF2B5EF4-FFF2-40B4-BE49-F238E27FC236}">
                <a16:creationId xmlns:a16="http://schemas.microsoft.com/office/drawing/2014/main" id="{DD7DB60D-00AE-7C44-8D41-2E8E278795E2}"/>
              </a:ext>
            </a:extLst>
          </xdr:cNvPr>
          <xdr:cNvSpPr>
            <a:spLocks noChangeAspect="1"/>
          </xdr:cNvSpPr>
        </xdr:nvSpPr>
        <xdr:spPr>
          <a:xfrm>
            <a:off x="29939350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BB478C-F917-E743-A4D3-BCCC79AF77E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40" name="Rectangle 339">
            <a:extLst>
              <a:ext uri="{FF2B5EF4-FFF2-40B4-BE49-F238E27FC236}">
                <a16:creationId xmlns:a16="http://schemas.microsoft.com/office/drawing/2014/main" id="{F288A320-85AE-2742-9A0F-BFE53C80D81B}"/>
              </a:ext>
            </a:extLst>
          </xdr:cNvPr>
          <xdr:cNvSpPr>
            <a:spLocks noChangeAspect="1"/>
          </xdr:cNvSpPr>
        </xdr:nvSpPr>
        <xdr:spPr>
          <a:xfrm>
            <a:off x="27580771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AF20377-D41E-E64D-9153-B747699CF322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41" name="Rectangle 340">
            <a:extLst>
              <a:ext uri="{FF2B5EF4-FFF2-40B4-BE49-F238E27FC236}">
                <a16:creationId xmlns:a16="http://schemas.microsoft.com/office/drawing/2014/main" id="{91D05D16-842F-8D49-A5B6-476B1BC1127A}"/>
              </a:ext>
            </a:extLst>
          </xdr:cNvPr>
          <xdr:cNvSpPr>
            <a:spLocks noChangeAspect="1"/>
          </xdr:cNvSpPr>
        </xdr:nvSpPr>
        <xdr:spPr>
          <a:xfrm>
            <a:off x="27577267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FFA9363-44F0-1542-AC2B-29CDC86B3C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7" name="TextBox 386">
            <a:extLst>
              <a:ext uri="{FF2B5EF4-FFF2-40B4-BE49-F238E27FC236}">
                <a16:creationId xmlns:a16="http://schemas.microsoft.com/office/drawing/2014/main" id="{CF1E2F90-2410-1E48-87BC-7144B9CDB6D4}"/>
              </a:ext>
            </a:extLst>
          </xdr:cNvPr>
          <xdr:cNvSpPr txBox="1"/>
        </xdr:nvSpPr>
        <xdr:spPr>
          <a:xfrm>
            <a:off x="25828204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ADD696A-F4B6-2B4A-A75E-8F3D281571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8" name="TextBox 387">
            <a:extLst>
              <a:ext uri="{FF2B5EF4-FFF2-40B4-BE49-F238E27FC236}">
                <a16:creationId xmlns:a16="http://schemas.microsoft.com/office/drawing/2014/main" id="{F579904F-9D58-4341-8E79-349FD3FB5119}"/>
              </a:ext>
            </a:extLst>
          </xdr:cNvPr>
          <xdr:cNvSpPr txBox="1"/>
        </xdr:nvSpPr>
        <xdr:spPr>
          <a:xfrm>
            <a:off x="26797001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9AC113-79EE-5E4A-927E-308878EF09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9" name="TextBox 388">
            <a:extLst>
              <a:ext uri="{FF2B5EF4-FFF2-40B4-BE49-F238E27FC236}">
                <a16:creationId xmlns:a16="http://schemas.microsoft.com/office/drawing/2014/main" id="{5D341BF9-020E-2D4D-BE00-FA6F8AE9EE6F}"/>
              </a:ext>
            </a:extLst>
          </xdr:cNvPr>
          <xdr:cNvSpPr txBox="1"/>
        </xdr:nvSpPr>
        <xdr:spPr>
          <a:xfrm>
            <a:off x="28037976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69B93C-F067-434F-B184-02BB32E459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4" name="TextBox 423">
            <a:extLst>
              <a:ext uri="{FF2B5EF4-FFF2-40B4-BE49-F238E27FC236}">
                <a16:creationId xmlns:a16="http://schemas.microsoft.com/office/drawing/2014/main" id="{8E714654-C15B-2546-B7F5-733C0095189F}"/>
              </a:ext>
            </a:extLst>
          </xdr:cNvPr>
          <xdr:cNvSpPr txBox="1"/>
        </xdr:nvSpPr>
        <xdr:spPr>
          <a:xfrm>
            <a:off x="29278949" y="770713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B3B6F7-20D1-B24B-BCCD-1C025C5E6F4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5" name="TextBox 424">
            <a:extLst>
              <a:ext uri="{FF2B5EF4-FFF2-40B4-BE49-F238E27FC236}">
                <a16:creationId xmlns:a16="http://schemas.microsoft.com/office/drawing/2014/main" id="{B51E9155-6632-594F-BA0A-C7D96FAE48EC}"/>
              </a:ext>
            </a:extLst>
          </xdr:cNvPr>
          <xdr:cNvSpPr txBox="1"/>
        </xdr:nvSpPr>
        <xdr:spPr>
          <a:xfrm>
            <a:off x="25804618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1F9119F-2EF0-9746-8B51-5E1348E338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6" name="TextBox 425">
            <a:extLst>
              <a:ext uri="{FF2B5EF4-FFF2-40B4-BE49-F238E27FC236}">
                <a16:creationId xmlns:a16="http://schemas.microsoft.com/office/drawing/2014/main" id="{1656152B-F55E-1040-A6B4-4BF0AF2DC8AF}"/>
              </a:ext>
            </a:extLst>
          </xdr:cNvPr>
          <xdr:cNvSpPr txBox="1"/>
        </xdr:nvSpPr>
        <xdr:spPr>
          <a:xfrm>
            <a:off x="26786115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348CD7-E6D8-7D4E-82DA-1DFF1E3C78F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7" name="TextBox 426">
            <a:extLst>
              <a:ext uri="{FF2B5EF4-FFF2-40B4-BE49-F238E27FC236}">
                <a16:creationId xmlns:a16="http://schemas.microsoft.com/office/drawing/2014/main" id="{83423BA3-111F-6947-B1AB-4B50F35D3423}"/>
              </a:ext>
            </a:extLst>
          </xdr:cNvPr>
          <xdr:cNvSpPr txBox="1"/>
        </xdr:nvSpPr>
        <xdr:spPr>
          <a:xfrm>
            <a:off x="28027090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573855-3E6E-4141-A5B8-C917708200F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8" name="TextBox 427">
            <a:extLst>
              <a:ext uri="{FF2B5EF4-FFF2-40B4-BE49-F238E27FC236}">
                <a16:creationId xmlns:a16="http://schemas.microsoft.com/office/drawing/2014/main" id="{B98FF36A-4D34-A248-A7AD-DCDBE5AEC578}"/>
              </a:ext>
            </a:extLst>
          </xdr:cNvPr>
          <xdr:cNvSpPr txBox="1"/>
        </xdr:nvSpPr>
        <xdr:spPr>
          <a:xfrm>
            <a:off x="29268063" y="6643942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5576-F569-704C-807D-CBFA140A20F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9" name="TextBox 428">
            <a:extLst>
              <a:ext uri="{FF2B5EF4-FFF2-40B4-BE49-F238E27FC236}">
                <a16:creationId xmlns:a16="http://schemas.microsoft.com/office/drawing/2014/main" id="{EFE5B12A-54AF-4A4C-8EC2-FDAEA50A2172}"/>
              </a:ext>
            </a:extLst>
          </xdr:cNvPr>
          <xdr:cNvSpPr txBox="1"/>
        </xdr:nvSpPr>
        <xdr:spPr>
          <a:xfrm>
            <a:off x="30309463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AFF42B-AD3A-CF40-B7AA-0469D0F8344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0" name="TextBox 429">
            <a:extLst>
              <a:ext uri="{FF2B5EF4-FFF2-40B4-BE49-F238E27FC236}">
                <a16:creationId xmlns:a16="http://schemas.microsoft.com/office/drawing/2014/main" id="{5515B0B6-E88E-A64F-9901-EC1DD2BD4A91}"/>
              </a:ext>
            </a:extLst>
          </xdr:cNvPr>
          <xdr:cNvSpPr txBox="1"/>
        </xdr:nvSpPr>
        <xdr:spPr>
          <a:xfrm>
            <a:off x="25824575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680111-8556-3244-99CA-21CF8C7FB1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1" name="TextBox 430">
            <a:extLst>
              <a:ext uri="{FF2B5EF4-FFF2-40B4-BE49-F238E27FC236}">
                <a16:creationId xmlns:a16="http://schemas.microsoft.com/office/drawing/2014/main" id="{B9DE3EBE-CD04-1545-BB05-BC2D97640434}"/>
              </a:ext>
            </a:extLst>
          </xdr:cNvPr>
          <xdr:cNvSpPr txBox="1"/>
        </xdr:nvSpPr>
        <xdr:spPr>
          <a:xfrm>
            <a:off x="26793372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B8BDEE-DCDD-914D-B050-21ABD389ED5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2" name="TextBox 431">
            <a:extLst>
              <a:ext uri="{FF2B5EF4-FFF2-40B4-BE49-F238E27FC236}">
                <a16:creationId xmlns:a16="http://schemas.microsoft.com/office/drawing/2014/main" id="{FB23DA8F-74A9-5443-AAB8-33910078A8B3}"/>
              </a:ext>
            </a:extLst>
          </xdr:cNvPr>
          <xdr:cNvSpPr txBox="1"/>
        </xdr:nvSpPr>
        <xdr:spPr>
          <a:xfrm>
            <a:off x="28034347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0903F92-039F-0348-8096-6E3F5777D18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3" name="TextBox 432">
            <a:extLst>
              <a:ext uri="{FF2B5EF4-FFF2-40B4-BE49-F238E27FC236}">
                <a16:creationId xmlns:a16="http://schemas.microsoft.com/office/drawing/2014/main" id="{FD658352-2AAE-A240-B895-72B10F0B418F}"/>
              </a:ext>
            </a:extLst>
          </xdr:cNvPr>
          <xdr:cNvSpPr txBox="1"/>
        </xdr:nvSpPr>
        <xdr:spPr>
          <a:xfrm>
            <a:off x="29275320" y="5499110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53B7BB3-A81B-DF46-BAF8-04CE3F92752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4" name="TextBox 433">
            <a:extLst>
              <a:ext uri="{FF2B5EF4-FFF2-40B4-BE49-F238E27FC236}">
                <a16:creationId xmlns:a16="http://schemas.microsoft.com/office/drawing/2014/main" id="{AEA26568-F900-6E4E-9869-4440874948D5}"/>
              </a:ext>
            </a:extLst>
          </xdr:cNvPr>
          <xdr:cNvSpPr txBox="1"/>
        </xdr:nvSpPr>
        <xdr:spPr>
          <a:xfrm>
            <a:off x="30316720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6" name="TextBox 435">
            <a:extLst>
              <a:ext uri="{FF2B5EF4-FFF2-40B4-BE49-F238E27FC236}">
                <a16:creationId xmlns:a16="http://schemas.microsoft.com/office/drawing/2014/main" id="{D10E13C2-8D80-AA48-B5AE-D41B14C987D6}"/>
              </a:ext>
            </a:extLst>
          </xdr:cNvPr>
          <xdr:cNvSpPr txBox="1"/>
        </xdr:nvSpPr>
        <xdr:spPr>
          <a:xfrm>
            <a:off x="30284063" y="77434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58105B-1C9F-A34E-B33C-CF6CF33753E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411" name="Rectangle 410">
            <a:extLst>
              <a:ext uri="{FF2B5EF4-FFF2-40B4-BE49-F238E27FC236}">
                <a16:creationId xmlns:a16="http://schemas.microsoft.com/office/drawing/2014/main" id="{AE2545CF-74AB-E444-B6F0-4636973F8189}"/>
              </a:ext>
            </a:extLst>
          </xdr:cNvPr>
          <xdr:cNvSpPr>
            <a:spLocks noChangeAspect="1"/>
          </xdr:cNvSpPr>
        </xdr:nvSpPr>
        <xdr:spPr>
          <a:xfrm>
            <a:off x="28734657" y="430966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1ANALYSIS!L31">
        <xdr:nvSpPr>
          <xdr:cNvPr id="417" name="Rectangle 416">
            <a:extLst>
              <a:ext uri="{FF2B5EF4-FFF2-40B4-BE49-F238E27FC236}">
                <a16:creationId xmlns:a16="http://schemas.microsoft.com/office/drawing/2014/main" id="{DE43E310-4969-4844-B409-4C8AEF9340FC}"/>
              </a:ext>
            </a:extLst>
          </xdr:cNvPr>
          <xdr:cNvSpPr>
            <a:spLocks noChangeAspect="1"/>
          </xdr:cNvSpPr>
        </xdr:nvSpPr>
        <xdr:spPr>
          <a:xfrm>
            <a:off x="29757916" y="4309660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59</xdr:col>
      <xdr:colOff>25400</xdr:colOff>
      <xdr:row>3</xdr:row>
      <xdr:rowOff>141513</xdr:rowOff>
    </xdr:from>
    <xdr:to>
      <xdr:col>60</xdr:col>
      <xdr:colOff>13788</xdr:colOff>
      <xdr:row>5</xdr:row>
      <xdr:rowOff>89261</xdr:rowOff>
    </xdr:to>
    <xdr:sp macro="" textlink="[1]Match!$C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9265114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5BC450-DC27-1048-A1EF-BEF83177449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8118489" y="1291767"/>
          <a:ext cx="4140900" cy="7908869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6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0C1498-54A5-8C4D-98C5-DA5655FCC8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7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70EF0C-C414-2D4F-9627-F9024EF09D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8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681EBA-A665-214E-9987-F8EF23F083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9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B9BDC-B241-E545-AA15-341644F9C61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0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DB58BFC-B6C8-5F4C-B3E6-2C999AB326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6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052163-054F-A54E-9328-B268D5FE0A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6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75694D9-F1A0-E540-A807-5BA3A2928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6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4B0620-1D2B-B74E-A918-DAC6A74854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6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8609038-8982-C344-8B3C-A75CB249C4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6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F0398-21A2-7343-8C69-22AC98535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6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905E5-4709-DD4C-810A-CBEC66B026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7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550B293-03E3-4D41-A6CB-6C9631BBF22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7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1D00E6-86FF-C942-A630-5FA697388F1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7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A0F9066-D4FA-924D-9AE5-5C69A22E8B5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7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941F119-A9A8-4345-8675-DEBEF19039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7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498DEA-4565-EB4E-B7FB-B16DA3F8BE5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7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DA6451-50D9-DF4A-A0B3-1490F204D53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8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9077FB-3F9C-294F-8AED-B593D5B82A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8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D1220E-9556-D147-A1A9-1E1D3896E7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8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23CD91-B60C-3B47-822C-1208E59C9B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8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1C5E89-B072-5D45-96DC-0533F081C1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8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D97AD1F-7EEC-D14B-A6E8-D073373D11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8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35ADB0-3100-4A4A-9DFC-3F72F31C28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9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816974-D61F-954D-B53C-4B6139B899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9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46DB16-F779-B549-A9CC-4DCDC3314C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9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9235C9-5E98-5C45-9FDA-01133CD03D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9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80C0F06-2643-964A-B9C6-3854708F9C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91%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9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2443C5-5F61-654A-A3B4-9A5A2761E5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9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63A1F7-0329-FE4D-A990-DFB2DEC5F0C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20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5844B7-8253-664E-AC6D-F49C82AB36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0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A63325-5AF0-4E48-84C7-7088993F3B2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0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73914AF-C9BE-1248-9971-BB34D4D7FC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0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EA2FF7-1B83-7C49-AA64-21BAA0728F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0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7D8568-F53F-6742-97AC-DF248B19D6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0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814097-CCB0-9247-AE8B-40FA508EE9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185775" y="1335310"/>
          <a:ext cx="4140900" cy="7923383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6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4F5476A-E144-BC47-886C-B4FB37CEB6B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7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7A3704-0161-7441-B5B7-6D85E722807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8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703E3F-8EDF-0340-B07E-6ABFD8489E9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9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3E0D04-624C-F84F-BC71-0B00C7D079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0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1053A0-A942-6244-84E0-DE10FC00B0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6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ED86E2-9962-6C47-B836-41D7420D51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6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5D7218-746D-C543-A112-E1BC8C4D715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6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B09DE7-BB94-AF4E-84F2-69D7165BCFB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6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10383ED-9A1B-7943-A1F5-1E3F63170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6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5800AB9-5A07-7F44-B2A4-4B06F6CCDE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6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5BE558-6A21-4141-8191-821E0BF27EB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7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D0878-AF92-CD41-86D0-6C291A56764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7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112CA6-C293-B54D-990A-804206529C2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7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0DAE0-B4B1-DD40-B1A3-22EF9274AF3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7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7B332B-0238-A34F-97A7-C89368D348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7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A5FC40-C332-144E-ABB1-6C8C0332D4C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7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5509CE-31B4-5649-95F2-B78FD81CE21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8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D65BA8C-ADF4-C142-B82C-E73AD4130EE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8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9BF329-5D36-3E40-92CF-E949855D82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8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168A56-600E-6347-80EB-B9299FBF8D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8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31E705-20B0-D04C-97FA-0FE035EE614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8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9A4EE62-D476-7F47-B33D-5F54EB45FD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8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257283-35D1-914C-8E48-1F77BF60053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9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71A8EE-9EB3-5240-840A-68DF4B1A9BD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9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D419BE-9ABC-2641-9651-03DBBFED1B9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9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9B2F017-27E1-8249-9CAA-1E77C22CE8E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9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0C4606-764E-1F49-AD01-3C565E7ED0C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9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D62DE6F-8AAA-804F-BD02-F15BE41144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9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1A024F5-8BEB-6846-8CE0-C9506E02FB3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20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36D973-2104-CA45-8008-A836A403F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0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C0F650D-8A63-5A43-B2A0-A79C861B52E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0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0925DD-BE35-DF41-89C6-9776D1178D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0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AAF4E0-3EE6-3D4B-AD95-9379CD7EF4F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0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174DF0-7587-E34D-AD87-A15DECA0DC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0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C8EAF3-0A0A-CA4D-991F-769D2A6F712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51</xdr:col>
      <xdr:colOff>787399</xdr:colOff>
      <xdr:row>4</xdr:row>
      <xdr:rowOff>14513</xdr:rowOff>
    </xdr:from>
    <xdr:to>
      <xdr:col>53</xdr:col>
      <xdr:colOff>32656</xdr:colOff>
      <xdr:row>5</xdr:row>
      <xdr:rowOff>125547</xdr:rowOff>
    </xdr:to>
    <xdr:sp macro="" textlink="[1]Match!$B$1">
      <xdr:nvSpPr>
        <xdr:cNvPr id="832" name="Rectangle 831">
          <a:extLst>
            <a:ext uri="{FF2B5EF4-FFF2-40B4-BE49-F238E27FC236}">
              <a16:creationId xmlns:a16="http://schemas.microsoft.com/office/drawing/2014/main" id="{555E7A35-A547-6543-9D23-D0E020F5B576}"/>
            </a:ext>
          </a:extLst>
        </xdr:cNvPr>
        <xdr:cNvSpPr>
          <a:spLocks/>
        </xdr:cNvSpPr>
      </xdr:nvSpPr>
      <xdr:spPr>
        <a:xfrm>
          <a:off x="43350542" y="667656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63</xdr:col>
      <xdr:colOff>443861</xdr:colOff>
      <xdr:row>11</xdr:row>
      <xdr:rowOff>0</xdr:rowOff>
    </xdr:from>
    <xdr:to>
      <xdr:col>69</xdr:col>
      <xdr:colOff>435739</xdr:colOff>
      <xdr:row>30</xdr:row>
      <xdr:rowOff>5065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117626CB-D251-0848-9AF1-5B4AD8DB5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/>
      </xdr:blipFill>
      <xdr:spPr>
        <a:xfrm>
          <a:off x="53021861" y="1796143"/>
          <a:ext cx="4999307" cy="3107493"/>
        </a:xfrm>
        <a:prstGeom prst="rect">
          <a:avLst/>
        </a:prstGeom>
      </xdr:spPr>
    </xdr:pic>
    <xdr:clientData/>
  </xdr:twoCellAnchor>
  <xdr:twoCellAnchor>
    <xdr:from>
      <xdr:col>68</xdr:col>
      <xdr:colOff>533388</xdr:colOff>
      <xdr:row>26</xdr:row>
      <xdr:rowOff>6539</xdr:rowOff>
    </xdr:from>
    <xdr:to>
      <xdr:col>69</xdr:col>
      <xdr:colOff>6391</xdr:colOff>
      <xdr:row>28</xdr:row>
      <xdr:rowOff>147981</xdr:rowOff>
    </xdr:to>
    <xdr:sp macro="" textlink="#REF!">
      <xdr:nvSpPr>
        <xdr:cNvPr id="835" name="TextBox 834">
          <a:extLst>
            <a:ext uri="{FF2B5EF4-FFF2-40B4-BE49-F238E27FC236}">
              <a16:creationId xmlns:a16="http://schemas.microsoft.com/office/drawing/2014/main" id="{2E454C44-7618-D543-8574-928291BFFA62}"/>
            </a:ext>
          </a:extLst>
        </xdr:cNvPr>
        <xdr:cNvSpPr txBox="1"/>
      </xdr:nvSpPr>
      <xdr:spPr>
        <a:xfrm>
          <a:off x="5728424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2352F45-D3A3-014F-B0FE-7A29C1A4247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362860</xdr:colOff>
      <xdr:row>26</xdr:row>
      <xdr:rowOff>6539</xdr:rowOff>
    </xdr:from>
    <xdr:to>
      <xdr:col>68</xdr:col>
      <xdr:colOff>267655</xdr:colOff>
      <xdr:row>28</xdr:row>
      <xdr:rowOff>147981</xdr:rowOff>
    </xdr:to>
    <xdr:sp macro="" textlink="#REF!">
      <xdr:nvSpPr>
        <xdr:cNvPr id="837" name="TextBox 836">
          <a:extLst>
            <a:ext uri="{FF2B5EF4-FFF2-40B4-BE49-F238E27FC236}">
              <a16:creationId xmlns:a16="http://schemas.microsoft.com/office/drawing/2014/main" id="{7E5AED5F-949D-6C40-8953-B87862BD332B}"/>
            </a:ext>
          </a:extLst>
        </xdr:cNvPr>
        <xdr:cNvSpPr txBox="1"/>
      </xdr:nvSpPr>
      <xdr:spPr>
        <a:xfrm>
          <a:off x="56279146" y="4251968"/>
          <a:ext cx="73936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1408A07-F010-834F-8B9D-791E387E44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580572</xdr:colOff>
      <xdr:row>22</xdr:row>
      <xdr:rowOff>151682</xdr:rowOff>
    </xdr:from>
    <xdr:to>
      <xdr:col>66</xdr:col>
      <xdr:colOff>365627</xdr:colOff>
      <xdr:row>25</xdr:row>
      <xdr:rowOff>129838</xdr:rowOff>
    </xdr:to>
    <xdr:sp macro="" textlink="#REF!">
      <xdr:nvSpPr>
        <xdr:cNvPr id="839" name="TextBox 838">
          <a:extLst>
            <a:ext uri="{FF2B5EF4-FFF2-40B4-BE49-F238E27FC236}">
              <a16:creationId xmlns:a16="http://schemas.microsoft.com/office/drawing/2014/main" id="{E9468D83-4D5B-8E45-84CD-E6FB8A39C6A8}"/>
            </a:ext>
          </a:extLst>
        </xdr:cNvPr>
        <xdr:cNvSpPr txBox="1"/>
      </xdr:nvSpPr>
      <xdr:spPr>
        <a:xfrm>
          <a:off x="54827715" y="3743968"/>
          <a:ext cx="6196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EAA075-1478-FB42-B6A2-9FB2FA5CA96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526146</xdr:colOff>
      <xdr:row>26</xdr:row>
      <xdr:rowOff>6539</xdr:rowOff>
    </xdr:from>
    <xdr:to>
      <xdr:col>65</xdr:col>
      <xdr:colOff>287616</xdr:colOff>
      <xdr:row>28</xdr:row>
      <xdr:rowOff>147981</xdr:rowOff>
    </xdr:to>
    <xdr:sp macro="" textlink="#REF!">
      <xdr:nvSpPr>
        <xdr:cNvPr id="841" name="TextBox 840">
          <a:extLst>
            <a:ext uri="{FF2B5EF4-FFF2-40B4-BE49-F238E27FC236}">
              <a16:creationId xmlns:a16="http://schemas.microsoft.com/office/drawing/2014/main" id="{B2611DAA-E361-4740-B8D9-53D069E520B4}"/>
            </a:ext>
          </a:extLst>
        </xdr:cNvPr>
        <xdr:cNvSpPr txBox="1"/>
      </xdr:nvSpPr>
      <xdr:spPr>
        <a:xfrm>
          <a:off x="53938717" y="4251968"/>
          <a:ext cx="5960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FD31239-4912-F84A-AA74-4551D54874B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9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435425</xdr:colOff>
      <xdr:row>26</xdr:row>
      <xdr:rowOff>6539</xdr:rowOff>
    </xdr:from>
    <xdr:to>
      <xdr:col>63</xdr:col>
      <xdr:colOff>743000</xdr:colOff>
      <xdr:row>28</xdr:row>
      <xdr:rowOff>147981</xdr:rowOff>
    </xdr:to>
    <xdr:sp macro="" textlink="#REF!">
      <xdr:nvSpPr>
        <xdr:cNvPr id="843" name="TextBox 842">
          <a:extLst>
            <a:ext uri="{FF2B5EF4-FFF2-40B4-BE49-F238E27FC236}">
              <a16:creationId xmlns:a16="http://schemas.microsoft.com/office/drawing/2014/main" id="{2A6C206E-9532-8C4B-ADC4-D2CAFBB70306}"/>
            </a:ext>
          </a:extLst>
        </xdr:cNvPr>
        <xdr:cNvSpPr txBox="1"/>
      </xdr:nvSpPr>
      <xdr:spPr>
        <a:xfrm>
          <a:off x="5301342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77F43D-6585-5A40-A637-CD07344DD48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674902</xdr:colOff>
      <xdr:row>26</xdr:row>
      <xdr:rowOff>6539</xdr:rowOff>
    </xdr:from>
    <xdr:to>
      <xdr:col>64</xdr:col>
      <xdr:colOff>147906</xdr:colOff>
      <xdr:row>28</xdr:row>
      <xdr:rowOff>143819</xdr:rowOff>
    </xdr:to>
    <xdr:sp macro="" textlink="#REF!">
      <xdr:nvSpPr>
        <xdr:cNvPr id="845" name="TextBox 844">
          <a:extLst>
            <a:ext uri="{FF2B5EF4-FFF2-40B4-BE49-F238E27FC236}">
              <a16:creationId xmlns:a16="http://schemas.microsoft.com/office/drawing/2014/main" id="{6C6AD744-7BB9-9F43-A3B6-B54B48A132EE}"/>
            </a:ext>
          </a:extLst>
        </xdr:cNvPr>
        <xdr:cNvSpPr txBox="1"/>
      </xdr:nvSpPr>
      <xdr:spPr>
        <a:xfrm>
          <a:off x="53252902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791019</xdr:colOff>
      <xdr:row>26</xdr:row>
      <xdr:rowOff>6539</xdr:rowOff>
    </xdr:from>
    <xdr:to>
      <xdr:col>65</xdr:col>
      <xdr:colOff>264022</xdr:colOff>
      <xdr:row>28</xdr:row>
      <xdr:rowOff>143819</xdr:rowOff>
    </xdr:to>
    <xdr:sp macro="" textlink="#REF!">
      <xdr:nvSpPr>
        <xdr:cNvPr id="846" name="TextBox 845">
          <a:extLst>
            <a:ext uri="{FF2B5EF4-FFF2-40B4-BE49-F238E27FC236}">
              <a16:creationId xmlns:a16="http://schemas.microsoft.com/office/drawing/2014/main" id="{70C69239-9147-BA4D-B7D4-5FB0AB48F2F6}"/>
            </a:ext>
          </a:extLst>
        </xdr:cNvPr>
        <xdr:cNvSpPr txBox="1"/>
      </xdr:nvSpPr>
      <xdr:spPr>
        <a:xfrm>
          <a:off x="54203590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290279</xdr:colOff>
      <xdr:row>22</xdr:row>
      <xdr:rowOff>151682</xdr:rowOff>
    </xdr:from>
    <xdr:to>
      <xdr:col>66</xdr:col>
      <xdr:colOff>597854</xdr:colOff>
      <xdr:row>25</xdr:row>
      <xdr:rowOff>125676</xdr:rowOff>
    </xdr:to>
    <xdr:sp macro="" textlink="#REF!">
      <xdr:nvSpPr>
        <xdr:cNvPr id="847" name="TextBox 846">
          <a:extLst>
            <a:ext uri="{FF2B5EF4-FFF2-40B4-BE49-F238E27FC236}">
              <a16:creationId xmlns:a16="http://schemas.microsoft.com/office/drawing/2014/main" id="{3F17C6B6-7598-334D-88FA-0AC775C93DAD}"/>
            </a:ext>
          </a:extLst>
        </xdr:cNvPr>
        <xdr:cNvSpPr txBox="1"/>
      </xdr:nvSpPr>
      <xdr:spPr>
        <a:xfrm>
          <a:off x="55371993" y="3743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660395</xdr:colOff>
      <xdr:row>26</xdr:row>
      <xdr:rowOff>6539</xdr:rowOff>
    </xdr:from>
    <xdr:to>
      <xdr:col>68</xdr:col>
      <xdr:colOff>133399</xdr:colOff>
      <xdr:row>28</xdr:row>
      <xdr:rowOff>143819</xdr:rowOff>
    </xdr:to>
    <xdr:sp macro="" textlink="#REF!">
      <xdr:nvSpPr>
        <xdr:cNvPr id="848" name="TextBox 847">
          <a:extLst>
            <a:ext uri="{FF2B5EF4-FFF2-40B4-BE49-F238E27FC236}">
              <a16:creationId xmlns:a16="http://schemas.microsoft.com/office/drawing/2014/main" id="{51082DED-2C56-E747-852A-ECBAEE585899}"/>
            </a:ext>
          </a:extLst>
        </xdr:cNvPr>
        <xdr:cNvSpPr txBox="1"/>
      </xdr:nvSpPr>
      <xdr:spPr>
        <a:xfrm>
          <a:off x="56576681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758367</xdr:colOff>
      <xdr:row>26</xdr:row>
      <xdr:rowOff>6539</xdr:rowOff>
    </xdr:from>
    <xdr:to>
      <xdr:col>69</xdr:col>
      <xdr:colOff>231370</xdr:colOff>
      <xdr:row>28</xdr:row>
      <xdr:rowOff>143819</xdr:rowOff>
    </xdr:to>
    <xdr:sp macro="" textlink="#REF!">
      <xdr:nvSpPr>
        <xdr:cNvPr id="849" name="TextBox 848">
          <a:extLst>
            <a:ext uri="{FF2B5EF4-FFF2-40B4-BE49-F238E27FC236}">
              <a16:creationId xmlns:a16="http://schemas.microsoft.com/office/drawing/2014/main" id="{93ABAE23-1934-044A-85C7-FDD2AE3C0C25}"/>
            </a:ext>
          </a:extLst>
        </xdr:cNvPr>
        <xdr:cNvSpPr txBox="1"/>
      </xdr:nvSpPr>
      <xdr:spPr>
        <a:xfrm>
          <a:off x="57509224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540645</xdr:colOff>
      <xdr:row>19</xdr:row>
      <xdr:rowOff>13796</xdr:rowOff>
    </xdr:from>
    <xdr:to>
      <xdr:col>69</xdr:col>
      <xdr:colOff>13648</xdr:colOff>
      <xdr:row>21</xdr:row>
      <xdr:rowOff>155238</xdr:rowOff>
    </xdr:to>
    <xdr:sp macro="" textlink="#REF!">
      <xdr:nvSpPr>
        <xdr:cNvPr id="851" name="TextBox 850">
          <a:extLst>
            <a:ext uri="{FF2B5EF4-FFF2-40B4-BE49-F238E27FC236}">
              <a16:creationId xmlns:a16="http://schemas.microsoft.com/office/drawing/2014/main" id="{82977E09-D5AE-3D4D-862B-E14C819A2F23}"/>
            </a:ext>
          </a:extLst>
        </xdr:cNvPr>
        <xdr:cNvSpPr txBox="1"/>
      </xdr:nvSpPr>
      <xdr:spPr>
        <a:xfrm>
          <a:off x="5729150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65F4FE2-DFA7-E24D-96AA-BB1555C712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199572</xdr:colOff>
      <xdr:row>19</xdr:row>
      <xdr:rowOff>13796</xdr:rowOff>
    </xdr:from>
    <xdr:to>
      <xdr:col>68</xdr:col>
      <xdr:colOff>39053</xdr:colOff>
      <xdr:row>21</xdr:row>
      <xdr:rowOff>155238</xdr:rowOff>
    </xdr:to>
    <xdr:sp macro="" textlink="#REF!">
      <xdr:nvSpPr>
        <xdr:cNvPr id="853" name="TextBox 852">
          <a:extLst>
            <a:ext uri="{FF2B5EF4-FFF2-40B4-BE49-F238E27FC236}">
              <a16:creationId xmlns:a16="http://schemas.microsoft.com/office/drawing/2014/main" id="{D90D9430-A93E-8E4F-9F16-D41B0C371E72}"/>
            </a:ext>
          </a:extLst>
        </xdr:cNvPr>
        <xdr:cNvSpPr txBox="1"/>
      </xdr:nvSpPr>
      <xdr:spPr>
        <a:xfrm>
          <a:off x="56115858" y="3116225"/>
          <a:ext cx="674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B8DEDD-854B-AF40-8598-0361AFC31D8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598710</xdr:colOff>
      <xdr:row>19</xdr:row>
      <xdr:rowOff>13796</xdr:rowOff>
    </xdr:from>
    <xdr:to>
      <xdr:col>65</xdr:col>
      <xdr:colOff>59013</xdr:colOff>
      <xdr:row>21</xdr:row>
      <xdr:rowOff>155238</xdr:rowOff>
    </xdr:to>
    <xdr:sp macro="" textlink="#REF!">
      <xdr:nvSpPr>
        <xdr:cNvPr id="857" name="TextBox 856">
          <a:extLst>
            <a:ext uri="{FF2B5EF4-FFF2-40B4-BE49-F238E27FC236}">
              <a16:creationId xmlns:a16="http://schemas.microsoft.com/office/drawing/2014/main" id="{A6BCE5B6-E599-9044-B64C-1568A7D18311}"/>
            </a:ext>
          </a:extLst>
        </xdr:cNvPr>
        <xdr:cNvSpPr txBox="1"/>
      </xdr:nvSpPr>
      <xdr:spPr>
        <a:xfrm>
          <a:off x="54011281" y="31162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A118C7B-D97A-6D4E-B3FE-E55A259B047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442682</xdr:colOff>
      <xdr:row>19</xdr:row>
      <xdr:rowOff>13796</xdr:rowOff>
    </xdr:from>
    <xdr:to>
      <xdr:col>63</xdr:col>
      <xdr:colOff>750257</xdr:colOff>
      <xdr:row>21</xdr:row>
      <xdr:rowOff>155238</xdr:rowOff>
    </xdr:to>
    <xdr:sp macro="" textlink="#REF!">
      <xdr:nvSpPr>
        <xdr:cNvPr id="859" name="TextBox 858">
          <a:extLst>
            <a:ext uri="{FF2B5EF4-FFF2-40B4-BE49-F238E27FC236}">
              <a16:creationId xmlns:a16="http://schemas.microsoft.com/office/drawing/2014/main" id="{6BF03ADA-8B94-1A43-98AD-36D5EDB2460F}"/>
            </a:ext>
          </a:extLst>
        </xdr:cNvPr>
        <xdr:cNvSpPr txBox="1"/>
      </xdr:nvSpPr>
      <xdr:spPr>
        <a:xfrm>
          <a:off x="5302068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42D28-8E47-3548-8D4F-F717538E9E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682159</xdr:colOff>
      <xdr:row>19</xdr:row>
      <xdr:rowOff>13796</xdr:rowOff>
    </xdr:from>
    <xdr:to>
      <xdr:col>64</xdr:col>
      <xdr:colOff>155163</xdr:colOff>
      <xdr:row>21</xdr:row>
      <xdr:rowOff>151076</xdr:rowOff>
    </xdr:to>
    <xdr:sp macro="" textlink="#REF!">
      <xdr:nvSpPr>
        <xdr:cNvPr id="861" name="TextBox 860">
          <a:extLst>
            <a:ext uri="{FF2B5EF4-FFF2-40B4-BE49-F238E27FC236}">
              <a16:creationId xmlns:a16="http://schemas.microsoft.com/office/drawing/2014/main" id="{749AC712-9EAD-7948-B546-C15A1BF69077}"/>
            </a:ext>
          </a:extLst>
        </xdr:cNvPr>
        <xdr:cNvSpPr txBox="1"/>
      </xdr:nvSpPr>
      <xdr:spPr>
        <a:xfrm>
          <a:off x="53260159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798276</xdr:colOff>
      <xdr:row>19</xdr:row>
      <xdr:rowOff>13796</xdr:rowOff>
    </xdr:from>
    <xdr:to>
      <xdr:col>65</xdr:col>
      <xdr:colOff>271279</xdr:colOff>
      <xdr:row>21</xdr:row>
      <xdr:rowOff>151076</xdr:rowOff>
    </xdr:to>
    <xdr:sp macro="" textlink="#REF!">
      <xdr:nvSpPr>
        <xdr:cNvPr id="862" name="TextBox 861">
          <a:extLst>
            <a:ext uri="{FF2B5EF4-FFF2-40B4-BE49-F238E27FC236}">
              <a16:creationId xmlns:a16="http://schemas.microsoft.com/office/drawing/2014/main" id="{B453323C-078E-454C-B05D-1E992D3E8972}"/>
            </a:ext>
          </a:extLst>
        </xdr:cNvPr>
        <xdr:cNvSpPr txBox="1"/>
      </xdr:nvSpPr>
      <xdr:spPr>
        <a:xfrm>
          <a:off x="54210847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765624</xdr:colOff>
      <xdr:row>19</xdr:row>
      <xdr:rowOff>13796</xdr:rowOff>
    </xdr:from>
    <xdr:to>
      <xdr:col>69</xdr:col>
      <xdr:colOff>238627</xdr:colOff>
      <xdr:row>21</xdr:row>
      <xdr:rowOff>151076</xdr:rowOff>
    </xdr:to>
    <xdr:sp macro="" textlink="#REF!">
      <xdr:nvSpPr>
        <xdr:cNvPr id="865" name="TextBox 864">
          <a:extLst>
            <a:ext uri="{FF2B5EF4-FFF2-40B4-BE49-F238E27FC236}">
              <a16:creationId xmlns:a16="http://schemas.microsoft.com/office/drawing/2014/main" id="{0EFBA1A0-98F3-0540-BB42-58B86DC3E673}"/>
            </a:ext>
          </a:extLst>
        </xdr:cNvPr>
        <xdr:cNvSpPr txBox="1"/>
      </xdr:nvSpPr>
      <xdr:spPr>
        <a:xfrm>
          <a:off x="57516481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529759</xdr:colOff>
      <xdr:row>12</xdr:row>
      <xdr:rowOff>57339</xdr:rowOff>
    </xdr:from>
    <xdr:to>
      <xdr:col>69</xdr:col>
      <xdr:colOff>2762</xdr:colOff>
      <xdr:row>15</xdr:row>
      <xdr:rowOff>35495</xdr:rowOff>
    </xdr:to>
    <xdr:sp macro="" textlink="#REF!">
      <xdr:nvSpPr>
        <xdr:cNvPr id="867" name="TextBox 866">
          <a:extLst>
            <a:ext uri="{FF2B5EF4-FFF2-40B4-BE49-F238E27FC236}">
              <a16:creationId xmlns:a16="http://schemas.microsoft.com/office/drawing/2014/main" id="{4CF84421-E3EB-D345-87FA-5EE9E8181AE2}"/>
            </a:ext>
          </a:extLst>
        </xdr:cNvPr>
        <xdr:cNvSpPr txBox="1"/>
      </xdr:nvSpPr>
      <xdr:spPr>
        <a:xfrm>
          <a:off x="5728061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BF303E4-3038-9447-93B2-2BA416EDFB4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381003</xdr:colOff>
      <xdr:row>12</xdr:row>
      <xdr:rowOff>57339</xdr:rowOff>
    </xdr:from>
    <xdr:to>
      <xdr:col>68</xdr:col>
      <xdr:colOff>227739</xdr:colOff>
      <xdr:row>15</xdr:row>
      <xdr:rowOff>35495</xdr:rowOff>
    </xdr:to>
    <xdr:sp macro="" textlink="#REF!">
      <xdr:nvSpPr>
        <xdr:cNvPr id="869" name="TextBox 868">
          <a:extLst>
            <a:ext uri="{FF2B5EF4-FFF2-40B4-BE49-F238E27FC236}">
              <a16:creationId xmlns:a16="http://schemas.microsoft.com/office/drawing/2014/main" id="{4764733C-5714-714E-B97B-F586B05348DE}"/>
            </a:ext>
          </a:extLst>
        </xdr:cNvPr>
        <xdr:cNvSpPr txBox="1"/>
      </xdr:nvSpPr>
      <xdr:spPr>
        <a:xfrm>
          <a:off x="56297289" y="2016768"/>
          <a:ext cx="68130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855ADD-EE75-4341-974D-3E260CF3FE3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587824</xdr:colOff>
      <xdr:row>12</xdr:row>
      <xdr:rowOff>57339</xdr:rowOff>
    </xdr:from>
    <xdr:to>
      <xdr:col>65</xdr:col>
      <xdr:colOff>48127</xdr:colOff>
      <xdr:row>15</xdr:row>
      <xdr:rowOff>35495</xdr:rowOff>
    </xdr:to>
    <xdr:sp macro="" textlink="#REF!">
      <xdr:nvSpPr>
        <xdr:cNvPr id="873" name="TextBox 872">
          <a:extLst>
            <a:ext uri="{FF2B5EF4-FFF2-40B4-BE49-F238E27FC236}">
              <a16:creationId xmlns:a16="http://schemas.microsoft.com/office/drawing/2014/main" id="{7E0FCCCD-866D-1E4D-82C5-1F6C0AD59534}"/>
            </a:ext>
          </a:extLst>
        </xdr:cNvPr>
        <xdr:cNvSpPr txBox="1"/>
      </xdr:nvSpPr>
      <xdr:spPr>
        <a:xfrm>
          <a:off x="54000395" y="2016768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35BB1-1970-D348-B397-FBB37D114CF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431796</xdr:colOff>
      <xdr:row>12</xdr:row>
      <xdr:rowOff>57339</xdr:rowOff>
    </xdr:from>
    <xdr:to>
      <xdr:col>63</xdr:col>
      <xdr:colOff>739371</xdr:colOff>
      <xdr:row>15</xdr:row>
      <xdr:rowOff>35495</xdr:rowOff>
    </xdr:to>
    <xdr:sp macro="" textlink="#REF!">
      <xdr:nvSpPr>
        <xdr:cNvPr id="875" name="TextBox 874">
          <a:extLst>
            <a:ext uri="{FF2B5EF4-FFF2-40B4-BE49-F238E27FC236}">
              <a16:creationId xmlns:a16="http://schemas.microsoft.com/office/drawing/2014/main" id="{FFD0BD07-9E8D-5E45-8194-503577D0EEAB}"/>
            </a:ext>
          </a:extLst>
        </xdr:cNvPr>
        <xdr:cNvSpPr txBox="1"/>
      </xdr:nvSpPr>
      <xdr:spPr>
        <a:xfrm>
          <a:off x="5300979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A3A16C1-5DBA-CF46-BC55-026EBDDBD6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671273</xdr:colOff>
      <xdr:row>12</xdr:row>
      <xdr:rowOff>57339</xdr:rowOff>
    </xdr:from>
    <xdr:to>
      <xdr:col>64</xdr:col>
      <xdr:colOff>144277</xdr:colOff>
      <xdr:row>15</xdr:row>
      <xdr:rowOff>31333</xdr:rowOff>
    </xdr:to>
    <xdr:sp macro="" textlink="#REF!">
      <xdr:nvSpPr>
        <xdr:cNvPr id="877" name="TextBox 876">
          <a:extLst>
            <a:ext uri="{FF2B5EF4-FFF2-40B4-BE49-F238E27FC236}">
              <a16:creationId xmlns:a16="http://schemas.microsoft.com/office/drawing/2014/main" id="{050700D5-9D72-4A48-8101-084D10B3D565}"/>
            </a:ext>
          </a:extLst>
        </xdr:cNvPr>
        <xdr:cNvSpPr txBox="1"/>
      </xdr:nvSpPr>
      <xdr:spPr>
        <a:xfrm>
          <a:off x="53249273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787390</xdr:colOff>
      <xdr:row>12</xdr:row>
      <xdr:rowOff>57339</xdr:rowOff>
    </xdr:from>
    <xdr:to>
      <xdr:col>65</xdr:col>
      <xdr:colOff>260393</xdr:colOff>
      <xdr:row>15</xdr:row>
      <xdr:rowOff>31333</xdr:rowOff>
    </xdr:to>
    <xdr:sp macro="" textlink="#REF!">
      <xdr:nvSpPr>
        <xdr:cNvPr id="878" name="TextBox 877">
          <a:extLst>
            <a:ext uri="{FF2B5EF4-FFF2-40B4-BE49-F238E27FC236}">
              <a16:creationId xmlns:a16="http://schemas.microsoft.com/office/drawing/2014/main" id="{74828370-2220-5C41-8602-BEC2DE22EE7E}"/>
            </a:ext>
          </a:extLst>
        </xdr:cNvPr>
        <xdr:cNvSpPr txBox="1"/>
      </xdr:nvSpPr>
      <xdr:spPr>
        <a:xfrm>
          <a:off x="54199961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656766</xdr:colOff>
      <xdr:row>12</xdr:row>
      <xdr:rowOff>57339</xdr:rowOff>
    </xdr:from>
    <xdr:to>
      <xdr:col>68</xdr:col>
      <xdr:colOff>129770</xdr:colOff>
      <xdr:row>15</xdr:row>
      <xdr:rowOff>31333</xdr:rowOff>
    </xdr:to>
    <xdr:sp macro="" textlink="#REF!">
      <xdr:nvSpPr>
        <xdr:cNvPr id="880" name="TextBox 879">
          <a:extLst>
            <a:ext uri="{FF2B5EF4-FFF2-40B4-BE49-F238E27FC236}">
              <a16:creationId xmlns:a16="http://schemas.microsoft.com/office/drawing/2014/main" id="{624D11B0-07C6-C642-AD9C-72CAABAAF84D}"/>
            </a:ext>
          </a:extLst>
        </xdr:cNvPr>
        <xdr:cNvSpPr txBox="1"/>
      </xdr:nvSpPr>
      <xdr:spPr>
        <a:xfrm>
          <a:off x="56573052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754738</xdr:colOff>
      <xdr:row>12</xdr:row>
      <xdr:rowOff>57339</xdr:rowOff>
    </xdr:from>
    <xdr:to>
      <xdr:col>69</xdr:col>
      <xdr:colOff>227741</xdr:colOff>
      <xdr:row>15</xdr:row>
      <xdr:rowOff>31333</xdr:rowOff>
    </xdr:to>
    <xdr:sp macro="" textlink="#REF!">
      <xdr:nvSpPr>
        <xdr:cNvPr id="881" name="TextBox 880">
          <a:extLst>
            <a:ext uri="{FF2B5EF4-FFF2-40B4-BE49-F238E27FC236}">
              <a16:creationId xmlns:a16="http://schemas.microsoft.com/office/drawing/2014/main" id="{22C1B240-72D2-6341-80DF-B3382EF0EAA5}"/>
            </a:ext>
          </a:extLst>
        </xdr:cNvPr>
        <xdr:cNvSpPr txBox="1"/>
      </xdr:nvSpPr>
      <xdr:spPr>
        <a:xfrm>
          <a:off x="57505595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31</xdr:row>
      <xdr:rowOff>97963</xdr:rowOff>
    </xdr:from>
    <xdr:to>
      <xdr:col>66</xdr:col>
      <xdr:colOff>407850</xdr:colOff>
      <xdr:row>33</xdr:row>
      <xdr:rowOff>45711</xdr:rowOff>
    </xdr:to>
    <xdr:sp macro="" textlink="#REF!">
      <xdr:nvSpPr>
        <xdr:cNvPr id="882" name="Rectangle 881">
          <a:extLst>
            <a:ext uri="{FF2B5EF4-FFF2-40B4-BE49-F238E27FC236}">
              <a16:creationId xmlns:a16="http://schemas.microsoft.com/office/drawing/2014/main" id="{25CFA4C8-1A0B-A34C-82E6-E4F27A44C3EC}"/>
            </a:ext>
          </a:extLst>
        </xdr:cNvPr>
        <xdr:cNvSpPr>
          <a:spLocks/>
        </xdr:cNvSpPr>
      </xdr:nvSpPr>
      <xdr:spPr>
        <a:xfrm>
          <a:off x="53935084" y="515982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7925767-C987-EA4E-8BB5-61F0317FC4E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33</xdr:row>
      <xdr:rowOff>123363</xdr:rowOff>
    </xdr:from>
    <xdr:to>
      <xdr:col>66</xdr:col>
      <xdr:colOff>407850</xdr:colOff>
      <xdr:row>35</xdr:row>
      <xdr:rowOff>71112</xdr:rowOff>
    </xdr:to>
    <xdr:sp macro="" textlink="#REF!">
      <xdr:nvSpPr>
        <xdr:cNvPr id="883" name="Rectangle 882">
          <a:extLst>
            <a:ext uri="{FF2B5EF4-FFF2-40B4-BE49-F238E27FC236}">
              <a16:creationId xmlns:a16="http://schemas.microsoft.com/office/drawing/2014/main" id="{40C301FE-804E-F74B-BC8E-C2912DB5696B}"/>
            </a:ext>
          </a:extLst>
        </xdr:cNvPr>
        <xdr:cNvSpPr>
          <a:spLocks/>
        </xdr:cNvSpPr>
      </xdr:nvSpPr>
      <xdr:spPr>
        <a:xfrm>
          <a:off x="53935084" y="55117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1C4D00-1B82-8847-A978-531E6CB62F9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35</xdr:row>
      <xdr:rowOff>148763</xdr:rowOff>
    </xdr:from>
    <xdr:to>
      <xdr:col>66</xdr:col>
      <xdr:colOff>407850</xdr:colOff>
      <xdr:row>37</xdr:row>
      <xdr:rowOff>96512</xdr:rowOff>
    </xdr:to>
    <xdr:sp macro="" textlink="#REF!">
      <xdr:nvSpPr>
        <xdr:cNvPr id="884" name="Rectangle 883">
          <a:extLst>
            <a:ext uri="{FF2B5EF4-FFF2-40B4-BE49-F238E27FC236}">
              <a16:creationId xmlns:a16="http://schemas.microsoft.com/office/drawing/2014/main" id="{7FBDEB99-31D6-DC41-856E-17C6FA960CD5}"/>
            </a:ext>
          </a:extLst>
        </xdr:cNvPr>
        <xdr:cNvSpPr>
          <a:spLocks/>
        </xdr:cNvSpPr>
      </xdr:nvSpPr>
      <xdr:spPr>
        <a:xfrm>
          <a:off x="53935084" y="586376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C275E4B-3152-FA4C-873F-454011F64BA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38</xdr:row>
      <xdr:rowOff>10878</xdr:rowOff>
    </xdr:from>
    <xdr:to>
      <xdr:col>66</xdr:col>
      <xdr:colOff>407850</xdr:colOff>
      <xdr:row>39</xdr:row>
      <xdr:rowOff>121912</xdr:rowOff>
    </xdr:to>
    <xdr:sp macro="" textlink="#REF!">
      <xdr:nvSpPr>
        <xdr:cNvPr id="885" name="Rectangle 884">
          <a:extLst>
            <a:ext uri="{FF2B5EF4-FFF2-40B4-BE49-F238E27FC236}">
              <a16:creationId xmlns:a16="http://schemas.microsoft.com/office/drawing/2014/main" id="{23731405-676A-0C4B-9E28-8313A424ACFB}"/>
            </a:ext>
          </a:extLst>
        </xdr:cNvPr>
        <xdr:cNvSpPr>
          <a:spLocks/>
        </xdr:cNvSpPr>
      </xdr:nvSpPr>
      <xdr:spPr>
        <a:xfrm>
          <a:off x="53935084" y="62157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E8C57B2-36B9-BC44-9CBD-80B6BC7E06D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529770</xdr:colOff>
      <xdr:row>40</xdr:row>
      <xdr:rowOff>54421</xdr:rowOff>
    </xdr:from>
    <xdr:to>
      <xdr:col>66</xdr:col>
      <xdr:colOff>415107</xdr:colOff>
      <xdr:row>42</xdr:row>
      <xdr:rowOff>2170</xdr:rowOff>
    </xdr:to>
    <xdr:sp macro="" textlink="#REF!">
      <xdr:nvSpPr>
        <xdr:cNvPr id="886" name="Rectangle 885">
          <a:extLst>
            <a:ext uri="{FF2B5EF4-FFF2-40B4-BE49-F238E27FC236}">
              <a16:creationId xmlns:a16="http://schemas.microsoft.com/office/drawing/2014/main" id="{C6877C4D-5629-6947-AE6C-552DFAAFC599}"/>
            </a:ext>
          </a:extLst>
        </xdr:cNvPr>
        <xdr:cNvSpPr>
          <a:spLocks/>
        </xdr:cNvSpPr>
      </xdr:nvSpPr>
      <xdr:spPr>
        <a:xfrm>
          <a:off x="53942341" y="658585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7B666D5-84EC-C24D-8210-81B50203D1D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439056</xdr:colOff>
      <xdr:row>31</xdr:row>
      <xdr:rowOff>87078</xdr:rowOff>
    </xdr:from>
    <xdr:to>
      <xdr:col>67</xdr:col>
      <xdr:colOff>336004</xdr:colOff>
      <xdr:row>33</xdr:row>
      <xdr:rowOff>34826</xdr:rowOff>
    </xdr:to>
    <xdr:sp macro="" textlink="#REF!">
      <xdr:nvSpPr>
        <xdr:cNvPr id="887" name="Rectangle 886">
          <a:extLst>
            <a:ext uri="{FF2B5EF4-FFF2-40B4-BE49-F238E27FC236}">
              <a16:creationId xmlns:a16="http://schemas.microsoft.com/office/drawing/2014/main" id="{93EBDC32-7556-634C-9242-7CAA44EB4218}"/>
            </a:ext>
          </a:extLst>
        </xdr:cNvPr>
        <xdr:cNvSpPr>
          <a:spLocks/>
        </xdr:cNvSpPr>
      </xdr:nvSpPr>
      <xdr:spPr>
        <a:xfrm>
          <a:off x="55520770" y="5148935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C98F9-BFD7-7F4D-996F-0088FB59213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410032</xdr:colOff>
      <xdr:row>31</xdr:row>
      <xdr:rowOff>94334</xdr:rowOff>
    </xdr:from>
    <xdr:to>
      <xdr:col>68</xdr:col>
      <xdr:colOff>294281</xdr:colOff>
      <xdr:row>33</xdr:row>
      <xdr:rowOff>42082</xdr:rowOff>
    </xdr:to>
    <xdr:sp macro="" textlink="#REF!">
      <xdr:nvSpPr>
        <xdr:cNvPr id="892" name="Rectangle 891">
          <a:extLst>
            <a:ext uri="{FF2B5EF4-FFF2-40B4-BE49-F238E27FC236}">
              <a16:creationId xmlns:a16="http://schemas.microsoft.com/office/drawing/2014/main" id="{55CC2750-7D3E-5F48-BFDE-0A9007D65CFD}"/>
            </a:ext>
          </a:extLst>
        </xdr:cNvPr>
        <xdr:cNvSpPr>
          <a:spLocks/>
        </xdr:cNvSpPr>
      </xdr:nvSpPr>
      <xdr:spPr>
        <a:xfrm>
          <a:off x="56326318" y="5156191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E241075-40AE-2E4B-B553-AF000095149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428170</xdr:colOff>
      <xdr:row>33</xdr:row>
      <xdr:rowOff>130620</xdr:rowOff>
    </xdr:from>
    <xdr:to>
      <xdr:col>67</xdr:col>
      <xdr:colOff>325118</xdr:colOff>
      <xdr:row>35</xdr:row>
      <xdr:rowOff>78369</xdr:rowOff>
    </xdr:to>
    <xdr:sp macro="" textlink="#REF!">
      <xdr:nvSpPr>
        <xdr:cNvPr id="893" name="Rectangle 892">
          <a:extLst>
            <a:ext uri="{FF2B5EF4-FFF2-40B4-BE49-F238E27FC236}">
              <a16:creationId xmlns:a16="http://schemas.microsoft.com/office/drawing/2014/main" id="{4CC23151-4BDF-BD4D-AEC8-B552BB1F2476}"/>
            </a:ext>
          </a:extLst>
        </xdr:cNvPr>
        <xdr:cNvSpPr>
          <a:spLocks/>
        </xdr:cNvSpPr>
      </xdr:nvSpPr>
      <xdr:spPr>
        <a:xfrm>
          <a:off x="55509884" y="5519049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413096F-9EDD-A04D-B9DA-BE9797859F4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399146</xdr:colOff>
      <xdr:row>33</xdr:row>
      <xdr:rowOff>137876</xdr:rowOff>
    </xdr:from>
    <xdr:to>
      <xdr:col>68</xdr:col>
      <xdr:colOff>283395</xdr:colOff>
      <xdr:row>35</xdr:row>
      <xdr:rowOff>85625</xdr:rowOff>
    </xdr:to>
    <xdr:sp macro="" textlink="#REF!">
      <xdr:nvSpPr>
        <xdr:cNvPr id="894" name="Rectangle 893">
          <a:extLst>
            <a:ext uri="{FF2B5EF4-FFF2-40B4-BE49-F238E27FC236}">
              <a16:creationId xmlns:a16="http://schemas.microsoft.com/office/drawing/2014/main" id="{0694B37F-9A90-264B-AFB5-4003CD698ABC}"/>
            </a:ext>
          </a:extLst>
        </xdr:cNvPr>
        <xdr:cNvSpPr>
          <a:spLocks/>
        </xdr:cNvSpPr>
      </xdr:nvSpPr>
      <xdr:spPr>
        <a:xfrm>
          <a:off x="56315432" y="5526305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3CDD7E9-244D-8841-99FD-46538D89BE2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435427</xdr:colOff>
      <xdr:row>35</xdr:row>
      <xdr:rowOff>137878</xdr:rowOff>
    </xdr:from>
    <xdr:to>
      <xdr:col>67</xdr:col>
      <xdr:colOff>332375</xdr:colOff>
      <xdr:row>37</xdr:row>
      <xdr:rowOff>85627</xdr:rowOff>
    </xdr:to>
    <xdr:sp macro="" textlink="#REF!">
      <xdr:nvSpPr>
        <xdr:cNvPr id="895" name="Rectangle 894">
          <a:extLst>
            <a:ext uri="{FF2B5EF4-FFF2-40B4-BE49-F238E27FC236}">
              <a16:creationId xmlns:a16="http://schemas.microsoft.com/office/drawing/2014/main" id="{541B105F-457C-B54C-83ED-4563D0D64A0B}"/>
            </a:ext>
          </a:extLst>
        </xdr:cNvPr>
        <xdr:cNvSpPr>
          <a:spLocks/>
        </xdr:cNvSpPr>
      </xdr:nvSpPr>
      <xdr:spPr>
        <a:xfrm>
          <a:off x="55517141" y="5852878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D64BDA-0761-9846-AB02-3EE7372B74C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406403</xdr:colOff>
      <xdr:row>35</xdr:row>
      <xdr:rowOff>145134</xdr:rowOff>
    </xdr:from>
    <xdr:to>
      <xdr:col>68</xdr:col>
      <xdr:colOff>290652</xdr:colOff>
      <xdr:row>37</xdr:row>
      <xdr:rowOff>92883</xdr:rowOff>
    </xdr:to>
    <xdr:sp macro="" textlink="#REF!">
      <xdr:nvSpPr>
        <xdr:cNvPr id="896" name="Rectangle 895">
          <a:extLst>
            <a:ext uri="{FF2B5EF4-FFF2-40B4-BE49-F238E27FC236}">
              <a16:creationId xmlns:a16="http://schemas.microsoft.com/office/drawing/2014/main" id="{26061921-A38C-2040-A148-6FD75A231698}"/>
            </a:ext>
          </a:extLst>
        </xdr:cNvPr>
        <xdr:cNvSpPr>
          <a:spLocks/>
        </xdr:cNvSpPr>
      </xdr:nvSpPr>
      <xdr:spPr>
        <a:xfrm>
          <a:off x="56322689" y="5860134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B3B84E-513A-0244-8208-422F7A6182D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442684</xdr:colOff>
      <xdr:row>38</xdr:row>
      <xdr:rowOff>18135</xdr:rowOff>
    </xdr:from>
    <xdr:to>
      <xdr:col>67</xdr:col>
      <xdr:colOff>339632</xdr:colOff>
      <xdr:row>39</xdr:row>
      <xdr:rowOff>129169</xdr:rowOff>
    </xdr:to>
    <xdr:sp macro="" textlink="#REF!">
      <xdr:nvSpPr>
        <xdr:cNvPr id="897" name="Rectangle 896">
          <a:extLst>
            <a:ext uri="{FF2B5EF4-FFF2-40B4-BE49-F238E27FC236}">
              <a16:creationId xmlns:a16="http://schemas.microsoft.com/office/drawing/2014/main" id="{50F858AA-F09E-F843-B7F7-E4325DFD29ED}"/>
            </a:ext>
          </a:extLst>
        </xdr:cNvPr>
        <xdr:cNvSpPr>
          <a:spLocks/>
        </xdr:cNvSpPr>
      </xdr:nvSpPr>
      <xdr:spPr>
        <a:xfrm>
          <a:off x="55524398" y="6222992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88BA02-1415-854D-BB16-D581EEDFE8E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413660</xdr:colOff>
      <xdr:row>38</xdr:row>
      <xdr:rowOff>25391</xdr:rowOff>
    </xdr:from>
    <xdr:to>
      <xdr:col>68</xdr:col>
      <xdr:colOff>297909</xdr:colOff>
      <xdr:row>39</xdr:row>
      <xdr:rowOff>136425</xdr:rowOff>
    </xdr:to>
    <xdr:sp macro="" textlink="#REF!">
      <xdr:nvSpPr>
        <xdr:cNvPr id="898" name="Rectangle 897">
          <a:extLst>
            <a:ext uri="{FF2B5EF4-FFF2-40B4-BE49-F238E27FC236}">
              <a16:creationId xmlns:a16="http://schemas.microsoft.com/office/drawing/2014/main" id="{7C2E637B-5C57-8945-B152-25FB011FC716}"/>
            </a:ext>
          </a:extLst>
        </xdr:cNvPr>
        <xdr:cNvSpPr>
          <a:spLocks/>
        </xdr:cNvSpPr>
      </xdr:nvSpPr>
      <xdr:spPr>
        <a:xfrm>
          <a:off x="56329946" y="6230248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26A3EB4-B141-FE4E-B813-3748C09A37A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449941</xdr:colOff>
      <xdr:row>40</xdr:row>
      <xdr:rowOff>61677</xdr:rowOff>
    </xdr:from>
    <xdr:to>
      <xdr:col>67</xdr:col>
      <xdr:colOff>346889</xdr:colOff>
      <xdr:row>42</xdr:row>
      <xdr:rowOff>9426</xdr:rowOff>
    </xdr:to>
    <xdr:sp macro="" textlink="#REF!">
      <xdr:nvSpPr>
        <xdr:cNvPr id="899" name="Rectangle 898">
          <a:extLst>
            <a:ext uri="{FF2B5EF4-FFF2-40B4-BE49-F238E27FC236}">
              <a16:creationId xmlns:a16="http://schemas.microsoft.com/office/drawing/2014/main" id="{E21A7BB5-4725-9448-A5A1-4C9D85D21ED9}"/>
            </a:ext>
          </a:extLst>
        </xdr:cNvPr>
        <xdr:cNvSpPr>
          <a:spLocks/>
        </xdr:cNvSpPr>
      </xdr:nvSpPr>
      <xdr:spPr>
        <a:xfrm>
          <a:off x="55531655" y="6593106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CEEAEBD-E792-6C4A-93A1-E7C4B8287F6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420917</xdr:colOff>
      <xdr:row>40</xdr:row>
      <xdr:rowOff>68933</xdr:rowOff>
    </xdr:from>
    <xdr:to>
      <xdr:col>68</xdr:col>
      <xdr:colOff>305166</xdr:colOff>
      <xdr:row>42</xdr:row>
      <xdr:rowOff>16682</xdr:rowOff>
    </xdr:to>
    <xdr:sp macro="" textlink="#REF!">
      <xdr:nvSpPr>
        <xdr:cNvPr id="900" name="Rectangle 899">
          <a:extLst>
            <a:ext uri="{FF2B5EF4-FFF2-40B4-BE49-F238E27FC236}">
              <a16:creationId xmlns:a16="http://schemas.microsoft.com/office/drawing/2014/main" id="{DEEF64FD-3F0B-2E4A-BAE8-4BD4D2A757E1}"/>
            </a:ext>
          </a:extLst>
        </xdr:cNvPr>
        <xdr:cNvSpPr>
          <a:spLocks/>
        </xdr:cNvSpPr>
      </xdr:nvSpPr>
      <xdr:spPr>
        <a:xfrm>
          <a:off x="56337203" y="6600362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3B2487-9F52-4149-8CC0-410075B1476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29022</xdr:colOff>
      <xdr:row>16</xdr:row>
      <xdr:rowOff>13797</xdr:rowOff>
    </xdr:from>
    <xdr:to>
      <xdr:col>66</xdr:col>
      <xdr:colOff>336597</xdr:colOff>
      <xdr:row>18</xdr:row>
      <xdr:rowOff>155238</xdr:rowOff>
    </xdr:to>
    <xdr:sp macro="" textlink="#REF!">
      <xdr:nvSpPr>
        <xdr:cNvPr id="901" name="TextBox 900">
          <a:extLst>
            <a:ext uri="{FF2B5EF4-FFF2-40B4-BE49-F238E27FC236}">
              <a16:creationId xmlns:a16="http://schemas.microsoft.com/office/drawing/2014/main" id="{27438BD1-926D-5C4A-A374-95E21EF3C195}"/>
            </a:ext>
          </a:extLst>
        </xdr:cNvPr>
        <xdr:cNvSpPr txBox="1"/>
      </xdr:nvSpPr>
      <xdr:spPr>
        <a:xfrm>
          <a:off x="55110736" y="26263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4E4480D-7862-F44A-8E54-6368E71143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261250</xdr:colOff>
      <xdr:row>16</xdr:row>
      <xdr:rowOff>13797</xdr:rowOff>
    </xdr:from>
    <xdr:to>
      <xdr:col>66</xdr:col>
      <xdr:colOff>568825</xdr:colOff>
      <xdr:row>18</xdr:row>
      <xdr:rowOff>151076</xdr:rowOff>
    </xdr:to>
    <xdr:sp macro="" textlink="#REF!">
      <xdr:nvSpPr>
        <xdr:cNvPr id="903" name="TextBox 902">
          <a:extLst>
            <a:ext uri="{FF2B5EF4-FFF2-40B4-BE49-F238E27FC236}">
              <a16:creationId xmlns:a16="http://schemas.microsoft.com/office/drawing/2014/main" id="{9E5C9B36-2814-4C4C-A19F-1393B60FC3FD}"/>
            </a:ext>
          </a:extLst>
        </xdr:cNvPr>
        <xdr:cNvSpPr txBox="1"/>
      </xdr:nvSpPr>
      <xdr:spPr>
        <a:xfrm>
          <a:off x="55342964" y="26263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32645</xdr:colOff>
      <xdr:row>26</xdr:row>
      <xdr:rowOff>13796</xdr:rowOff>
    </xdr:from>
    <xdr:to>
      <xdr:col>69</xdr:col>
      <xdr:colOff>340220</xdr:colOff>
      <xdr:row>28</xdr:row>
      <xdr:rowOff>155238</xdr:rowOff>
    </xdr:to>
    <xdr:sp macro="" textlink="#REF!">
      <xdr:nvSpPr>
        <xdr:cNvPr id="918" name="TextBox 917">
          <a:extLst>
            <a:ext uri="{FF2B5EF4-FFF2-40B4-BE49-F238E27FC236}">
              <a16:creationId xmlns:a16="http://schemas.microsoft.com/office/drawing/2014/main" id="{B93944DB-4617-194F-ADF8-C15ACAE0FD5D}"/>
            </a:ext>
          </a:extLst>
        </xdr:cNvPr>
        <xdr:cNvSpPr txBox="1"/>
      </xdr:nvSpPr>
      <xdr:spPr>
        <a:xfrm>
          <a:off x="5761807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2F19A-3098-2F48-916B-0655AAB833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729333</xdr:colOff>
      <xdr:row>26</xdr:row>
      <xdr:rowOff>13796</xdr:rowOff>
    </xdr:from>
    <xdr:to>
      <xdr:col>68</xdr:col>
      <xdr:colOff>508000</xdr:colOff>
      <xdr:row>28</xdr:row>
      <xdr:rowOff>155238</xdr:rowOff>
    </xdr:to>
    <xdr:sp macro="" textlink="#REF!">
      <xdr:nvSpPr>
        <xdr:cNvPr id="919" name="TextBox 918">
          <a:extLst>
            <a:ext uri="{FF2B5EF4-FFF2-40B4-BE49-F238E27FC236}">
              <a16:creationId xmlns:a16="http://schemas.microsoft.com/office/drawing/2014/main" id="{B01CDB9A-1DAC-FC40-9925-BA431A47EDC0}"/>
            </a:ext>
          </a:extLst>
        </xdr:cNvPr>
        <xdr:cNvSpPr txBox="1"/>
      </xdr:nvSpPr>
      <xdr:spPr>
        <a:xfrm>
          <a:off x="56645619" y="4259225"/>
          <a:ext cx="61323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514FBC-2309-1A46-91A4-87AC54B3F65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391880</xdr:colOff>
      <xdr:row>22</xdr:row>
      <xdr:rowOff>158939</xdr:rowOff>
    </xdr:from>
    <xdr:to>
      <xdr:col>67</xdr:col>
      <xdr:colOff>163285</xdr:colOff>
      <xdr:row>25</xdr:row>
      <xdr:rowOff>137095</xdr:rowOff>
    </xdr:to>
    <xdr:sp macro="" textlink="#REF!">
      <xdr:nvSpPr>
        <xdr:cNvPr id="920" name="TextBox 919">
          <a:extLst>
            <a:ext uri="{FF2B5EF4-FFF2-40B4-BE49-F238E27FC236}">
              <a16:creationId xmlns:a16="http://schemas.microsoft.com/office/drawing/2014/main" id="{5EE97DF3-7E41-4942-B257-11B2E8058A11}"/>
            </a:ext>
          </a:extLst>
        </xdr:cNvPr>
        <xdr:cNvSpPr txBox="1"/>
      </xdr:nvSpPr>
      <xdr:spPr>
        <a:xfrm>
          <a:off x="55473594" y="3751225"/>
          <a:ext cx="60597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9538AB-520B-284E-A53A-309022DA1E3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90710</xdr:colOff>
      <xdr:row>26</xdr:row>
      <xdr:rowOff>13796</xdr:rowOff>
    </xdr:from>
    <xdr:to>
      <xdr:col>65</xdr:col>
      <xdr:colOff>671286</xdr:colOff>
      <xdr:row>28</xdr:row>
      <xdr:rowOff>155238</xdr:rowOff>
    </xdr:to>
    <xdr:sp macro="" textlink="#REF!">
      <xdr:nvSpPr>
        <xdr:cNvPr id="921" name="TextBox 920">
          <a:extLst>
            <a:ext uri="{FF2B5EF4-FFF2-40B4-BE49-F238E27FC236}">
              <a16:creationId xmlns:a16="http://schemas.microsoft.com/office/drawing/2014/main" id="{6278B401-0D4A-4245-A1E3-2B23E5103975}"/>
            </a:ext>
          </a:extLst>
        </xdr:cNvPr>
        <xdr:cNvSpPr txBox="1"/>
      </xdr:nvSpPr>
      <xdr:spPr>
        <a:xfrm>
          <a:off x="54337853" y="4259225"/>
          <a:ext cx="5805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E2250E-79E6-2F46-B9F6-2B1916FAF0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769254</xdr:colOff>
      <xdr:row>26</xdr:row>
      <xdr:rowOff>13796</xdr:rowOff>
    </xdr:from>
    <xdr:to>
      <xdr:col>64</xdr:col>
      <xdr:colOff>242258</xdr:colOff>
      <xdr:row>28</xdr:row>
      <xdr:rowOff>155238</xdr:rowOff>
    </xdr:to>
    <xdr:sp macro="" textlink="#REF!">
      <xdr:nvSpPr>
        <xdr:cNvPr id="922" name="TextBox 921">
          <a:extLst>
            <a:ext uri="{FF2B5EF4-FFF2-40B4-BE49-F238E27FC236}">
              <a16:creationId xmlns:a16="http://schemas.microsoft.com/office/drawing/2014/main" id="{3433490D-D765-9E40-B7D7-21FFF7BDA30C}"/>
            </a:ext>
          </a:extLst>
        </xdr:cNvPr>
        <xdr:cNvSpPr txBox="1"/>
      </xdr:nvSpPr>
      <xdr:spPr>
        <a:xfrm>
          <a:off x="5334725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3386FD2-93D6-164F-AE6D-A6FF1BE058A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39902</xdr:colOff>
      <xdr:row>19</xdr:row>
      <xdr:rowOff>21053</xdr:rowOff>
    </xdr:from>
    <xdr:to>
      <xdr:col>69</xdr:col>
      <xdr:colOff>347477</xdr:colOff>
      <xdr:row>21</xdr:row>
      <xdr:rowOff>162495</xdr:rowOff>
    </xdr:to>
    <xdr:sp macro="" textlink="#REF!">
      <xdr:nvSpPr>
        <xdr:cNvPr id="923" name="TextBox 922">
          <a:extLst>
            <a:ext uri="{FF2B5EF4-FFF2-40B4-BE49-F238E27FC236}">
              <a16:creationId xmlns:a16="http://schemas.microsoft.com/office/drawing/2014/main" id="{793DD948-0274-A048-AFD4-B3092164C779}"/>
            </a:ext>
          </a:extLst>
        </xdr:cNvPr>
        <xdr:cNvSpPr txBox="1"/>
      </xdr:nvSpPr>
      <xdr:spPr>
        <a:xfrm>
          <a:off x="5762533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0C7D64-5B3C-F644-AEA9-2251ED62A14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736590</xdr:colOff>
      <xdr:row>19</xdr:row>
      <xdr:rowOff>21053</xdr:rowOff>
    </xdr:from>
    <xdr:to>
      <xdr:col>68</xdr:col>
      <xdr:colOff>209594</xdr:colOff>
      <xdr:row>21</xdr:row>
      <xdr:rowOff>162495</xdr:rowOff>
    </xdr:to>
    <xdr:sp macro="" textlink="#REF!">
      <xdr:nvSpPr>
        <xdr:cNvPr id="924" name="TextBox 923">
          <a:extLst>
            <a:ext uri="{FF2B5EF4-FFF2-40B4-BE49-F238E27FC236}">
              <a16:creationId xmlns:a16="http://schemas.microsoft.com/office/drawing/2014/main" id="{4865C5CB-A27B-9244-A915-CC681B66D942}"/>
            </a:ext>
          </a:extLst>
        </xdr:cNvPr>
        <xdr:cNvSpPr txBox="1"/>
      </xdr:nvSpPr>
      <xdr:spPr>
        <a:xfrm>
          <a:off x="56652876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E28082-889A-FF4A-A0FD-7CC77A9C5B5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97967</xdr:colOff>
      <xdr:row>19</xdr:row>
      <xdr:rowOff>21053</xdr:rowOff>
    </xdr:from>
    <xdr:to>
      <xdr:col>65</xdr:col>
      <xdr:colOff>392842</xdr:colOff>
      <xdr:row>21</xdr:row>
      <xdr:rowOff>162495</xdr:rowOff>
    </xdr:to>
    <xdr:sp macro="" textlink="#REF!">
      <xdr:nvSpPr>
        <xdr:cNvPr id="925" name="TextBox 924">
          <a:extLst>
            <a:ext uri="{FF2B5EF4-FFF2-40B4-BE49-F238E27FC236}">
              <a16:creationId xmlns:a16="http://schemas.microsoft.com/office/drawing/2014/main" id="{04B64978-B58D-7444-875C-78632E441F81}"/>
            </a:ext>
          </a:extLst>
        </xdr:cNvPr>
        <xdr:cNvSpPr txBox="1"/>
      </xdr:nvSpPr>
      <xdr:spPr>
        <a:xfrm>
          <a:off x="54345110" y="3123482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2CC509B-7BB1-8446-B499-A747BBD664E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776511</xdr:colOff>
      <xdr:row>19</xdr:row>
      <xdr:rowOff>21053</xdr:rowOff>
    </xdr:from>
    <xdr:to>
      <xdr:col>64</xdr:col>
      <xdr:colOff>249515</xdr:colOff>
      <xdr:row>21</xdr:row>
      <xdr:rowOff>162495</xdr:rowOff>
    </xdr:to>
    <xdr:sp macro="" textlink="#REF!">
      <xdr:nvSpPr>
        <xdr:cNvPr id="926" name="TextBox 925">
          <a:extLst>
            <a:ext uri="{FF2B5EF4-FFF2-40B4-BE49-F238E27FC236}">
              <a16:creationId xmlns:a16="http://schemas.microsoft.com/office/drawing/2014/main" id="{94B488B6-7788-E448-AF11-3D0170FB53FB}"/>
            </a:ext>
          </a:extLst>
        </xdr:cNvPr>
        <xdr:cNvSpPr txBox="1"/>
      </xdr:nvSpPr>
      <xdr:spPr>
        <a:xfrm>
          <a:off x="5335451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193BC7E-C3CA-0F43-83DA-3290BE80DD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29016</xdr:colOff>
      <xdr:row>12</xdr:row>
      <xdr:rowOff>64596</xdr:rowOff>
    </xdr:from>
    <xdr:to>
      <xdr:col>69</xdr:col>
      <xdr:colOff>336591</xdr:colOff>
      <xdr:row>15</xdr:row>
      <xdr:rowOff>42752</xdr:rowOff>
    </xdr:to>
    <xdr:sp macro="" textlink="#REF!">
      <xdr:nvSpPr>
        <xdr:cNvPr id="927" name="TextBox 926">
          <a:extLst>
            <a:ext uri="{FF2B5EF4-FFF2-40B4-BE49-F238E27FC236}">
              <a16:creationId xmlns:a16="http://schemas.microsoft.com/office/drawing/2014/main" id="{1BB5D76C-07F8-4048-B9DF-E7BBE425E94B}"/>
            </a:ext>
          </a:extLst>
        </xdr:cNvPr>
        <xdr:cNvSpPr txBox="1"/>
      </xdr:nvSpPr>
      <xdr:spPr>
        <a:xfrm>
          <a:off x="5761444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ECF74-8206-FC4C-A17C-78B6A6D4BC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725704</xdr:colOff>
      <xdr:row>12</xdr:row>
      <xdr:rowOff>64596</xdr:rowOff>
    </xdr:from>
    <xdr:to>
      <xdr:col>68</xdr:col>
      <xdr:colOff>508000</xdr:colOff>
      <xdr:row>15</xdr:row>
      <xdr:rowOff>42752</xdr:rowOff>
    </xdr:to>
    <xdr:sp macro="" textlink="#REF!">
      <xdr:nvSpPr>
        <xdr:cNvPr id="928" name="TextBox 927">
          <a:extLst>
            <a:ext uri="{FF2B5EF4-FFF2-40B4-BE49-F238E27FC236}">
              <a16:creationId xmlns:a16="http://schemas.microsoft.com/office/drawing/2014/main" id="{B7735E3C-BE56-164C-B6A7-CD76032B994B}"/>
            </a:ext>
          </a:extLst>
        </xdr:cNvPr>
        <xdr:cNvSpPr txBox="1"/>
      </xdr:nvSpPr>
      <xdr:spPr>
        <a:xfrm>
          <a:off x="56641990" y="2024025"/>
          <a:ext cx="6168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4F7F06-B71A-F145-95C7-50068642B25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87081</xdr:colOff>
      <xdr:row>12</xdr:row>
      <xdr:rowOff>64596</xdr:rowOff>
    </xdr:from>
    <xdr:to>
      <xdr:col>65</xdr:col>
      <xdr:colOff>381956</xdr:colOff>
      <xdr:row>15</xdr:row>
      <xdr:rowOff>42752</xdr:rowOff>
    </xdr:to>
    <xdr:sp macro="" textlink="#REF!">
      <xdr:nvSpPr>
        <xdr:cNvPr id="929" name="TextBox 928">
          <a:extLst>
            <a:ext uri="{FF2B5EF4-FFF2-40B4-BE49-F238E27FC236}">
              <a16:creationId xmlns:a16="http://schemas.microsoft.com/office/drawing/2014/main" id="{B235F4EF-0405-3544-8629-C74947C7D101}"/>
            </a:ext>
          </a:extLst>
        </xdr:cNvPr>
        <xdr:cNvSpPr txBox="1"/>
      </xdr:nvSpPr>
      <xdr:spPr>
        <a:xfrm>
          <a:off x="54334224" y="20240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1824C9E-71AC-A142-AF42-CBC05D7ADEE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765625</xdr:colOff>
      <xdr:row>12</xdr:row>
      <xdr:rowOff>64596</xdr:rowOff>
    </xdr:from>
    <xdr:to>
      <xdr:col>64</xdr:col>
      <xdr:colOff>238629</xdr:colOff>
      <xdr:row>15</xdr:row>
      <xdr:rowOff>42752</xdr:rowOff>
    </xdr:to>
    <xdr:sp macro="" textlink="#REF!">
      <xdr:nvSpPr>
        <xdr:cNvPr id="930" name="TextBox 929">
          <a:extLst>
            <a:ext uri="{FF2B5EF4-FFF2-40B4-BE49-F238E27FC236}">
              <a16:creationId xmlns:a16="http://schemas.microsoft.com/office/drawing/2014/main" id="{3621E571-61FE-B146-9472-E8FEDD71A209}"/>
            </a:ext>
          </a:extLst>
        </xdr:cNvPr>
        <xdr:cNvSpPr txBox="1"/>
      </xdr:nvSpPr>
      <xdr:spPr>
        <a:xfrm>
          <a:off x="5334362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4560B6-5A4E-B340-9C54-B89A15BF99D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362851</xdr:colOff>
      <xdr:row>16</xdr:row>
      <xdr:rowOff>21054</xdr:rowOff>
    </xdr:from>
    <xdr:to>
      <xdr:col>66</xdr:col>
      <xdr:colOff>670426</xdr:colOff>
      <xdr:row>18</xdr:row>
      <xdr:rowOff>162495</xdr:rowOff>
    </xdr:to>
    <xdr:sp macro="" textlink="#REF!">
      <xdr:nvSpPr>
        <xdr:cNvPr id="931" name="TextBox 930">
          <a:extLst>
            <a:ext uri="{FF2B5EF4-FFF2-40B4-BE49-F238E27FC236}">
              <a16:creationId xmlns:a16="http://schemas.microsoft.com/office/drawing/2014/main" id="{CAB76311-D5FD-A342-959E-CAFBB233F6E5}"/>
            </a:ext>
          </a:extLst>
        </xdr:cNvPr>
        <xdr:cNvSpPr txBox="1"/>
      </xdr:nvSpPr>
      <xdr:spPr>
        <a:xfrm>
          <a:off x="55444565" y="26336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8DD7E4B-DF08-BD49-95CE-FBFAD39992F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638624</xdr:colOff>
      <xdr:row>19</xdr:row>
      <xdr:rowOff>13796</xdr:rowOff>
    </xdr:from>
    <xdr:to>
      <xdr:col>68</xdr:col>
      <xdr:colOff>111628</xdr:colOff>
      <xdr:row>21</xdr:row>
      <xdr:rowOff>151076</xdr:rowOff>
    </xdr:to>
    <xdr:sp macro="" textlink="#REF!">
      <xdr:nvSpPr>
        <xdr:cNvPr id="932" name="TextBox 931">
          <a:extLst>
            <a:ext uri="{FF2B5EF4-FFF2-40B4-BE49-F238E27FC236}">
              <a16:creationId xmlns:a16="http://schemas.microsoft.com/office/drawing/2014/main" id="{D92176E8-B3BB-E14B-BAD0-68F4096034C4}"/>
            </a:ext>
          </a:extLst>
        </xdr:cNvPr>
        <xdr:cNvSpPr txBox="1"/>
      </xdr:nvSpPr>
      <xdr:spPr>
        <a:xfrm>
          <a:off x="56554910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64</xdr:col>
      <xdr:colOff>119742</xdr:colOff>
      <xdr:row>0</xdr:row>
      <xdr:rowOff>123372</xdr:rowOff>
    </xdr:from>
    <xdr:ext cx="4114800" cy="403013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47D9D61-C99C-3E42-8BFA-CA55983D45DF}"/>
            </a:ext>
          </a:extLst>
        </xdr:cNvPr>
        <xdr:cNvSpPr txBox="1"/>
      </xdr:nvSpPr>
      <xdr:spPr>
        <a:xfrm>
          <a:off x="53532313" y="1233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66</xdr:col>
      <xdr:colOff>14513</xdr:colOff>
      <xdr:row>4</xdr:row>
      <xdr:rowOff>58056</xdr:rowOff>
    </xdr:from>
    <xdr:to>
      <xdr:col>67</xdr:col>
      <xdr:colOff>94341</xdr:colOff>
      <xdr:row>6</xdr:row>
      <xdr:rowOff>5805</xdr:rowOff>
    </xdr:to>
    <xdr:sp macro="" textlink="[1]Match!$B$1">
      <xdr:nvSpPr>
        <xdr:cNvPr id="934" name="Rectangle 933">
          <a:extLst>
            <a:ext uri="{FF2B5EF4-FFF2-40B4-BE49-F238E27FC236}">
              <a16:creationId xmlns:a16="http://schemas.microsoft.com/office/drawing/2014/main" id="{4B8B4506-3C94-F644-BF6F-CCAB4C6C49AE}"/>
            </a:ext>
          </a:extLst>
        </xdr:cNvPr>
        <xdr:cNvSpPr>
          <a:spLocks/>
        </xdr:cNvSpPr>
      </xdr:nvSpPr>
      <xdr:spPr>
        <a:xfrm>
          <a:off x="55096227" y="711199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64</xdr:col>
      <xdr:colOff>126999</xdr:colOff>
      <xdr:row>7</xdr:row>
      <xdr:rowOff>148772</xdr:rowOff>
    </xdr:from>
    <xdr:ext cx="4114800" cy="403013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3F8F52C7-5F03-3243-AFEF-266258BFFB34}"/>
            </a:ext>
          </a:extLst>
        </xdr:cNvPr>
        <xdr:cNvSpPr txBox="1"/>
      </xdr:nvSpPr>
      <xdr:spPr>
        <a:xfrm>
          <a:off x="53539570" y="12917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Possessions / Tackles</a:t>
          </a:r>
        </a:p>
      </xdr:txBody>
    </xdr:sp>
    <xdr:clientData/>
  </xdr:oneCellAnchor>
  <xdr:twoCellAnchor>
    <xdr:from>
      <xdr:col>71</xdr:col>
      <xdr:colOff>0</xdr:colOff>
      <xdr:row>8</xdr:row>
      <xdr:rowOff>131364</xdr:rowOff>
    </xdr:from>
    <xdr:to>
      <xdr:col>76</xdr:col>
      <xdr:colOff>399142</xdr:colOff>
      <xdr:row>25</xdr:row>
      <xdr:rowOff>98707</xdr:rowOff>
    </xdr:to>
    <xdr:graphicFrame macro="">
      <xdr:nvGraphicFramePr>
        <xdr:cNvPr id="834" name="Chart 833">
          <a:extLst>
            <a:ext uri="{FF2B5EF4-FFF2-40B4-BE49-F238E27FC236}">
              <a16:creationId xmlns:a16="http://schemas.microsoft.com/office/drawing/2014/main" id="{E29ABDA2-1642-9244-95C7-CB131159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90714</xdr:colOff>
      <xdr:row>8</xdr:row>
      <xdr:rowOff>0</xdr:rowOff>
    </xdr:from>
    <xdr:to>
      <xdr:col>74</xdr:col>
      <xdr:colOff>79102</xdr:colOff>
      <xdr:row>9</xdr:row>
      <xdr:rowOff>111035</xdr:rowOff>
    </xdr:to>
    <xdr:sp macro="" textlink="">
      <xdr:nvSpPr>
        <xdr:cNvPr id="836" name="Rectangle 835">
          <a:extLst>
            <a:ext uri="{FF2B5EF4-FFF2-40B4-BE49-F238E27FC236}">
              <a16:creationId xmlns:a16="http://schemas.microsoft.com/office/drawing/2014/main" id="{45FB4DC2-6A0A-B24F-911E-8AA978964E71}"/>
            </a:ext>
          </a:extLst>
        </xdr:cNvPr>
        <xdr:cNvSpPr>
          <a:spLocks noChangeAspect="1"/>
        </xdr:cNvSpPr>
      </xdr:nvSpPr>
      <xdr:spPr>
        <a:xfrm>
          <a:off x="61014428" y="13062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416174</xdr:colOff>
      <xdr:row>13</xdr:row>
      <xdr:rowOff>25400</xdr:rowOff>
    </xdr:from>
    <xdr:to>
      <xdr:col>48</xdr:col>
      <xdr:colOff>435809</xdr:colOff>
      <xdr:row>34</xdr:row>
      <xdr:rowOff>87923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B3AE4D1-334A-4842-BC96-7966559E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02636" y="2233246"/>
          <a:ext cx="5060558" cy="3657600"/>
        </a:xfrm>
        <a:prstGeom prst="rect">
          <a:avLst/>
        </a:prstGeom>
      </xdr:spPr>
    </xdr:pic>
    <xdr:clientData/>
  </xdr:twoCellAnchor>
  <xdr:twoCellAnchor editAs="oneCell">
    <xdr:from>
      <xdr:col>28</xdr:col>
      <xdr:colOff>19539</xdr:colOff>
      <xdr:row>5</xdr:row>
      <xdr:rowOff>87922</xdr:rowOff>
    </xdr:from>
    <xdr:to>
      <xdr:col>35</xdr:col>
      <xdr:colOff>4600</xdr:colOff>
      <xdr:row>30</xdr:row>
      <xdr:rowOff>107461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10CF78BF-4E8A-AF48-B196-525FD064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3847" y="918307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14</xdr:col>
      <xdr:colOff>54723</xdr:colOff>
      <xdr:row>26</xdr:row>
      <xdr:rowOff>84015</xdr:rowOff>
    </xdr:from>
    <xdr:to>
      <xdr:col>21</xdr:col>
      <xdr:colOff>39784</xdr:colOff>
      <xdr:row>50</xdr:row>
      <xdr:rowOff>123092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84E6B5B-BD1E-1E44-AEDD-72A792FD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6877" y="4519246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13</xdr:col>
      <xdr:colOff>820631</xdr:colOff>
      <xdr:row>3</xdr:row>
      <xdr:rowOff>107461</xdr:rowOff>
    </xdr:from>
    <xdr:to>
      <xdr:col>20</xdr:col>
      <xdr:colOff>805692</xdr:colOff>
      <xdr:row>28</xdr:row>
      <xdr:rowOff>146538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DA56506-7F4A-E64D-8CC1-2D7FCBC4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2631" y="605692"/>
          <a:ext cx="5866138" cy="4239846"/>
        </a:xfrm>
        <a:prstGeom prst="rect">
          <a:avLst/>
        </a:prstGeom>
      </xdr:spPr>
    </xdr:pic>
    <xdr:clientData/>
  </xdr:twoCellAnchor>
  <xdr:oneCellAnchor>
    <xdr:from>
      <xdr:col>3</xdr:col>
      <xdr:colOff>639186</xdr:colOff>
      <xdr:row>4</xdr:row>
      <xdr:rowOff>17460</xdr:rowOff>
    </xdr:from>
    <xdr:ext cx="1669143" cy="593304"/>
    <xdr:sp macro="" textlink="MatchANALYSIS!C3">
      <xdr:nvSpPr>
        <xdr:cNvPr id="8" name="TextBox 7">
          <a:extLst>
            <a:ext uri="{FF2B5EF4-FFF2-40B4-BE49-F238E27FC236}">
              <a16:creationId xmlns:a16="http://schemas.microsoft.com/office/drawing/2014/main" id="{15D44A50-E6A0-384D-AD0D-E82E44CF76C2}"/>
            </a:ext>
          </a:extLst>
        </xdr:cNvPr>
        <xdr:cNvSpPr txBox="1"/>
      </xdr:nvSpPr>
      <xdr:spPr>
        <a:xfrm>
          <a:off x="3142900" y="670603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941A325D-10BE-684B-AC58-26D871F6A8D8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69144</xdr:colOff>
      <xdr:row>9</xdr:row>
      <xdr:rowOff>59972</xdr:rowOff>
    </xdr:from>
    <xdr:to>
      <xdr:col>3</xdr:col>
      <xdr:colOff>534860</xdr:colOff>
      <xdr:row>14</xdr:row>
      <xdr:rowOff>145978</xdr:rowOff>
    </xdr:to>
    <xdr:sp macro="" textlink="MatchANALYSIS!D4">
      <xdr:nvSpPr>
        <xdr:cNvPr id="9" name="TextBox 8">
          <a:extLst>
            <a:ext uri="{FF2B5EF4-FFF2-40B4-BE49-F238E27FC236}">
              <a16:creationId xmlns:a16="http://schemas.microsoft.com/office/drawing/2014/main" id="{A6737AC8-37E3-5B4E-B92B-D61675899E78}"/>
            </a:ext>
          </a:extLst>
        </xdr:cNvPr>
        <xdr:cNvSpPr txBox="1"/>
      </xdr:nvSpPr>
      <xdr:spPr>
        <a:xfrm>
          <a:off x="2572858" y="1529543"/>
          <a:ext cx="465716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2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560246</xdr:colOff>
      <xdr:row>9</xdr:row>
      <xdr:rowOff>59972</xdr:rowOff>
    </xdr:from>
    <xdr:to>
      <xdr:col>4</xdr:col>
      <xdr:colOff>149341</xdr:colOff>
      <xdr:row>14</xdr:row>
      <xdr:rowOff>145978</xdr:rowOff>
    </xdr:to>
    <xdr:sp macro="" textlink="#REF!">
      <xdr:nvSpPr>
        <xdr:cNvPr id="10" name="TextBox 9">
          <a:extLst>
            <a:ext uri="{FF2B5EF4-FFF2-40B4-BE49-F238E27FC236}">
              <a16:creationId xmlns:a16="http://schemas.microsoft.com/office/drawing/2014/main" id="{BBC83AD0-5D8B-F54A-B490-AE0045EF7E3C}"/>
            </a:ext>
          </a:extLst>
        </xdr:cNvPr>
        <xdr:cNvSpPr txBox="1"/>
      </xdr:nvSpPr>
      <xdr:spPr>
        <a:xfrm>
          <a:off x="3063960" y="1529543"/>
          <a:ext cx="423667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80000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235227</xdr:colOff>
      <xdr:row>9</xdr:row>
      <xdr:rowOff>59972</xdr:rowOff>
    </xdr:from>
    <xdr:to>
      <xdr:col>5</xdr:col>
      <xdr:colOff>280515</xdr:colOff>
      <xdr:row>14</xdr:row>
      <xdr:rowOff>145978</xdr:rowOff>
    </xdr:to>
    <xdr:sp macro="" textlink="MatchANALYSIS!D5">
      <xdr:nvSpPr>
        <xdr:cNvPr id="11" name="TextBox 10">
          <a:extLst>
            <a:ext uri="{FF2B5EF4-FFF2-40B4-BE49-F238E27FC236}">
              <a16:creationId xmlns:a16="http://schemas.microsoft.com/office/drawing/2014/main" id="{FA4F4472-6D61-3F41-B7D2-08427F7E85D9}"/>
            </a:ext>
          </a:extLst>
        </xdr:cNvPr>
        <xdr:cNvSpPr txBox="1"/>
      </xdr:nvSpPr>
      <xdr:spPr>
        <a:xfrm>
          <a:off x="3573513" y="1529543"/>
          <a:ext cx="879859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22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14716</xdr:colOff>
      <xdr:row>16</xdr:row>
      <xdr:rowOff>61109</xdr:rowOff>
    </xdr:from>
    <xdr:to>
      <xdr:col>3</xdr:col>
      <xdr:colOff>530489</xdr:colOff>
      <xdr:row>22</xdr:row>
      <xdr:rowOff>3471</xdr:rowOff>
    </xdr:to>
    <xdr:sp macro="" textlink="MatchANALYSIS!C4">
      <xdr:nvSpPr>
        <xdr:cNvPr id="12" name="TextBox 11">
          <a:extLst>
            <a:ext uri="{FF2B5EF4-FFF2-40B4-BE49-F238E27FC236}">
              <a16:creationId xmlns:a16="http://schemas.microsoft.com/office/drawing/2014/main" id="{60906BD5-FB86-2245-AAAC-64333A1D572F}"/>
            </a:ext>
          </a:extLst>
        </xdr:cNvPr>
        <xdr:cNvSpPr txBox="1"/>
      </xdr:nvSpPr>
      <xdr:spPr>
        <a:xfrm>
          <a:off x="2518430" y="2728109"/>
          <a:ext cx="515773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554853</xdr:colOff>
      <xdr:row>16</xdr:row>
      <xdr:rowOff>61109</xdr:rowOff>
    </xdr:from>
    <xdr:to>
      <xdr:col>4</xdr:col>
      <xdr:colOff>121329</xdr:colOff>
      <xdr:row>22</xdr:row>
      <xdr:rowOff>3471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E2BF808B-F7FD-424B-9C65-5A3DDE88EA5C}"/>
            </a:ext>
          </a:extLst>
        </xdr:cNvPr>
        <xdr:cNvSpPr txBox="1"/>
      </xdr:nvSpPr>
      <xdr:spPr>
        <a:xfrm>
          <a:off x="3058567" y="2728109"/>
          <a:ext cx="401048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00808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180799</xdr:colOff>
      <xdr:row>16</xdr:row>
      <xdr:rowOff>61109</xdr:rowOff>
    </xdr:from>
    <xdr:to>
      <xdr:col>5</xdr:col>
      <xdr:colOff>184982</xdr:colOff>
      <xdr:row>22</xdr:row>
      <xdr:rowOff>3471</xdr:rowOff>
    </xdr:to>
    <xdr:sp macro="" textlink="MatchANALYSIS!C5">
      <xdr:nvSpPr>
        <xdr:cNvPr id="14" name="TextBox 13">
          <a:extLst>
            <a:ext uri="{FF2B5EF4-FFF2-40B4-BE49-F238E27FC236}">
              <a16:creationId xmlns:a16="http://schemas.microsoft.com/office/drawing/2014/main" id="{470734F0-624C-004E-B3FE-B7AE9192AE84}"/>
            </a:ext>
          </a:extLst>
        </xdr:cNvPr>
        <xdr:cNvSpPr txBox="1"/>
      </xdr:nvSpPr>
      <xdr:spPr>
        <a:xfrm>
          <a:off x="3519085" y="2728109"/>
          <a:ext cx="838754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18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321732</xdr:colOff>
      <xdr:row>16</xdr:row>
      <xdr:rowOff>84067</xdr:rowOff>
    </xdr:from>
    <xdr:to>
      <xdr:col>2</xdr:col>
      <xdr:colOff>608166</xdr:colOff>
      <xdr:row>23</xdr:row>
      <xdr:rowOff>28578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7A3DDB-524F-DD4F-A3E4-5308FFDDB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161886" y="2819452"/>
          <a:ext cx="1126588" cy="1116819"/>
        </a:xfrm>
        <a:prstGeom prst="rect">
          <a:avLst/>
        </a:prstGeom>
      </xdr:spPr>
    </xdr:pic>
    <xdr:clientData/>
  </xdr:twoCellAnchor>
  <xdr:twoCellAnchor editAs="oneCell">
    <xdr:from>
      <xdr:col>1</xdr:col>
      <xdr:colOff>380744</xdr:colOff>
      <xdr:row>8</xdr:row>
      <xdr:rowOff>12496</xdr:rowOff>
    </xdr:from>
    <xdr:to>
      <xdr:col>2</xdr:col>
      <xdr:colOff>581072</xdr:colOff>
      <xdr:row>15</xdr:row>
      <xdr:rowOff>130118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82C57D-91A0-D64B-BBD6-7D0F5196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220898" y="1341111"/>
          <a:ext cx="1040482" cy="1299699"/>
        </a:xfrm>
        <a:prstGeom prst="rect">
          <a:avLst/>
        </a:prstGeom>
      </xdr:spPr>
    </xdr:pic>
    <xdr:clientData/>
  </xdr:twoCellAnchor>
  <xdr:oneCellAnchor>
    <xdr:from>
      <xdr:col>0</xdr:col>
      <xdr:colOff>791586</xdr:colOff>
      <xdr:row>3</xdr:row>
      <xdr:rowOff>140738</xdr:rowOff>
    </xdr:from>
    <xdr:ext cx="1909839" cy="593304"/>
    <xdr:sp macro="" textlink="MatchANALYSIS!D3">
      <xdr:nvSpPr>
        <xdr:cNvPr id="17" name="TextBox 16">
          <a:extLst>
            <a:ext uri="{FF2B5EF4-FFF2-40B4-BE49-F238E27FC236}">
              <a16:creationId xmlns:a16="http://schemas.microsoft.com/office/drawing/2014/main" id="{030B4CE3-1197-C441-9DE8-33741DC9D4E3}"/>
            </a:ext>
          </a:extLst>
        </xdr:cNvPr>
        <xdr:cNvSpPr txBox="1"/>
      </xdr:nvSpPr>
      <xdr:spPr>
        <a:xfrm>
          <a:off x="791586" y="630595"/>
          <a:ext cx="190983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D0034C6C-6AE5-394A-827F-CF6698B7DDBE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428728</xdr:colOff>
      <xdr:row>3</xdr:row>
      <xdr:rowOff>158882</xdr:rowOff>
    </xdr:from>
    <xdr:ext cx="1669143" cy="593304"/>
    <xdr:sp macro="" textlink="[1]Match!$B1">
      <xdr:nvSpPr>
        <xdr:cNvPr id="18" name="TextBox 17">
          <a:extLst>
            <a:ext uri="{FF2B5EF4-FFF2-40B4-BE49-F238E27FC236}">
              <a16:creationId xmlns:a16="http://schemas.microsoft.com/office/drawing/2014/main" id="{6726A25B-F7BC-634D-8A09-78F50BC1CEF9}"/>
            </a:ext>
          </a:extLst>
        </xdr:cNvPr>
        <xdr:cNvSpPr txBox="1"/>
      </xdr:nvSpPr>
      <xdr:spPr>
        <a:xfrm>
          <a:off x="2097871" y="648739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3A0C43-357F-AF48-9060-4DB3F52C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798358</xdr:colOff>
      <xdr:row>10</xdr:row>
      <xdr:rowOff>97979</xdr:rowOff>
    </xdr:from>
    <xdr:to>
      <xdr:col>12</xdr:col>
      <xdr:colOff>786747</xdr:colOff>
      <xdr:row>12</xdr:row>
      <xdr:rowOff>45727</xdr:rowOff>
    </xdr:to>
    <xdr:sp macro="" textlink="MatchANALYSIS!D3">
      <xdr:nvSpPr>
        <xdr:cNvPr id="20" name="Rectangle 19">
          <a:extLst>
            <a:ext uri="{FF2B5EF4-FFF2-40B4-BE49-F238E27FC236}">
              <a16:creationId xmlns:a16="http://schemas.microsoft.com/office/drawing/2014/main" id="{BCEE24B1-FD82-264C-B242-ADA7DDD3F452}"/>
            </a:ext>
          </a:extLst>
        </xdr:cNvPr>
        <xdr:cNvSpPr>
          <a:spLocks noChangeAspect="1"/>
        </xdr:cNvSpPr>
      </xdr:nvSpPr>
      <xdr:spPr>
        <a:xfrm>
          <a:off x="9978644" y="1730836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DC4930-55BD-0F42-97DC-33A350B6A63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12</xdr:row>
      <xdr:rowOff>123378</xdr:rowOff>
    </xdr:from>
    <xdr:to>
      <xdr:col>12</xdr:col>
      <xdr:colOff>786747</xdr:colOff>
      <xdr:row>14</xdr:row>
      <xdr:rowOff>71127</xdr:rowOff>
    </xdr:to>
    <xdr:sp macro="" textlink="MatchANALYSIS!$D12">
      <xdr:nvSpPr>
        <xdr:cNvPr id="22" name="Rectangle 21">
          <a:extLst>
            <a:ext uri="{FF2B5EF4-FFF2-40B4-BE49-F238E27FC236}">
              <a16:creationId xmlns:a16="http://schemas.microsoft.com/office/drawing/2014/main" id="{F6724878-4DC0-2946-9709-A820EBED47E3}"/>
            </a:ext>
          </a:extLst>
        </xdr:cNvPr>
        <xdr:cNvSpPr>
          <a:spLocks noChangeAspect="1"/>
        </xdr:cNvSpPr>
      </xdr:nvSpPr>
      <xdr:spPr>
        <a:xfrm>
          <a:off x="9978644" y="2082807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28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14</xdr:row>
      <xdr:rowOff>148779</xdr:rowOff>
    </xdr:from>
    <xdr:to>
      <xdr:col>12</xdr:col>
      <xdr:colOff>786747</xdr:colOff>
      <xdr:row>16</xdr:row>
      <xdr:rowOff>96528</xdr:rowOff>
    </xdr:to>
    <xdr:sp macro="" textlink="MatchANALYSIS!$D13">
      <xdr:nvSpPr>
        <xdr:cNvPr id="24" name="Rectangle 23">
          <a:extLst>
            <a:ext uri="{FF2B5EF4-FFF2-40B4-BE49-F238E27FC236}">
              <a16:creationId xmlns:a16="http://schemas.microsoft.com/office/drawing/2014/main" id="{8F03175D-B4E3-6949-9F1C-6DF2AC6AB4F9}"/>
            </a:ext>
          </a:extLst>
        </xdr:cNvPr>
        <xdr:cNvSpPr>
          <a:spLocks noChangeAspect="1"/>
        </xdr:cNvSpPr>
      </xdr:nvSpPr>
      <xdr:spPr>
        <a:xfrm>
          <a:off x="9978644" y="2452922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17</xdr:row>
      <xdr:rowOff>9</xdr:rowOff>
    </xdr:from>
    <xdr:to>
      <xdr:col>12</xdr:col>
      <xdr:colOff>786747</xdr:colOff>
      <xdr:row>18</xdr:row>
      <xdr:rowOff>111043</xdr:rowOff>
    </xdr:to>
    <xdr:sp macro="" textlink="MatchANALYSIS!$D14">
      <xdr:nvSpPr>
        <xdr:cNvPr id="26" name="Rectangle 25">
          <a:extLst>
            <a:ext uri="{FF2B5EF4-FFF2-40B4-BE49-F238E27FC236}">
              <a16:creationId xmlns:a16="http://schemas.microsoft.com/office/drawing/2014/main" id="{B0A27F45-F178-5649-B22D-E84F0F56FA0C}"/>
            </a:ext>
          </a:extLst>
        </xdr:cNvPr>
        <xdr:cNvSpPr>
          <a:spLocks noChangeAspect="1"/>
        </xdr:cNvSpPr>
      </xdr:nvSpPr>
      <xdr:spPr>
        <a:xfrm>
          <a:off x="9978644" y="2848438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19</xdr:row>
      <xdr:rowOff>18151</xdr:rowOff>
    </xdr:from>
    <xdr:to>
      <xdr:col>12</xdr:col>
      <xdr:colOff>786747</xdr:colOff>
      <xdr:row>20</xdr:row>
      <xdr:rowOff>129186</xdr:rowOff>
    </xdr:to>
    <xdr:sp macro="" textlink="MatchANALYSIS!$D15">
      <xdr:nvSpPr>
        <xdr:cNvPr id="28" name="Rectangle 27">
          <a:extLst>
            <a:ext uri="{FF2B5EF4-FFF2-40B4-BE49-F238E27FC236}">
              <a16:creationId xmlns:a16="http://schemas.microsoft.com/office/drawing/2014/main" id="{49BDAC2E-EBF4-744B-AEA8-EDA93C8ECF03}"/>
            </a:ext>
          </a:extLst>
        </xdr:cNvPr>
        <xdr:cNvSpPr>
          <a:spLocks noChangeAspect="1"/>
        </xdr:cNvSpPr>
      </xdr:nvSpPr>
      <xdr:spPr>
        <a:xfrm>
          <a:off x="9978644" y="3193151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49%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30" name="Rectangle 29">
          <a:extLst>
            <a:ext uri="{FF2B5EF4-FFF2-40B4-BE49-F238E27FC236}">
              <a16:creationId xmlns:a16="http://schemas.microsoft.com/office/drawing/2014/main" id="{34D56F05-1104-C44E-9869-093F3173D69B}"/>
            </a:ext>
          </a:extLst>
        </xdr:cNvPr>
        <xdr:cNvSpPr>
          <a:spLocks noChangeAspect="1"/>
        </xdr:cNvSpPr>
      </xdr:nvSpPr>
      <xdr:spPr>
        <a:xfrm>
          <a:off x="8926248" y="2104578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2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31" name="Rectangle 30">
          <a:extLst>
            <a:ext uri="{FF2B5EF4-FFF2-40B4-BE49-F238E27FC236}">
              <a16:creationId xmlns:a16="http://schemas.microsoft.com/office/drawing/2014/main" id="{F50FDB80-359C-214A-AA32-66E0BEBC690A}"/>
            </a:ext>
          </a:extLst>
        </xdr:cNvPr>
        <xdr:cNvSpPr>
          <a:spLocks noChangeAspect="1"/>
        </xdr:cNvSpPr>
      </xdr:nvSpPr>
      <xdr:spPr>
        <a:xfrm>
          <a:off x="8926248" y="2460179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2" name="Rectangle 31">
          <a:extLst>
            <a:ext uri="{FF2B5EF4-FFF2-40B4-BE49-F238E27FC236}">
              <a16:creationId xmlns:a16="http://schemas.microsoft.com/office/drawing/2014/main" id="{95F2A2DB-656D-8B44-9AFF-4B9A243D8982}"/>
            </a:ext>
          </a:extLst>
        </xdr:cNvPr>
        <xdr:cNvSpPr>
          <a:spLocks noChangeAspect="1"/>
        </xdr:cNvSpPr>
      </xdr:nvSpPr>
      <xdr:spPr>
        <a:xfrm>
          <a:off x="8926248" y="2806709"/>
          <a:ext cx="8138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3" name="Rectangle 32">
          <a:extLst>
            <a:ext uri="{FF2B5EF4-FFF2-40B4-BE49-F238E27FC236}">
              <a16:creationId xmlns:a16="http://schemas.microsoft.com/office/drawing/2014/main" id="{EFD2EB76-FE13-B740-812E-F67F4B897748}"/>
            </a:ext>
          </a:extLst>
        </xdr:cNvPr>
        <xdr:cNvSpPr>
          <a:spLocks noChangeAspect="1"/>
        </xdr:cNvSpPr>
      </xdr:nvSpPr>
      <xdr:spPr>
        <a:xfrm>
          <a:off x="8926248" y="3155051"/>
          <a:ext cx="8138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262A8B37-9A33-4D41-87B4-9FE406624A6F}"/>
            </a:ext>
          </a:extLst>
        </xdr:cNvPr>
        <xdr:cNvSpPr txBox="1"/>
      </xdr:nvSpPr>
      <xdr:spPr>
        <a:xfrm>
          <a:off x="23781657" y="1289955"/>
          <a:ext cx="2985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2</xdr:row>
      <xdr:rowOff>3249</xdr:rowOff>
    </xdr:from>
    <xdr:ext cx="1344083" cy="3788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658CF699-9D7D-314A-8679-158B64E7D79B}"/>
            </a:ext>
          </a:extLst>
        </xdr:cNvPr>
        <xdr:cNvSpPr txBox="1"/>
      </xdr:nvSpPr>
      <xdr:spPr>
        <a:xfrm>
          <a:off x="8228135" y="335403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24</xdr:col>
      <xdr:colOff>636991</xdr:colOff>
      <xdr:row>6</xdr:row>
      <xdr:rowOff>36653</xdr:rowOff>
    </xdr:from>
    <xdr:to>
      <xdr:col>27</xdr:col>
      <xdr:colOff>467140</xdr:colOff>
      <xdr:row>20</xdr:row>
      <xdr:rowOff>19583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FA67BFC8-294A-614D-B0BE-183D233DC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652716</xdr:colOff>
      <xdr:row>12</xdr:row>
      <xdr:rowOff>128524</xdr:rowOff>
    </xdr:from>
    <xdr:to>
      <xdr:col>23</xdr:col>
      <xdr:colOff>320031</xdr:colOff>
      <xdr:row>14</xdr:row>
      <xdr:rowOff>50303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36B4D86-44A0-5E4F-AD4B-C7773EDC148C}"/>
            </a:ext>
          </a:extLst>
        </xdr:cNvPr>
        <xdr:cNvSpPr txBox="1"/>
      </xdr:nvSpPr>
      <xdr:spPr>
        <a:xfrm>
          <a:off x="19136101" y="2121447"/>
          <a:ext cx="507468" cy="263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561763</xdr:colOff>
      <xdr:row>16</xdr:row>
      <xdr:rowOff>40605</xdr:rowOff>
    </xdr:from>
    <xdr:to>
      <xdr:col>23</xdr:col>
      <xdr:colOff>410985</xdr:colOff>
      <xdr:row>17</xdr:row>
      <xdr:rowOff>122468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F45438F4-8322-F24D-AE7D-C28D760C40CA}"/>
            </a:ext>
          </a:extLst>
        </xdr:cNvPr>
        <xdr:cNvSpPr txBox="1"/>
      </xdr:nvSpPr>
      <xdr:spPr>
        <a:xfrm>
          <a:off x="19045148" y="2727143"/>
          <a:ext cx="689375" cy="257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22</xdr:col>
      <xdr:colOff>598458</xdr:colOff>
      <xdr:row>9</xdr:row>
      <xdr:rowOff>46207</xdr:rowOff>
    </xdr:from>
    <xdr:to>
      <xdr:col>23</xdr:col>
      <xdr:colOff>374290</xdr:colOff>
      <xdr:row>10</xdr:row>
      <xdr:rowOff>134965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6B99974A-0C52-B34C-8550-4691A10866C1}"/>
            </a:ext>
          </a:extLst>
        </xdr:cNvPr>
        <xdr:cNvSpPr txBox="1"/>
      </xdr:nvSpPr>
      <xdr:spPr>
        <a:xfrm>
          <a:off x="19081843" y="1540899"/>
          <a:ext cx="615985" cy="254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278426</xdr:colOff>
      <xdr:row>27</xdr:row>
      <xdr:rowOff>5498</xdr:rowOff>
    </xdr:from>
    <xdr:to>
      <xdr:col>26</xdr:col>
      <xdr:colOff>265601</xdr:colOff>
      <xdr:row>28</xdr:row>
      <xdr:rowOff>116450</xdr:rowOff>
    </xdr:to>
    <xdr:sp macro="" textlink="MatchANALYSIS!G16">
      <xdr:nvSpPr>
        <xdr:cNvPr id="149" name="Rectangle 148">
          <a:extLst>
            <a:ext uri="{FF2B5EF4-FFF2-40B4-BE49-F238E27FC236}">
              <a16:creationId xmlns:a16="http://schemas.microsoft.com/office/drawing/2014/main" id="{48406580-C4A9-A049-BE7D-F8EC6B9CEC9C}"/>
            </a:ext>
          </a:extLst>
        </xdr:cNvPr>
        <xdr:cNvSpPr>
          <a:spLocks noChangeAspect="1"/>
        </xdr:cNvSpPr>
      </xdr:nvSpPr>
      <xdr:spPr>
        <a:xfrm>
          <a:off x="21092315" y="4633942"/>
          <a:ext cx="819730" cy="2943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27</xdr:row>
      <xdr:rowOff>5498</xdr:rowOff>
    </xdr:from>
    <xdr:to>
      <xdr:col>25</xdr:col>
      <xdr:colOff>364143</xdr:colOff>
      <xdr:row>28</xdr:row>
      <xdr:rowOff>116450</xdr:rowOff>
    </xdr:to>
    <xdr:sp macro="" textlink="MatchANALYSIS!$F16">
      <xdr:nvSpPr>
        <xdr:cNvPr id="150" name="Rectangle 149">
          <a:extLst>
            <a:ext uri="{FF2B5EF4-FFF2-40B4-BE49-F238E27FC236}">
              <a16:creationId xmlns:a16="http://schemas.microsoft.com/office/drawing/2014/main" id="{919A527D-CEA2-634D-8C4B-2D30BAFB7BC7}"/>
            </a:ext>
          </a:extLst>
        </xdr:cNvPr>
        <xdr:cNvSpPr>
          <a:spLocks/>
        </xdr:cNvSpPr>
      </xdr:nvSpPr>
      <xdr:spPr>
        <a:xfrm>
          <a:off x="19798676" y="4606806"/>
          <a:ext cx="1569313" cy="27702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24</xdr:row>
      <xdr:rowOff>131285</xdr:rowOff>
    </xdr:from>
    <xdr:to>
      <xdr:col>26</xdr:col>
      <xdr:colOff>265601</xdr:colOff>
      <xdr:row>26</xdr:row>
      <xdr:rowOff>76160</xdr:rowOff>
    </xdr:to>
    <xdr:sp macro="" textlink="[1]Match!$B$1">
      <xdr:nvSpPr>
        <xdr:cNvPr id="152" name="Rectangle 151">
          <a:extLst>
            <a:ext uri="{FF2B5EF4-FFF2-40B4-BE49-F238E27FC236}">
              <a16:creationId xmlns:a16="http://schemas.microsoft.com/office/drawing/2014/main" id="{C9A778B9-87A3-6D41-956D-B2D85535543D}"/>
            </a:ext>
          </a:extLst>
        </xdr:cNvPr>
        <xdr:cNvSpPr>
          <a:spLocks noChangeAspect="1"/>
        </xdr:cNvSpPr>
      </xdr:nvSpPr>
      <xdr:spPr>
        <a:xfrm>
          <a:off x="21092315" y="4251729"/>
          <a:ext cx="819730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278426</xdr:colOff>
      <xdr:row>29</xdr:row>
      <xdr:rowOff>35148</xdr:rowOff>
    </xdr:from>
    <xdr:to>
      <xdr:col>26</xdr:col>
      <xdr:colOff>265601</xdr:colOff>
      <xdr:row>30</xdr:row>
      <xdr:rowOff>154968</xdr:rowOff>
    </xdr:to>
    <xdr:sp macro="" textlink="MatchANALYSIS!G18">
      <xdr:nvSpPr>
        <xdr:cNvPr id="154" name="Rectangle 153">
          <a:extLst>
            <a:ext uri="{FF2B5EF4-FFF2-40B4-BE49-F238E27FC236}">
              <a16:creationId xmlns:a16="http://schemas.microsoft.com/office/drawing/2014/main" id="{6619E7E0-0E2C-2D49-AB4C-0F39F191D6C3}"/>
            </a:ext>
          </a:extLst>
        </xdr:cNvPr>
        <xdr:cNvSpPr>
          <a:spLocks noChangeAspect="1"/>
        </xdr:cNvSpPr>
      </xdr:nvSpPr>
      <xdr:spPr>
        <a:xfrm>
          <a:off x="21092315" y="5030481"/>
          <a:ext cx="819730" cy="30326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29</xdr:row>
      <xdr:rowOff>35148</xdr:rowOff>
    </xdr:from>
    <xdr:to>
      <xdr:col>25</xdr:col>
      <xdr:colOff>364143</xdr:colOff>
      <xdr:row>30</xdr:row>
      <xdr:rowOff>154968</xdr:rowOff>
    </xdr:to>
    <xdr:sp macro="" textlink="MatchANALYSIS!F18">
      <xdr:nvSpPr>
        <xdr:cNvPr id="155" name="Rectangle 154">
          <a:extLst>
            <a:ext uri="{FF2B5EF4-FFF2-40B4-BE49-F238E27FC236}">
              <a16:creationId xmlns:a16="http://schemas.microsoft.com/office/drawing/2014/main" id="{9ED05659-FAE8-B447-B3AA-B59467183CD1}"/>
            </a:ext>
          </a:extLst>
        </xdr:cNvPr>
        <xdr:cNvSpPr>
          <a:spLocks/>
        </xdr:cNvSpPr>
      </xdr:nvSpPr>
      <xdr:spPr>
        <a:xfrm>
          <a:off x="19798676" y="4968610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31</xdr:row>
      <xdr:rowOff>64798</xdr:rowOff>
    </xdr:from>
    <xdr:to>
      <xdr:col>26</xdr:col>
      <xdr:colOff>265601</xdr:colOff>
      <xdr:row>33</xdr:row>
      <xdr:rowOff>18540</xdr:rowOff>
    </xdr:to>
    <xdr:sp macro="" textlink="MatchANALYSIS!G19">
      <xdr:nvSpPr>
        <xdr:cNvPr id="157" name="Rectangle 156">
          <a:extLst>
            <a:ext uri="{FF2B5EF4-FFF2-40B4-BE49-F238E27FC236}">
              <a16:creationId xmlns:a16="http://schemas.microsoft.com/office/drawing/2014/main" id="{DEC8162D-8BA7-214A-9B9F-EC5DBA734DEA}"/>
            </a:ext>
          </a:extLst>
        </xdr:cNvPr>
        <xdr:cNvSpPr>
          <a:spLocks noChangeAspect="1"/>
        </xdr:cNvSpPr>
      </xdr:nvSpPr>
      <xdr:spPr>
        <a:xfrm>
          <a:off x="21092315" y="542702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31</xdr:row>
      <xdr:rowOff>64798</xdr:rowOff>
    </xdr:from>
    <xdr:to>
      <xdr:col>25</xdr:col>
      <xdr:colOff>364143</xdr:colOff>
      <xdr:row>33</xdr:row>
      <xdr:rowOff>18540</xdr:rowOff>
    </xdr:to>
    <xdr:sp macro="" textlink="MatchANALYSIS!F19">
      <xdr:nvSpPr>
        <xdr:cNvPr id="158" name="Rectangle 157">
          <a:extLst>
            <a:ext uri="{FF2B5EF4-FFF2-40B4-BE49-F238E27FC236}">
              <a16:creationId xmlns:a16="http://schemas.microsoft.com/office/drawing/2014/main" id="{59846955-5395-324E-B312-35954FD12842}"/>
            </a:ext>
          </a:extLst>
        </xdr:cNvPr>
        <xdr:cNvSpPr>
          <a:spLocks/>
        </xdr:cNvSpPr>
      </xdr:nvSpPr>
      <xdr:spPr>
        <a:xfrm>
          <a:off x="19798676" y="5330413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33</xdr:row>
      <xdr:rowOff>94449</xdr:rowOff>
    </xdr:from>
    <xdr:to>
      <xdr:col>26</xdr:col>
      <xdr:colOff>265601</xdr:colOff>
      <xdr:row>35</xdr:row>
      <xdr:rowOff>48191</xdr:rowOff>
    </xdr:to>
    <xdr:sp macro="" textlink="MatchANALYSIS!G13">
      <xdr:nvSpPr>
        <xdr:cNvPr id="160" name="Rectangle 159">
          <a:extLst>
            <a:ext uri="{FF2B5EF4-FFF2-40B4-BE49-F238E27FC236}">
              <a16:creationId xmlns:a16="http://schemas.microsoft.com/office/drawing/2014/main" id="{8FBB8235-43DD-7643-B616-5704DE1639D7}"/>
            </a:ext>
          </a:extLst>
        </xdr:cNvPr>
        <xdr:cNvSpPr>
          <a:spLocks noChangeAspect="1"/>
        </xdr:cNvSpPr>
      </xdr:nvSpPr>
      <xdr:spPr>
        <a:xfrm>
          <a:off x="21092315" y="582356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33</xdr:row>
      <xdr:rowOff>94449</xdr:rowOff>
    </xdr:from>
    <xdr:to>
      <xdr:col>25</xdr:col>
      <xdr:colOff>364143</xdr:colOff>
      <xdr:row>35</xdr:row>
      <xdr:rowOff>48191</xdr:rowOff>
    </xdr:to>
    <xdr:sp macro="" textlink="MatchANALYSIS!F13">
      <xdr:nvSpPr>
        <xdr:cNvPr id="161" name="Rectangle 160">
          <a:extLst>
            <a:ext uri="{FF2B5EF4-FFF2-40B4-BE49-F238E27FC236}">
              <a16:creationId xmlns:a16="http://schemas.microsoft.com/office/drawing/2014/main" id="{17CC4DE7-E044-1547-8602-2EB49B615C7D}"/>
            </a:ext>
          </a:extLst>
        </xdr:cNvPr>
        <xdr:cNvSpPr>
          <a:spLocks/>
        </xdr:cNvSpPr>
      </xdr:nvSpPr>
      <xdr:spPr>
        <a:xfrm>
          <a:off x="19798676" y="5692218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35</xdr:row>
      <xdr:rowOff>106364</xdr:rowOff>
    </xdr:from>
    <xdr:to>
      <xdr:col>26</xdr:col>
      <xdr:colOff>265601</xdr:colOff>
      <xdr:row>37</xdr:row>
      <xdr:rowOff>60105</xdr:rowOff>
    </xdr:to>
    <xdr:sp macro="" textlink="MatchANALYSIS!G14">
      <xdr:nvSpPr>
        <xdr:cNvPr id="163" name="Rectangle 162">
          <a:extLst>
            <a:ext uri="{FF2B5EF4-FFF2-40B4-BE49-F238E27FC236}">
              <a16:creationId xmlns:a16="http://schemas.microsoft.com/office/drawing/2014/main" id="{416A255C-801F-6A42-AE13-F85AFF9B0AC1}"/>
            </a:ext>
          </a:extLst>
        </xdr:cNvPr>
        <xdr:cNvSpPr>
          <a:spLocks noChangeAspect="1"/>
        </xdr:cNvSpPr>
      </xdr:nvSpPr>
      <xdr:spPr>
        <a:xfrm>
          <a:off x="21092315" y="6202364"/>
          <a:ext cx="819730" cy="32063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35</xdr:row>
      <xdr:rowOff>106364</xdr:rowOff>
    </xdr:from>
    <xdr:to>
      <xdr:col>25</xdr:col>
      <xdr:colOff>364143</xdr:colOff>
      <xdr:row>37</xdr:row>
      <xdr:rowOff>60105</xdr:rowOff>
    </xdr:to>
    <xdr:sp macro="" textlink="MatchANALYSIS!F14">
      <xdr:nvSpPr>
        <xdr:cNvPr id="164" name="Rectangle 163">
          <a:extLst>
            <a:ext uri="{FF2B5EF4-FFF2-40B4-BE49-F238E27FC236}">
              <a16:creationId xmlns:a16="http://schemas.microsoft.com/office/drawing/2014/main" id="{99246C3D-CF61-3441-9762-5426E70FC1A8}"/>
            </a:ext>
          </a:extLst>
        </xdr:cNvPr>
        <xdr:cNvSpPr>
          <a:spLocks/>
        </xdr:cNvSpPr>
      </xdr:nvSpPr>
      <xdr:spPr>
        <a:xfrm>
          <a:off x="19798676" y="6036287"/>
          <a:ext cx="1569313" cy="2858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37</xdr:row>
      <xdr:rowOff>162617</xdr:rowOff>
    </xdr:from>
    <xdr:to>
      <xdr:col>26</xdr:col>
      <xdr:colOff>265601</xdr:colOff>
      <xdr:row>39</xdr:row>
      <xdr:rowOff>107491</xdr:rowOff>
    </xdr:to>
    <xdr:sp macro="" textlink="MatchANALYSIS!G9">
      <xdr:nvSpPr>
        <xdr:cNvPr id="166" name="Rectangle 165">
          <a:extLst>
            <a:ext uri="{FF2B5EF4-FFF2-40B4-BE49-F238E27FC236}">
              <a16:creationId xmlns:a16="http://schemas.microsoft.com/office/drawing/2014/main" id="{003F81D9-3C34-BA42-BCC5-45FD6293B0E9}"/>
            </a:ext>
          </a:extLst>
        </xdr:cNvPr>
        <xdr:cNvSpPr>
          <a:spLocks noChangeAspect="1"/>
        </xdr:cNvSpPr>
      </xdr:nvSpPr>
      <xdr:spPr>
        <a:xfrm>
          <a:off x="21092315" y="6625506"/>
          <a:ext cx="819730" cy="3117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37</xdr:row>
      <xdr:rowOff>162617</xdr:rowOff>
    </xdr:from>
    <xdr:to>
      <xdr:col>25</xdr:col>
      <xdr:colOff>364143</xdr:colOff>
      <xdr:row>39</xdr:row>
      <xdr:rowOff>107491</xdr:rowOff>
    </xdr:to>
    <xdr:sp macro="" textlink="MatchANALYSIS!F9">
      <xdr:nvSpPr>
        <xdr:cNvPr id="167" name="Rectangle 166">
          <a:extLst>
            <a:ext uri="{FF2B5EF4-FFF2-40B4-BE49-F238E27FC236}">
              <a16:creationId xmlns:a16="http://schemas.microsoft.com/office/drawing/2014/main" id="{7D2B3305-C772-6B4B-8509-DDA84F5AF181}"/>
            </a:ext>
          </a:extLst>
        </xdr:cNvPr>
        <xdr:cNvSpPr>
          <a:spLocks/>
        </xdr:cNvSpPr>
      </xdr:nvSpPr>
      <xdr:spPr>
        <a:xfrm>
          <a:off x="19798676" y="6424694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40</xdr:row>
      <xdr:rowOff>26190</xdr:rowOff>
    </xdr:from>
    <xdr:to>
      <xdr:col>26</xdr:col>
      <xdr:colOff>265601</xdr:colOff>
      <xdr:row>41</xdr:row>
      <xdr:rowOff>137141</xdr:rowOff>
    </xdr:to>
    <xdr:sp macro="" textlink="MatchANALYSIS!G4">
      <xdr:nvSpPr>
        <xdr:cNvPr id="169" name="Rectangle 168">
          <a:extLst>
            <a:ext uri="{FF2B5EF4-FFF2-40B4-BE49-F238E27FC236}">
              <a16:creationId xmlns:a16="http://schemas.microsoft.com/office/drawing/2014/main" id="{62153BAA-E3D6-6544-9EE1-CD6D5C1CD411}"/>
            </a:ext>
          </a:extLst>
        </xdr:cNvPr>
        <xdr:cNvSpPr>
          <a:spLocks noChangeAspect="1"/>
        </xdr:cNvSpPr>
      </xdr:nvSpPr>
      <xdr:spPr>
        <a:xfrm>
          <a:off x="21092315" y="7025301"/>
          <a:ext cx="819730" cy="2943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40</xdr:row>
      <xdr:rowOff>26190</xdr:rowOff>
    </xdr:from>
    <xdr:to>
      <xdr:col>25</xdr:col>
      <xdr:colOff>364143</xdr:colOff>
      <xdr:row>41</xdr:row>
      <xdr:rowOff>137141</xdr:rowOff>
    </xdr:to>
    <xdr:sp macro="" textlink="MatchANALYSIS!F4">
      <xdr:nvSpPr>
        <xdr:cNvPr id="170" name="Rectangle 169">
          <a:extLst>
            <a:ext uri="{FF2B5EF4-FFF2-40B4-BE49-F238E27FC236}">
              <a16:creationId xmlns:a16="http://schemas.microsoft.com/office/drawing/2014/main" id="{E34FC609-78EB-2C40-ACAE-623ABA91A5CF}"/>
            </a:ext>
          </a:extLst>
        </xdr:cNvPr>
        <xdr:cNvSpPr>
          <a:spLocks/>
        </xdr:cNvSpPr>
      </xdr:nvSpPr>
      <xdr:spPr>
        <a:xfrm>
          <a:off x="19798676" y="6786498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42</xdr:row>
      <xdr:rowOff>75378</xdr:rowOff>
    </xdr:from>
    <xdr:to>
      <xdr:col>26</xdr:col>
      <xdr:colOff>255833</xdr:colOff>
      <xdr:row>44</xdr:row>
      <xdr:rowOff>20253</xdr:rowOff>
    </xdr:to>
    <xdr:sp macro="" textlink="MatchANALYSIS!G5">
      <xdr:nvSpPr>
        <xdr:cNvPr id="172" name="Rectangle 171">
          <a:extLst>
            <a:ext uri="{FF2B5EF4-FFF2-40B4-BE49-F238E27FC236}">
              <a16:creationId xmlns:a16="http://schemas.microsoft.com/office/drawing/2014/main" id="{680D0702-7D71-5A49-941A-759236B41B3E}"/>
            </a:ext>
          </a:extLst>
        </xdr:cNvPr>
        <xdr:cNvSpPr>
          <a:spLocks noChangeAspect="1"/>
        </xdr:cNvSpPr>
      </xdr:nvSpPr>
      <xdr:spPr>
        <a:xfrm>
          <a:off x="21082546" y="7441378"/>
          <a:ext cx="819731" cy="3117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42</xdr:row>
      <xdr:rowOff>75378</xdr:rowOff>
    </xdr:from>
    <xdr:to>
      <xdr:col>25</xdr:col>
      <xdr:colOff>354374</xdr:colOff>
      <xdr:row>44</xdr:row>
      <xdr:rowOff>20253</xdr:rowOff>
    </xdr:to>
    <xdr:sp macro="" textlink="MatchANALYSIS!F5">
      <xdr:nvSpPr>
        <xdr:cNvPr id="173" name="Rectangle 172">
          <a:extLst>
            <a:ext uri="{FF2B5EF4-FFF2-40B4-BE49-F238E27FC236}">
              <a16:creationId xmlns:a16="http://schemas.microsoft.com/office/drawing/2014/main" id="{F20EA824-4C7A-C145-947C-0A120E352BCD}"/>
            </a:ext>
          </a:extLst>
        </xdr:cNvPr>
        <xdr:cNvSpPr>
          <a:spLocks/>
        </xdr:cNvSpPr>
      </xdr:nvSpPr>
      <xdr:spPr>
        <a:xfrm>
          <a:off x="19788908" y="7226455"/>
          <a:ext cx="1569312" cy="29656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44</xdr:row>
      <xdr:rowOff>105027</xdr:rowOff>
    </xdr:from>
    <xdr:to>
      <xdr:col>26</xdr:col>
      <xdr:colOff>255833</xdr:colOff>
      <xdr:row>46</xdr:row>
      <xdr:rowOff>58769</xdr:rowOff>
    </xdr:to>
    <xdr:sp macro="" textlink="MatchANALYSIS!G6">
      <xdr:nvSpPr>
        <xdr:cNvPr id="175" name="Rectangle 174">
          <a:extLst>
            <a:ext uri="{FF2B5EF4-FFF2-40B4-BE49-F238E27FC236}">
              <a16:creationId xmlns:a16="http://schemas.microsoft.com/office/drawing/2014/main" id="{FC57CBB9-7A85-D447-ADF6-400E19F36D71}"/>
            </a:ext>
          </a:extLst>
        </xdr:cNvPr>
        <xdr:cNvSpPr>
          <a:spLocks noChangeAspect="1"/>
        </xdr:cNvSpPr>
      </xdr:nvSpPr>
      <xdr:spPr>
        <a:xfrm>
          <a:off x="21082546" y="7837916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44</xdr:row>
      <xdr:rowOff>105027</xdr:rowOff>
    </xdr:from>
    <xdr:to>
      <xdr:col>25</xdr:col>
      <xdr:colOff>354374</xdr:colOff>
      <xdr:row>46</xdr:row>
      <xdr:rowOff>58769</xdr:rowOff>
    </xdr:to>
    <xdr:sp macro="" textlink="MatchANALYSIS!F6">
      <xdr:nvSpPr>
        <xdr:cNvPr id="176" name="Rectangle 175">
          <a:extLst>
            <a:ext uri="{FF2B5EF4-FFF2-40B4-BE49-F238E27FC236}">
              <a16:creationId xmlns:a16="http://schemas.microsoft.com/office/drawing/2014/main" id="{DE51EB3D-8BDA-4E41-A4BF-C137FDEB8797}"/>
            </a:ext>
          </a:extLst>
        </xdr:cNvPr>
        <xdr:cNvSpPr>
          <a:spLocks/>
        </xdr:cNvSpPr>
      </xdr:nvSpPr>
      <xdr:spPr>
        <a:xfrm>
          <a:off x="19788908" y="7607796"/>
          <a:ext cx="1569312" cy="3054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268657</xdr:colOff>
      <xdr:row>46</xdr:row>
      <xdr:rowOff>116941</xdr:rowOff>
    </xdr:from>
    <xdr:to>
      <xdr:col>26</xdr:col>
      <xdr:colOff>255833</xdr:colOff>
      <xdr:row>48</xdr:row>
      <xdr:rowOff>70683</xdr:rowOff>
    </xdr:to>
    <xdr:sp macro="" textlink="MatchANALYSIS!G7">
      <xdr:nvSpPr>
        <xdr:cNvPr id="178" name="Rectangle 177">
          <a:extLst>
            <a:ext uri="{FF2B5EF4-FFF2-40B4-BE49-F238E27FC236}">
              <a16:creationId xmlns:a16="http://schemas.microsoft.com/office/drawing/2014/main" id="{1CF0FCDF-5183-3D4B-B83C-9209B80836DD}"/>
            </a:ext>
          </a:extLst>
        </xdr:cNvPr>
        <xdr:cNvSpPr>
          <a:spLocks noChangeAspect="1"/>
        </xdr:cNvSpPr>
      </xdr:nvSpPr>
      <xdr:spPr>
        <a:xfrm>
          <a:off x="21082546" y="8216719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46</xdr:row>
      <xdr:rowOff>116941</xdr:rowOff>
    </xdr:from>
    <xdr:to>
      <xdr:col>25</xdr:col>
      <xdr:colOff>354374</xdr:colOff>
      <xdr:row>48</xdr:row>
      <xdr:rowOff>70683</xdr:rowOff>
    </xdr:to>
    <xdr:sp macro="" textlink="MatchANALYSIS!F7">
      <xdr:nvSpPr>
        <xdr:cNvPr id="179" name="Rectangle 178">
          <a:extLst>
            <a:ext uri="{FF2B5EF4-FFF2-40B4-BE49-F238E27FC236}">
              <a16:creationId xmlns:a16="http://schemas.microsoft.com/office/drawing/2014/main" id="{A0D3DD38-825E-9C40-8EBA-594017D435B4}"/>
            </a:ext>
          </a:extLst>
        </xdr:cNvPr>
        <xdr:cNvSpPr>
          <a:spLocks/>
        </xdr:cNvSpPr>
      </xdr:nvSpPr>
      <xdr:spPr>
        <a:xfrm>
          <a:off x="19788908" y="7971403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48</xdr:row>
      <xdr:rowOff>146591</xdr:rowOff>
    </xdr:from>
    <xdr:to>
      <xdr:col>26</xdr:col>
      <xdr:colOff>255833</xdr:colOff>
      <xdr:row>50</xdr:row>
      <xdr:rowOff>100333</xdr:rowOff>
    </xdr:to>
    <xdr:sp macro="" textlink="MatchANALYSIS!G8">
      <xdr:nvSpPr>
        <xdr:cNvPr id="181" name="Rectangle 180">
          <a:extLst>
            <a:ext uri="{FF2B5EF4-FFF2-40B4-BE49-F238E27FC236}">
              <a16:creationId xmlns:a16="http://schemas.microsoft.com/office/drawing/2014/main" id="{FBD4B8FD-E390-9D46-B1C9-A5945055CB8F}"/>
            </a:ext>
          </a:extLst>
        </xdr:cNvPr>
        <xdr:cNvSpPr>
          <a:spLocks noChangeAspect="1"/>
        </xdr:cNvSpPr>
      </xdr:nvSpPr>
      <xdr:spPr>
        <a:xfrm>
          <a:off x="21082546" y="8613258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48</xdr:row>
      <xdr:rowOff>146591</xdr:rowOff>
    </xdr:from>
    <xdr:to>
      <xdr:col>25</xdr:col>
      <xdr:colOff>354374</xdr:colOff>
      <xdr:row>50</xdr:row>
      <xdr:rowOff>100333</xdr:rowOff>
    </xdr:to>
    <xdr:sp macro="" textlink="MatchANALYSIS!F8">
      <xdr:nvSpPr>
        <xdr:cNvPr id="182" name="Rectangle 181">
          <a:extLst>
            <a:ext uri="{FF2B5EF4-FFF2-40B4-BE49-F238E27FC236}">
              <a16:creationId xmlns:a16="http://schemas.microsoft.com/office/drawing/2014/main" id="{22CD75FF-8CFF-4C4E-AE77-923CF76557B5}"/>
            </a:ext>
          </a:extLst>
        </xdr:cNvPr>
        <xdr:cNvSpPr>
          <a:spLocks/>
        </xdr:cNvSpPr>
      </xdr:nvSpPr>
      <xdr:spPr>
        <a:xfrm>
          <a:off x="19788908" y="8352745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143259</xdr:colOff>
      <xdr:row>2</xdr:row>
      <xdr:rowOff>3253</xdr:rowOff>
    </xdr:from>
    <xdr:to>
      <xdr:col>26</xdr:col>
      <xdr:colOff>97665</xdr:colOff>
      <xdr:row>4</xdr:row>
      <xdr:rowOff>65063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120D7C4-B245-4B4B-9E43-7D148253AC16}"/>
            </a:ext>
          </a:extLst>
        </xdr:cNvPr>
        <xdr:cNvSpPr txBox="1"/>
      </xdr:nvSpPr>
      <xdr:spPr>
        <a:xfrm>
          <a:off x="19466797" y="335407"/>
          <a:ext cx="2474868" cy="3939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twoCellAnchor>
  <xdr:twoCellAnchor>
    <xdr:from>
      <xdr:col>23</xdr:col>
      <xdr:colOff>318475</xdr:colOff>
      <xdr:row>11</xdr:row>
      <xdr:rowOff>32081</xdr:rowOff>
    </xdr:from>
    <xdr:to>
      <xdr:col>24</xdr:col>
      <xdr:colOff>147259</xdr:colOff>
      <xdr:row>15</xdr:row>
      <xdr:rowOff>28782</xdr:rowOff>
    </xdr:to>
    <xdr:sp macro="" textlink="MatchANALYSIS!$G$16">
      <xdr:nvSpPr>
        <xdr:cNvPr id="290" name="TextBox 289">
          <a:extLst>
            <a:ext uri="{FF2B5EF4-FFF2-40B4-BE49-F238E27FC236}">
              <a16:creationId xmlns:a16="http://schemas.microsoft.com/office/drawing/2014/main" id="{D5F0CBB4-8101-1A44-A177-F9360D495EC4}"/>
            </a:ext>
          </a:extLst>
        </xdr:cNvPr>
        <xdr:cNvSpPr txBox="1"/>
      </xdr:nvSpPr>
      <xdr:spPr>
        <a:xfrm>
          <a:off x="19467253" y="1894748"/>
          <a:ext cx="661339" cy="70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FE301759-AE92-3045-AC57-766CC286A99B}" type="TxLink">
            <a:rPr lang="en-US" sz="4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33</a:t>
          </a:fld>
          <a:endParaRPr lang="en-US" sz="4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383918</xdr:colOff>
      <xdr:row>14</xdr:row>
      <xdr:rowOff>176454</xdr:rowOff>
    </xdr:from>
    <xdr:to>
      <xdr:col>24</xdr:col>
      <xdr:colOff>74218</xdr:colOff>
      <xdr:row>18</xdr:row>
      <xdr:rowOff>66881</xdr:rowOff>
    </xdr:to>
    <xdr:sp macro="" textlink="MatchANALYSIS!$G$17">
      <xdr:nvSpPr>
        <xdr:cNvPr id="291" name="TextBox 290">
          <a:extLst>
            <a:ext uri="{FF2B5EF4-FFF2-40B4-BE49-F238E27FC236}">
              <a16:creationId xmlns:a16="http://schemas.microsoft.com/office/drawing/2014/main" id="{E5E02447-F538-5442-8C6F-D6FBFD56CCCE}"/>
            </a:ext>
          </a:extLst>
        </xdr:cNvPr>
        <xdr:cNvSpPr txBox="1"/>
      </xdr:nvSpPr>
      <xdr:spPr>
        <a:xfrm>
          <a:off x="19532696" y="2561232"/>
          <a:ext cx="522855" cy="61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0C00D0C7-4B0C-4344-A170-47712C9B5CA6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19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152255</xdr:colOff>
      <xdr:row>6</xdr:row>
      <xdr:rowOff>54772</xdr:rowOff>
    </xdr:from>
    <xdr:to>
      <xdr:col>24</xdr:col>
      <xdr:colOff>313480</xdr:colOff>
      <xdr:row>11</xdr:row>
      <xdr:rowOff>124181</xdr:rowOff>
    </xdr:to>
    <xdr:sp macro="" textlink="MatchANALYSIS!$G$15">
      <xdr:nvSpPr>
        <xdr:cNvPr id="292" name="TextBox 291">
          <a:extLst>
            <a:ext uri="{FF2B5EF4-FFF2-40B4-BE49-F238E27FC236}">
              <a16:creationId xmlns:a16="http://schemas.microsoft.com/office/drawing/2014/main" id="{3BF8C476-DDD7-EB46-9DC0-CBEF1835A90D}"/>
            </a:ext>
          </a:extLst>
        </xdr:cNvPr>
        <xdr:cNvSpPr txBox="1"/>
      </xdr:nvSpPr>
      <xdr:spPr>
        <a:xfrm>
          <a:off x="19301033" y="1070772"/>
          <a:ext cx="993780" cy="916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fld id="{B06D8704-7AD1-574A-A798-267C045A43B7}" type="TxLink">
            <a:rPr lang="en-US" sz="5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47</a:t>
          </a:fld>
          <a:endParaRPr lang="en-US" sz="5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193480</xdr:colOff>
      <xdr:row>4</xdr:row>
      <xdr:rowOff>3836</xdr:rowOff>
    </xdr:from>
    <xdr:to>
      <xdr:col>24</xdr:col>
      <xdr:colOff>180653</xdr:colOff>
      <xdr:row>5</xdr:row>
      <xdr:rowOff>118044</xdr:rowOff>
    </xdr:to>
    <xdr:sp macro="" textlink="[1]Match!$B$1">
      <xdr:nvSpPr>
        <xdr:cNvPr id="293" name="Rectangle 292">
          <a:extLst>
            <a:ext uri="{FF2B5EF4-FFF2-40B4-BE49-F238E27FC236}">
              <a16:creationId xmlns:a16="http://schemas.microsoft.com/office/drawing/2014/main" id="{2BE0AFA6-71F7-094B-A234-11169B143D3F}"/>
            </a:ext>
          </a:extLst>
        </xdr:cNvPr>
        <xdr:cNvSpPr>
          <a:spLocks noChangeAspect="1"/>
        </xdr:cNvSpPr>
      </xdr:nvSpPr>
      <xdr:spPr>
        <a:xfrm>
          <a:off x="19342258" y="681169"/>
          <a:ext cx="819728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35</xdr:col>
      <xdr:colOff>384392</xdr:colOff>
      <xdr:row>7</xdr:row>
      <xdr:rowOff>18626</xdr:rowOff>
    </xdr:from>
    <xdr:to>
      <xdr:col>41</xdr:col>
      <xdr:colOff>484165</xdr:colOff>
      <xdr:row>25</xdr:row>
      <xdr:rowOff>117928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1D4EE3D-583D-114D-A351-84A27635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174559</xdr:colOff>
      <xdr:row>2</xdr:row>
      <xdr:rowOff>16759</xdr:rowOff>
    </xdr:from>
    <xdr:to>
      <xdr:col>40</xdr:col>
      <xdr:colOff>630439</xdr:colOff>
      <xdr:row>4</xdr:row>
      <xdr:rowOff>68699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A93342A8-D5AF-AD43-B590-93F0A1B0C382}"/>
            </a:ext>
          </a:extLst>
        </xdr:cNvPr>
        <xdr:cNvSpPr txBox="1"/>
      </xdr:nvSpPr>
      <xdr:spPr>
        <a:xfrm>
          <a:off x="30420097" y="348913"/>
          <a:ext cx="3816496" cy="384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38</xdr:col>
      <xdr:colOff>12951</xdr:colOff>
      <xdr:row>4</xdr:row>
      <xdr:rowOff>57054</xdr:rowOff>
    </xdr:from>
    <xdr:to>
      <xdr:col>38</xdr:col>
      <xdr:colOff>835919</xdr:colOff>
      <xdr:row>6</xdr:row>
      <xdr:rowOff>2190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54F8D052-46F1-4541-BA9F-13A12C932511}"/>
            </a:ext>
          </a:extLst>
        </xdr:cNvPr>
        <xdr:cNvSpPr>
          <a:spLocks noChangeAspect="1"/>
        </xdr:cNvSpPr>
      </xdr:nvSpPr>
      <xdr:spPr>
        <a:xfrm>
          <a:off x="31938797" y="721362"/>
          <a:ext cx="822968" cy="27729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475763</xdr:colOff>
      <xdr:row>0</xdr:row>
      <xdr:rowOff>27914</xdr:rowOff>
    </xdr:from>
    <xdr:ext cx="5056415" cy="6266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525933-1B4B-BF45-9B14-BF82B059A317}"/>
            </a:ext>
          </a:extLst>
        </xdr:cNvPr>
        <xdr:cNvSpPr txBox="1"/>
      </xdr:nvSpPr>
      <xdr:spPr>
        <a:xfrm>
          <a:off x="475763" y="27914"/>
          <a:ext cx="5056415" cy="626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Match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Report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5">
      <xdr:nvSpPr>
        <xdr:cNvPr id="313" name="Rectangle 312">
          <a:extLst>
            <a:ext uri="{FF2B5EF4-FFF2-40B4-BE49-F238E27FC236}">
              <a16:creationId xmlns:a16="http://schemas.microsoft.com/office/drawing/2014/main" id="{14DCD26F-8A6B-3244-B9FE-70E75C59C9AD}"/>
            </a:ext>
          </a:extLst>
        </xdr:cNvPr>
        <xdr:cNvSpPr>
          <a:spLocks noChangeAspect="1"/>
        </xdr:cNvSpPr>
      </xdr:nvSpPr>
      <xdr:spPr>
        <a:xfrm>
          <a:off x="36574593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6">
      <xdr:nvSpPr>
        <xdr:cNvPr id="316" name="Rectangle 315">
          <a:extLst>
            <a:ext uri="{FF2B5EF4-FFF2-40B4-BE49-F238E27FC236}">
              <a16:creationId xmlns:a16="http://schemas.microsoft.com/office/drawing/2014/main" id="{29B2FDBA-4A37-AE44-BE0E-D4CED3B2CE43}"/>
            </a:ext>
          </a:extLst>
        </xdr:cNvPr>
        <xdr:cNvSpPr>
          <a:spLocks noChangeAspect="1"/>
        </xdr:cNvSpPr>
      </xdr:nvSpPr>
      <xdr:spPr>
        <a:xfrm>
          <a:off x="36574593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8">
      <xdr:nvSpPr>
        <xdr:cNvPr id="304" name="Rectangle 303">
          <a:extLst>
            <a:ext uri="{FF2B5EF4-FFF2-40B4-BE49-F238E27FC236}">
              <a16:creationId xmlns:a16="http://schemas.microsoft.com/office/drawing/2014/main" id="{1A266BA2-E709-BD46-ACA0-13E33CC8503C}"/>
            </a:ext>
          </a:extLst>
        </xdr:cNvPr>
        <xdr:cNvSpPr>
          <a:spLocks noChangeAspect="1"/>
        </xdr:cNvSpPr>
      </xdr:nvSpPr>
      <xdr:spPr>
        <a:xfrm>
          <a:off x="39149791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8">
      <xdr:nvSpPr>
        <xdr:cNvPr id="305" name="Rectangle 304">
          <a:extLst>
            <a:ext uri="{FF2B5EF4-FFF2-40B4-BE49-F238E27FC236}">
              <a16:creationId xmlns:a16="http://schemas.microsoft.com/office/drawing/2014/main" id="{20F79F1A-FF46-9B48-B76E-E90171F11F14}"/>
            </a:ext>
          </a:extLst>
        </xdr:cNvPr>
        <xdr:cNvSpPr>
          <a:spLocks noChangeAspect="1"/>
        </xdr:cNvSpPr>
      </xdr:nvSpPr>
      <xdr:spPr>
        <a:xfrm>
          <a:off x="36574593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8">
      <xdr:nvSpPr>
        <xdr:cNvPr id="306" name="Rectangle 305">
          <a:extLst>
            <a:ext uri="{FF2B5EF4-FFF2-40B4-BE49-F238E27FC236}">
              <a16:creationId xmlns:a16="http://schemas.microsoft.com/office/drawing/2014/main" id="{237224D9-1A15-9C45-8743-E8C829799455}"/>
            </a:ext>
          </a:extLst>
        </xdr:cNvPr>
        <xdr:cNvSpPr>
          <a:spLocks/>
        </xdr:cNvSpPr>
      </xdr:nvSpPr>
      <xdr:spPr>
        <a:xfrm>
          <a:off x="37534505" y="1060914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C$1">
      <xdr:nvSpPr>
        <xdr:cNvPr id="307" name="Rectangle 306">
          <a:extLst>
            <a:ext uri="{FF2B5EF4-FFF2-40B4-BE49-F238E27FC236}">
              <a16:creationId xmlns:a16="http://schemas.microsoft.com/office/drawing/2014/main" id="{ED34B9F0-988C-FE4D-9F40-1BE06150A716}"/>
            </a:ext>
          </a:extLst>
        </xdr:cNvPr>
        <xdr:cNvSpPr>
          <a:spLocks noChangeAspect="1"/>
        </xdr:cNvSpPr>
      </xdr:nvSpPr>
      <xdr:spPr>
        <a:xfrm>
          <a:off x="39149791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B$1">
      <xdr:nvSpPr>
        <xdr:cNvPr id="308" name="Rectangle 307">
          <a:extLst>
            <a:ext uri="{FF2B5EF4-FFF2-40B4-BE49-F238E27FC236}">
              <a16:creationId xmlns:a16="http://schemas.microsoft.com/office/drawing/2014/main" id="{E12BC15C-E6BC-EA49-B580-ED5828E6C9AA}"/>
            </a:ext>
          </a:extLst>
        </xdr:cNvPr>
        <xdr:cNvSpPr>
          <a:spLocks noChangeAspect="1"/>
        </xdr:cNvSpPr>
      </xdr:nvSpPr>
      <xdr:spPr>
        <a:xfrm>
          <a:off x="36574593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7">
      <xdr:nvSpPr>
        <xdr:cNvPr id="309" name="Rectangle 308">
          <a:extLst>
            <a:ext uri="{FF2B5EF4-FFF2-40B4-BE49-F238E27FC236}">
              <a16:creationId xmlns:a16="http://schemas.microsoft.com/office/drawing/2014/main" id="{313B04A7-214B-6F49-B6E5-5B7077815234}"/>
            </a:ext>
          </a:extLst>
        </xdr:cNvPr>
        <xdr:cNvSpPr>
          <a:spLocks noChangeAspect="1"/>
        </xdr:cNvSpPr>
      </xdr:nvSpPr>
      <xdr:spPr>
        <a:xfrm>
          <a:off x="39149791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7">
      <xdr:nvSpPr>
        <xdr:cNvPr id="310" name="Rectangle 309">
          <a:extLst>
            <a:ext uri="{FF2B5EF4-FFF2-40B4-BE49-F238E27FC236}">
              <a16:creationId xmlns:a16="http://schemas.microsoft.com/office/drawing/2014/main" id="{F4F94CBB-892C-DF48-A788-D535DD7D983A}"/>
            </a:ext>
          </a:extLst>
        </xdr:cNvPr>
        <xdr:cNvSpPr>
          <a:spLocks noChangeAspect="1"/>
        </xdr:cNvSpPr>
      </xdr:nvSpPr>
      <xdr:spPr>
        <a:xfrm>
          <a:off x="36574593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7">
      <xdr:nvSpPr>
        <xdr:cNvPr id="311" name="Rectangle 310">
          <a:extLst>
            <a:ext uri="{FF2B5EF4-FFF2-40B4-BE49-F238E27FC236}">
              <a16:creationId xmlns:a16="http://schemas.microsoft.com/office/drawing/2014/main" id="{2EB6AE4A-6549-524B-9650-52EB4CD15EB8}"/>
            </a:ext>
          </a:extLst>
        </xdr:cNvPr>
        <xdr:cNvSpPr>
          <a:spLocks/>
        </xdr:cNvSpPr>
      </xdr:nvSpPr>
      <xdr:spPr>
        <a:xfrm>
          <a:off x="37534505" y="1429686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5">
      <xdr:nvSpPr>
        <xdr:cNvPr id="312" name="Rectangle 311">
          <a:extLst>
            <a:ext uri="{FF2B5EF4-FFF2-40B4-BE49-F238E27FC236}">
              <a16:creationId xmlns:a16="http://schemas.microsoft.com/office/drawing/2014/main" id="{54AB9AEF-5F04-554D-A215-F6478006EA9B}"/>
            </a:ext>
          </a:extLst>
        </xdr:cNvPr>
        <xdr:cNvSpPr>
          <a:spLocks noChangeAspect="1"/>
        </xdr:cNvSpPr>
      </xdr:nvSpPr>
      <xdr:spPr>
        <a:xfrm>
          <a:off x="39149791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5">
      <xdr:nvSpPr>
        <xdr:cNvPr id="314" name="Rectangle 313">
          <a:extLst>
            <a:ext uri="{FF2B5EF4-FFF2-40B4-BE49-F238E27FC236}">
              <a16:creationId xmlns:a16="http://schemas.microsoft.com/office/drawing/2014/main" id="{BDA0A448-7079-0D49-A56A-6E20A99D1851}"/>
            </a:ext>
          </a:extLst>
        </xdr:cNvPr>
        <xdr:cNvSpPr>
          <a:spLocks/>
        </xdr:cNvSpPr>
      </xdr:nvSpPr>
      <xdr:spPr>
        <a:xfrm>
          <a:off x="37534505" y="1798458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6">
      <xdr:nvSpPr>
        <xdr:cNvPr id="315" name="Rectangle 314">
          <a:extLst>
            <a:ext uri="{FF2B5EF4-FFF2-40B4-BE49-F238E27FC236}">
              <a16:creationId xmlns:a16="http://schemas.microsoft.com/office/drawing/2014/main" id="{AEF3BDAE-58A4-A340-9130-FCA9CF451CF2}"/>
            </a:ext>
          </a:extLst>
        </xdr:cNvPr>
        <xdr:cNvSpPr>
          <a:spLocks noChangeAspect="1"/>
        </xdr:cNvSpPr>
      </xdr:nvSpPr>
      <xdr:spPr>
        <a:xfrm>
          <a:off x="39149791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6">
      <xdr:nvSpPr>
        <xdr:cNvPr id="317" name="Rectangle 316">
          <a:extLst>
            <a:ext uri="{FF2B5EF4-FFF2-40B4-BE49-F238E27FC236}">
              <a16:creationId xmlns:a16="http://schemas.microsoft.com/office/drawing/2014/main" id="{45BCCA38-5143-4143-9B14-135A4D45E65A}"/>
            </a:ext>
          </a:extLst>
        </xdr:cNvPr>
        <xdr:cNvSpPr>
          <a:spLocks/>
        </xdr:cNvSpPr>
      </xdr:nvSpPr>
      <xdr:spPr>
        <a:xfrm>
          <a:off x="37534505" y="2167229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195752</xdr:colOff>
      <xdr:row>1</xdr:row>
      <xdr:rowOff>117231</xdr:rowOff>
    </xdr:from>
    <xdr:to>
      <xdr:col>47</xdr:col>
      <xdr:colOff>746662</xdr:colOff>
      <xdr:row>4</xdr:row>
      <xdr:rowOff>6505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60DD9D73-0C3D-824F-871E-3EDDE55A605D}"/>
            </a:ext>
          </a:extLst>
        </xdr:cNvPr>
        <xdr:cNvSpPr txBox="1"/>
      </xdr:nvSpPr>
      <xdr:spPr>
        <a:xfrm>
          <a:off x="36322367" y="283308"/>
          <a:ext cx="3911526" cy="387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5">
      <xdr:nvSpPr>
        <xdr:cNvPr id="320" name="Rectangle 319">
          <a:extLst>
            <a:ext uri="{FF2B5EF4-FFF2-40B4-BE49-F238E27FC236}">
              <a16:creationId xmlns:a16="http://schemas.microsoft.com/office/drawing/2014/main" id="{1FB18C14-24E3-704E-8A4F-FF0200557038}"/>
            </a:ext>
          </a:extLst>
        </xdr:cNvPr>
        <xdr:cNvSpPr>
          <a:spLocks noChangeAspect="1"/>
        </xdr:cNvSpPr>
      </xdr:nvSpPr>
      <xdr:spPr>
        <a:xfrm>
          <a:off x="36079918" y="2887129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7">
      <xdr:nvSpPr>
        <xdr:cNvPr id="321" name="Rectangle 320">
          <a:extLst>
            <a:ext uri="{FF2B5EF4-FFF2-40B4-BE49-F238E27FC236}">
              <a16:creationId xmlns:a16="http://schemas.microsoft.com/office/drawing/2014/main" id="{36545131-12EC-2C40-8689-208DC500C1AB}"/>
            </a:ext>
          </a:extLst>
        </xdr:cNvPr>
        <xdr:cNvSpPr>
          <a:spLocks noChangeAspect="1"/>
        </xdr:cNvSpPr>
      </xdr:nvSpPr>
      <xdr:spPr>
        <a:xfrm>
          <a:off x="36096939" y="3630652"/>
          <a:ext cx="1346377" cy="464925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6">
      <xdr:nvSpPr>
        <xdr:cNvPr id="322" name="Rectangle 321">
          <a:extLst>
            <a:ext uri="{FF2B5EF4-FFF2-40B4-BE49-F238E27FC236}">
              <a16:creationId xmlns:a16="http://schemas.microsoft.com/office/drawing/2014/main" id="{CC88855A-E400-914F-A151-2BEF738A5A60}"/>
            </a:ext>
          </a:extLst>
        </xdr:cNvPr>
        <xdr:cNvSpPr>
          <a:spLocks noChangeAspect="1"/>
        </xdr:cNvSpPr>
      </xdr:nvSpPr>
      <xdr:spPr>
        <a:xfrm>
          <a:off x="36079918" y="4400793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537AB1F-E764-364A-9358-0DEF4BDB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604978" y="2792023"/>
          <a:ext cx="3781021" cy="26201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0">
      <xdr:nvSpPr>
        <xdr:cNvPr id="324" name="Rectangle 323">
          <a:extLst>
            <a:ext uri="{FF2B5EF4-FFF2-40B4-BE49-F238E27FC236}">
              <a16:creationId xmlns:a16="http://schemas.microsoft.com/office/drawing/2014/main" id="{506350E3-F74C-EF44-91F6-188A827B0C86}"/>
            </a:ext>
          </a:extLst>
        </xdr:cNvPr>
        <xdr:cNvSpPr>
          <a:spLocks noChangeAspect="1"/>
        </xdr:cNvSpPr>
      </xdr:nvSpPr>
      <xdr:spPr>
        <a:xfrm>
          <a:off x="3646118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1">
      <xdr:nvSpPr>
        <xdr:cNvPr id="325" name="Rectangle 324">
          <a:extLst>
            <a:ext uri="{FF2B5EF4-FFF2-40B4-BE49-F238E27FC236}">
              <a16:creationId xmlns:a16="http://schemas.microsoft.com/office/drawing/2014/main" id="{0C380354-EB83-7740-9240-46A7D597B21A}"/>
            </a:ext>
          </a:extLst>
        </xdr:cNvPr>
        <xdr:cNvSpPr>
          <a:spLocks noChangeAspect="1"/>
        </xdr:cNvSpPr>
      </xdr:nvSpPr>
      <xdr:spPr>
        <a:xfrm>
          <a:off x="37021184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26" name="Rectangle 325">
          <a:extLst>
            <a:ext uri="{FF2B5EF4-FFF2-40B4-BE49-F238E27FC236}">
              <a16:creationId xmlns:a16="http://schemas.microsoft.com/office/drawing/2014/main" id="{3876AEDE-9DC0-0448-8F2D-1802B16FAE6D}"/>
            </a:ext>
          </a:extLst>
        </xdr:cNvPr>
        <xdr:cNvSpPr>
          <a:spLocks noChangeAspect="1"/>
        </xdr:cNvSpPr>
      </xdr:nvSpPr>
      <xdr:spPr>
        <a:xfrm>
          <a:off x="38227991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3">
      <xdr:nvSpPr>
        <xdr:cNvPr id="327" name="Rectangle 326">
          <a:extLst>
            <a:ext uri="{FF2B5EF4-FFF2-40B4-BE49-F238E27FC236}">
              <a16:creationId xmlns:a16="http://schemas.microsoft.com/office/drawing/2014/main" id="{88F5B4BD-0370-7448-BE59-182E57602104}"/>
            </a:ext>
          </a:extLst>
        </xdr:cNvPr>
        <xdr:cNvSpPr>
          <a:spLocks noChangeAspect="1"/>
        </xdr:cNvSpPr>
      </xdr:nvSpPr>
      <xdr:spPr>
        <a:xfrm>
          <a:off x="38839050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4">
      <xdr:nvSpPr>
        <xdr:cNvPr id="328" name="Rectangle 327">
          <a:extLst>
            <a:ext uri="{FF2B5EF4-FFF2-40B4-BE49-F238E27FC236}">
              <a16:creationId xmlns:a16="http://schemas.microsoft.com/office/drawing/2014/main" id="{C545E5BA-383D-9B4F-BBDB-4C874118A15A}"/>
            </a:ext>
          </a:extLst>
        </xdr:cNvPr>
        <xdr:cNvSpPr>
          <a:spLocks noChangeAspect="1"/>
        </xdr:cNvSpPr>
      </xdr:nvSpPr>
      <xdr:spPr>
        <a:xfrm>
          <a:off x="3945010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4">
      <xdr:nvSpPr>
        <xdr:cNvPr id="329" name="TextBox 328">
          <a:extLst>
            <a:ext uri="{FF2B5EF4-FFF2-40B4-BE49-F238E27FC236}">
              <a16:creationId xmlns:a16="http://schemas.microsoft.com/office/drawing/2014/main" id="{565069EA-73AE-0A4F-BBBF-90D64AB1D511}"/>
            </a:ext>
          </a:extLst>
        </xdr:cNvPr>
        <xdr:cNvSpPr txBox="1"/>
      </xdr:nvSpPr>
      <xdr:spPr>
        <a:xfrm>
          <a:off x="36590544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30" name="Rectangle 329">
          <a:extLst>
            <a:ext uri="{FF2B5EF4-FFF2-40B4-BE49-F238E27FC236}">
              <a16:creationId xmlns:a16="http://schemas.microsoft.com/office/drawing/2014/main" id="{330BDF49-3B7A-F840-A9E6-55A9774A549C}"/>
            </a:ext>
          </a:extLst>
        </xdr:cNvPr>
        <xdr:cNvSpPr>
          <a:spLocks noChangeAspect="1"/>
        </xdr:cNvSpPr>
      </xdr:nvSpPr>
      <xdr:spPr>
        <a:xfrm>
          <a:off x="37622030" y="5064465"/>
          <a:ext cx="819741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5">
      <xdr:nvSpPr>
        <xdr:cNvPr id="331" name="TextBox 330">
          <a:extLst>
            <a:ext uri="{FF2B5EF4-FFF2-40B4-BE49-F238E27FC236}">
              <a16:creationId xmlns:a16="http://schemas.microsoft.com/office/drawing/2014/main" id="{594C5243-80E3-384B-901D-2EEEFB767FAE}"/>
            </a:ext>
          </a:extLst>
        </xdr:cNvPr>
        <xdr:cNvSpPr txBox="1"/>
      </xdr:nvSpPr>
      <xdr:spPr>
        <a:xfrm>
          <a:off x="37337777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6">
      <xdr:nvSpPr>
        <xdr:cNvPr id="332" name="TextBox 331">
          <a:extLst>
            <a:ext uri="{FF2B5EF4-FFF2-40B4-BE49-F238E27FC236}">
              <a16:creationId xmlns:a16="http://schemas.microsoft.com/office/drawing/2014/main" id="{266E1B4D-A907-DB46-B7D8-8E575C7BD098}"/>
            </a:ext>
          </a:extLst>
        </xdr:cNvPr>
        <xdr:cNvSpPr txBox="1"/>
      </xdr:nvSpPr>
      <xdr:spPr>
        <a:xfrm>
          <a:off x="38204159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7">
      <xdr:nvSpPr>
        <xdr:cNvPr id="333" name="TextBox 332">
          <a:extLst>
            <a:ext uri="{FF2B5EF4-FFF2-40B4-BE49-F238E27FC236}">
              <a16:creationId xmlns:a16="http://schemas.microsoft.com/office/drawing/2014/main" id="{87C58800-CD44-EA47-AAD9-9C90C8C6C109}"/>
            </a:ext>
          </a:extLst>
        </xdr:cNvPr>
        <xdr:cNvSpPr txBox="1"/>
      </xdr:nvSpPr>
      <xdr:spPr>
        <a:xfrm>
          <a:off x="38951391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8">
      <xdr:nvSpPr>
        <xdr:cNvPr id="334" name="TextBox 333">
          <a:extLst>
            <a:ext uri="{FF2B5EF4-FFF2-40B4-BE49-F238E27FC236}">
              <a16:creationId xmlns:a16="http://schemas.microsoft.com/office/drawing/2014/main" id="{1521BE1F-2A2C-2344-953F-858CB638B2DB}"/>
            </a:ext>
          </a:extLst>
        </xdr:cNvPr>
        <xdr:cNvSpPr txBox="1"/>
      </xdr:nvSpPr>
      <xdr:spPr>
        <a:xfrm>
          <a:off x="39511388" y="2747658"/>
          <a:ext cx="288560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4">
      <xdr:nvSpPr>
        <xdr:cNvPr id="335" name="TextBox 334">
          <a:extLst>
            <a:ext uri="{FF2B5EF4-FFF2-40B4-BE49-F238E27FC236}">
              <a16:creationId xmlns:a16="http://schemas.microsoft.com/office/drawing/2014/main" id="{8228217A-0F21-0D4E-8685-523A60F412C4}"/>
            </a:ext>
          </a:extLst>
        </xdr:cNvPr>
        <xdr:cNvSpPr txBox="1"/>
      </xdr:nvSpPr>
      <xdr:spPr>
        <a:xfrm>
          <a:off x="36597352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5">
      <xdr:nvSpPr>
        <xdr:cNvPr id="336" name="TextBox 335">
          <a:extLst>
            <a:ext uri="{FF2B5EF4-FFF2-40B4-BE49-F238E27FC236}">
              <a16:creationId xmlns:a16="http://schemas.microsoft.com/office/drawing/2014/main" id="{6E18EB65-48B5-514D-866F-2B88E20E58ED}"/>
            </a:ext>
          </a:extLst>
        </xdr:cNvPr>
        <xdr:cNvSpPr txBox="1"/>
      </xdr:nvSpPr>
      <xdr:spPr>
        <a:xfrm>
          <a:off x="37344585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6">
      <xdr:nvSpPr>
        <xdr:cNvPr id="337" name="TextBox 336">
          <a:extLst>
            <a:ext uri="{FF2B5EF4-FFF2-40B4-BE49-F238E27FC236}">
              <a16:creationId xmlns:a16="http://schemas.microsoft.com/office/drawing/2014/main" id="{6F3C3D9D-A476-304C-9FB9-EF1138AE5822}"/>
            </a:ext>
          </a:extLst>
        </xdr:cNvPr>
        <xdr:cNvSpPr txBox="1"/>
      </xdr:nvSpPr>
      <xdr:spPr>
        <a:xfrm>
          <a:off x="38210967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7">
      <xdr:nvSpPr>
        <xdr:cNvPr id="338" name="TextBox 337">
          <a:extLst>
            <a:ext uri="{FF2B5EF4-FFF2-40B4-BE49-F238E27FC236}">
              <a16:creationId xmlns:a16="http://schemas.microsoft.com/office/drawing/2014/main" id="{36FB881B-F101-3942-B36B-02D58B3FD283}"/>
            </a:ext>
          </a:extLst>
        </xdr:cNvPr>
        <xdr:cNvSpPr txBox="1"/>
      </xdr:nvSpPr>
      <xdr:spPr>
        <a:xfrm>
          <a:off x="38975219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8">
      <xdr:nvSpPr>
        <xdr:cNvPr id="339" name="TextBox 338">
          <a:extLst>
            <a:ext uri="{FF2B5EF4-FFF2-40B4-BE49-F238E27FC236}">
              <a16:creationId xmlns:a16="http://schemas.microsoft.com/office/drawing/2014/main" id="{42C8B1F1-8D8F-9142-A77E-CC8B4B77195E}"/>
            </a:ext>
          </a:extLst>
        </xdr:cNvPr>
        <xdr:cNvSpPr txBox="1"/>
      </xdr:nvSpPr>
      <xdr:spPr>
        <a:xfrm>
          <a:off x="39506280" y="4298602"/>
          <a:ext cx="30047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9">
      <xdr:nvSpPr>
        <xdr:cNvPr id="340" name="TextBox 339">
          <a:extLst>
            <a:ext uri="{FF2B5EF4-FFF2-40B4-BE49-F238E27FC236}">
              <a16:creationId xmlns:a16="http://schemas.microsoft.com/office/drawing/2014/main" id="{FB5B9C07-8D43-4141-B074-C18C4B0F7D4C}"/>
            </a:ext>
          </a:extLst>
        </xdr:cNvPr>
        <xdr:cNvSpPr txBox="1"/>
      </xdr:nvSpPr>
      <xdr:spPr>
        <a:xfrm>
          <a:off x="36590544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0">
      <xdr:nvSpPr>
        <xdr:cNvPr id="341" name="TextBox 340">
          <a:extLst>
            <a:ext uri="{FF2B5EF4-FFF2-40B4-BE49-F238E27FC236}">
              <a16:creationId xmlns:a16="http://schemas.microsoft.com/office/drawing/2014/main" id="{A8B521E8-2C8C-8945-A4B8-928002056A89}"/>
            </a:ext>
          </a:extLst>
        </xdr:cNvPr>
        <xdr:cNvSpPr txBox="1"/>
      </xdr:nvSpPr>
      <xdr:spPr>
        <a:xfrm>
          <a:off x="37337777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1">
      <xdr:nvSpPr>
        <xdr:cNvPr id="342" name="TextBox 341">
          <a:extLst>
            <a:ext uri="{FF2B5EF4-FFF2-40B4-BE49-F238E27FC236}">
              <a16:creationId xmlns:a16="http://schemas.microsoft.com/office/drawing/2014/main" id="{4FB846F7-5DCE-8448-911E-12F8546DC4C6}"/>
            </a:ext>
          </a:extLst>
        </xdr:cNvPr>
        <xdr:cNvSpPr txBox="1"/>
      </xdr:nvSpPr>
      <xdr:spPr>
        <a:xfrm>
          <a:off x="38204159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2">
      <xdr:nvSpPr>
        <xdr:cNvPr id="343" name="TextBox 342">
          <a:extLst>
            <a:ext uri="{FF2B5EF4-FFF2-40B4-BE49-F238E27FC236}">
              <a16:creationId xmlns:a16="http://schemas.microsoft.com/office/drawing/2014/main" id="{28B5EFE9-F0B8-7547-8B8C-92CEB4CF0211}"/>
            </a:ext>
          </a:extLst>
        </xdr:cNvPr>
        <xdr:cNvSpPr txBox="1"/>
      </xdr:nvSpPr>
      <xdr:spPr>
        <a:xfrm>
          <a:off x="38951391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3">
      <xdr:nvSpPr>
        <xdr:cNvPr id="344" name="TextBox 343">
          <a:extLst>
            <a:ext uri="{FF2B5EF4-FFF2-40B4-BE49-F238E27FC236}">
              <a16:creationId xmlns:a16="http://schemas.microsoft.com/office/drawing/2014/main" id="{4F16CB0A-D8A3-C14B-889F-79EDD76D5125}"/>
            </a:ext>
          </a:extLst>
        </xdr:cNvPr>
        <xdr:cNvSpPr txBox="1"/>
      </xdr:nvSpPr>
      <xdr:spPr>
        <a:xfrm>
          <a:off x="39487557" y="3634926"/>
          <a:ext cx="312389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35</xdr:col>
      <xdr:colOff>365127</xdr:colOff>
      <xdr:row>30</xdr:row>
      <xdr:rowOff>33326</xdr:rowOff>
    </xdr:from>
    <xdr:to>
      <xdr:col>41</xdr:col>
      <xdr:colOff>475786</xdr:colOff>
      <xdr:row>49</xdr:row>
      <xdr:rowOff>122115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D9ADDC23-61FA-0E41-84CC-03DBE08D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6252</xdr:colOff>
      <xdr:row>26</xdr:row>
      <xdr:rowOff>149907</xdr:rowOff>
    </xdr:from>
    <xdr:to>
      <xdr:col>38</xdr:col>
      <xdr:colOff>829220</xdr:colOff>
      <xdr:row>28</xdr:row>
      <xdr:rowOff>91788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E0B35218-DD7C-1542-920A-EC969CF4ECAB}"/>
            </a:ext>
          </a:extLst>
        </xdr:cNvPr>
        <xdr:cNvSpPr>
          <a:spLocks noChangeAspect="1"/>
        </xdr:cNvSpPr>
      </xdr:nvSpPr>
      <xdr:spPr>
        <a:xfrm>
          <a:off x="31932098" y="4585138"/>
          <a:ext cx="822968" cy="2740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325179</xdr:colOff>
      <xdr:row>28</xdr:row>
      <xdr:rowOff>131716</xdr:rowOff>
    </xdr:from>
    <xdr:to>
      <xdr:col>13</xdr:col>
      <xdr:colOff>561036</xdr:colOff>
      <xdr:row>49</xdr:row>
      <xdr:rowOff>54429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7C3E55DE-CDB4-174A-81D2-A2861BEB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535684</xdr:colOff>
      <xdr:row>25</xdr:row>
      <xdr:rowOff>120482</xdr:rowOff>
    </xdr:from>
    <xdr:to>
      <xdr:col>11</xdr:col>
      <xdr:colOff>332158</xdr:colOff>
      <xdr:row>28</xdr:row>
      <xdr:rowOff>469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70A8F266-092B-894A-8AE4-F638E5A6BB65}"/>
            </a:ext>
          </a:extLst>
        </xdr:cNvPr>
        <xdr:cNvSpPr>
          <a:spLocks noChangeAspect="1"/>
        </xdr:cNvSpPr>
      </xdr:nvSpPr>
      <xdr:spPr>
        <a:xfrm>
          <a:off x="8097069" y="4311482"/>
          <a:ext cx="1476781" cy="3879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387618</xdr:colOff>
      <xdr:row>33</xdr:row>
      <xdr:rowOff>102687</xdr:rowOff>
    </xdr:from>
    <xdr:to>
      <xdr:col>48</xdr:col>
      <xdr:colOff>498277</xdr:colOff>
      <xdr:row>53</xdr:row>
      <xdr:rowOff>25400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603EB6CD-8CB9-CC4F-A75B-215176C3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219278</xdr:colOff>
      <xdr:row>36</xdr:row>
      <xdr:rowOff>159135</xdr:rowOff>
    </xdr:from>
    <xdr:to>
      <xdr:col>14</xdr:col>
      <xdr:colOff>801077</xdr:colOff>
      <xdr:row>39</xdr:row>
      <xdr:rowOff>135688</xdr:rowOff>
    </xdr:to>
    <xdr:sp macro="" textlink="Location2ANALYSIS!F27">
      <xdr:nvSpPr>
        <xdr:cNvPr id="366" name="Rectangle 365">
          <a:extLst>
            <a:ext uri="{FF2B5EF4-FFF2-40B4-BE49-F238E27FC236}">
              <a16:creationId xmlns:a16="http://schemas.microsoft.com/office/drawing/2014/main" id="{69FC9A5A-B35A-4003-8E31-C523F060AB84}"/>
            </a:ext>
          </a:extLst>
        </xdr:cNvPr>
        <xdr:cNvSpPr>
          <a:spLocks noChangeAspect="1"/>
        </xdr:cNvSpPr>
      </xdr:nvSpPr>
      <xdr:spPr>
        <a:xfrm>
          <a:off x="11981432" y="6255135"/>
          <a:ext cx="581799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32757</xdr:colOff>
      <xdr:row>42</xdr:row>
      <xdr:rowOff>1532</xdr:rowOff>
    </xdr:from>
    <xdr:to>
      <xdr:col>14</xdr:col>
      <xdr:colOff>562429</xdr:colOff>
      <xdr:row>44</xdr:row>
      <xdr:rowOff>159515</xdr:rowOff>
    </xdr:to>
    <xdr:sp macro="" textlink="Location2ANALYSIS!F28">
      <xdr:nvSpPr>
        <xdr:cNvPr id="367" name="Rectangle 366">
          <a:extLst>
            <a:ext uri="{FF2B5EF4-FFF2-40B4-BE49-F238E27FC236}">
              <a16:creationId xmlns:a16="http://schemas.microsoft.com/office/drawing/2014/main" id="{61B62A0A-C82C-40CD-BD93-49A3FB400F99}"/>
            </a:ext>
          </a:extLst>
        </xdr:cNvPr>
        <xdr:cNvSpPr>
          <a:spLocks noChangeAspect="1"/>
        </xdr:cNvSpPr>
      </xdr:nvSpPr>
      <xdr:spPr>
        <a:xfrm>
          <a:off x="11716757" y="7186103"/>
          <a:ext cx="529672" cy="5208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37B42678-2DC6-8A43-BA23-B79EEF7F751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366608</xdr:colOff>
      <xdr:row>25</xdr:row>
      <xdr:rowOff>35955</xdr:rowOff>
    </xdr:from>
    <xdr:to>
      <xdr:col>15</xdr:col>
      <xdr:colOff>360039</xdr:colOff>
      <xdr:row>26</xdr:row>
      <xdr:rowOff>150891</xdr:rowOff>
    </xdr:to>
    <xdr:sp macro="" textlink="Location1ANALYSIS!F30">
      <xdr:nvSpPr>
        <xdr:cNvPr id="201" name="Rectangle 200">
          <a:extLst>
            <a:ext uri="{FF2B5EF4-FFF2-40B4-BE49-F238E27FC236}">
              <a16:creationId xmlns:a16="http://schemas.microsoft.com/office/drawing/2014/main" id="{69F6023D-8EAB-49D2-97C9-6D4BA4A38F3B}"/>
            </a:ext>
          </a:extLst>
        </xdr:cNvPr>
        <xdr:cNvSpPr>
          <a:spLocks noChangeAspect="1"/>
        </xdr:cNvSpPr>
      </xdr:nvSpPr>
      <xdr:spPr>
        <a:xfrm>
          <a:off x="12071775" y="4311622"/>
          <a:ext cx="829514" cy="28426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D23842B4-7410-6644-BA3C-8D496658400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15</xdr:col>
      <xdr:colOff>427942</xdr:colOff>
      <xdr:row>25</xdr:row>
      <xdr:rowOff>35955</xdr:rowOff>
    </xdr:from>
    <xdr:to>
      <xdr:col>16</xdr:col>
      <xdr:colOff>421372</xdr:colOff>
      <xdr:row>26</xdr:row>
      <xdr:rowOff>147635</xdr:rowOff>
    </xdr:to>
    <xdr:sp macro="" textlink="Location1ANALYSIS!F31">
      <xdr:nvSpPr>
        <xdr:cNvPr id="202" name="Rectangle 201">
          <a:extLst>
            <a:ext uri="{FF2B5EF4-FFF2-40B4-BE49-F238E27FC236}">
              <a16:creationId xmlns:a16="http://schemas.microsoft.com/office/drawing/2014/main" id="{FAECFD1E-0291-4FCA-8A2C-0651A157E5EB}"/>
            </a:ext>
          </a:extLst>
        </xdr:cNvPr>
        <xdr:cNvSpPr>
          <a:spLocks noChangeAspect="1"/>
        </xdr:cNvSpPr>
      </xdr:nvSpPr>
      <xdr:spPr>
        <a:xfrm>
          <a:off x="12969192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425445</xdr:colOff>
      <xdr:row>25</xdr:row>
      <xdr:rowOff>35955</xdr:rowOff>
    </xdr:from>
    <xdr:to>
      <xdr:col>17</xdr:col>
      <xdr:colOff>406810</xdr:colOff>
      <xdr:row>26</xdr:row>
      <xdr:rowOff>147635</xdr:rowOff>
    </xdr:to>
    <xdr:sp macro="" textlink="Location1ANALYSIS!F32">
      <xdr:nvSpPr>
        <xdr:cNvPr id="203" name="Rectangle 202">
          <a:extLst>
            <a:ext uri="{FF2B5EF4-FFF2-40B4-BE49-F238E27FC236}">
              <a16:creationId xmlns:a16="http://schemas.microsoft.com/office/drawing/2014/main" id="{FB8C1554-1902-4E26-A8A6-6818C8C48600}"/>
            </a:ext>
          </a:extLst>
        </xdr:cNvPr>
        <xdr:cNvSpPr>
          <a:spLocks noChangeAspect="1"/>
        </xdr:cNvSpPr>
      </xdr:nvSpPr>
      <xdr:spPr>
        <a:xfrm>
          <a:off x="13802778" y="4311622"/>
          <a:ext cx="817449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356303</xdr:colOff>
      <xdr:row>25</xdr:row>
      <xdr:rowOff>35955</xdr:rowOff>
    </xdr:from>
    <xdr:to>
      <xdr:col>18</xdr:col>
      <xdr:colOff>349734</xdr:colOff>
      <xdr:row>26</xdr:row>
      <xdr:rowOff>147635</xdr:rowOff>
    </xdr:to>
    <xdr:sp macro="" textlink="Location1ANALYSIS!F33">
      <xdr:nvSpPr>
        <xdr:cNvPr id="205" name="Rectangle 204">
          <a:extLst>
            <a:ext uri="{FF2B5EF4-FFF2-40B4-BE49-F238E27FC236}">
              <a16:creationId xmlns:a16="http://schemas.microsoft.com/office/drawing/2014/main" id="{652691A8-54D9-4322-846A-F651048B8D9D}"/>
            </a:ext>
          </a:extLst>
        </xdr:cNvPr>
        <xdr:cNvSpPr>
          <a:spLocks noChangeAspect="1"/>
        </xdr:cNvSpPr>
      </xdr:nvSpPr>
      <xdr:spPr>
        <a:xfrm>
          <a:off x="14569720" y="4311622"/>
          <a:ext cx="829514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313083</xdr:colOff>
      <xdr:row>25</xdr:row>
      <xdr:rowOff>35955</xdr:rowOff>
    </xdr:from>
    <xdr:to>
      <xdr:col>19</xdr:col>
      <xdr:colOff>306513</xdr:colOff>
      <xdr:row>26</xdr:row>
      <xdr:rowOff>147635</xdr:rowOff>
    </xdr:to>
    <xdr:sp macro="" textlink="Location1ANALYSIS!F34">
      <xdr:nvSpPr>
        <xdr:cNvPr id="206" name="Rectangle 205">
          <a:extLst>
            <a:ext uri="{FF2B5EF4-FFF2-40B4-BE49-F238E27FC236}">
              <a16:creationId xmlns:a16="http://schemas.microsoft.com/office/drawing/2014/main" id="{54A340AA-FB13-4F39-819B-354B1DB0A638}"/>
            </a:ext>
          </a:extLst>
        </xdr:cNvPr>
        <xdr:cNvSpPr>
          <a:spLocks noChangeAspect="1"/>
        </xdr:cNvSpPr>
      </xdr:nvSpPr>
      <xdr:spPr>
        <a:xfrm>
          <a:off x="15362583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80%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583815</xdr:colOff>
      <xdr:row>47</xdr:row>
      <xdr:rowOff>43178</xdr:rowOff>
    </xdr:from>
    <xdr:to>
      <xdr:col>16</xdr:col>
      <xdr:colOff>577246</xdr:colOff>
      <xdr:row>48</xdr:row>
      <xdr:rowOff>164627</xdr:rowOff>
    </xdr:to>
    <xdr:sp macro="" textlink="Location2ANALYSIS!F31">
      <xdr:nvSpPr>
        <xdr:cNvPr id="207" name="Rectangle 206">
          <a:extLst>
            <a:ext uri="{FF2B5EF4-FFF2-40B4-BE49-F238E27FC236}">
              <a16:creationId xmlns:a16="http://schemas.microsoft.com/office/drawing/2014/main" id="{9BB9C735-8407-41C5-AEE5-68139E6E4AD5}"/>
            </a:ext>
          </a:extLst>
        </xdr:cNvPr>
        <xdr:cNvSpPr>
          <a:spLocks noChangeAspect="1"/>
        </xdr:cNvSpPr>
      </xdr:nvSpPr>
      <xdr:spPr>
        <a:xfrm>
          <a:off x="13186123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944AFF1C-AE87-8E4F-9E13-D18AD56DDDE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16</xdr:col>
      <xdr:colOff>569296</xdr:colOff>
      <xdr:row>47</xdr:row>
      <xdr:rowOff>43178</xdr:rowOff>
    </xdr:from>
    <xdr:to>
      <xdr:col>17</xdr:col>
      <xdr:colOff>562728</xdr:colOff>
      <xdr:row>48</xdr:row>
      <xdr:rowOff>164627</xdr:rowOff>
    </xdr:to>
    <xdr:sp macro="" textlink="Location2ANALYSIS!F32">
      <xdr:nvSpPr>
        <xdr:cNvPr id="208" name="Rectangle 207">
          <a:extLst>
            <a:ext uri="{FF2B5EF4-FFF2-40B4-BE49-F238E27FC236}">
              <a16:creationId xmlns:a16="http://schemas.microsoft.com/office/drawing/2014/main" id="{11E87B95-E5F4-4A31-8F15-55E40EA3FB7E}"/>
            </a:ext>
          </a:extLst>
        </xdr:cNvPr>
        <xdr:cNvSpPr>
          <a:spLocks noChangeAspect="1"/>
        </xdr:cNvSpPr>
      </xdr:nvSpPr>
      <xdr:spPr>
        <a:xfrm>
          <a:off x="14011758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111C7E3-25A6-9044-A9DC-1C93E6ABCED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363949</xdr:colOff>
      <xdr:row>47</xdr:row>
      <xdr:rowOff>43178</xdr:rowOff>
    </xdr:from>
    <xdr:to>
      <xdr:col>18</xdr:col>
      <xdr:colOff>345312</xdr:colOff>
      <xdr:row>48</xdr:row>
      <xdr:rowOff>164627</xdr:rowOff>
    </xdr:to>
    <xdr:sp macro="" textlink="Location2ANALYSIS!F33">
      <xdr:nvSpPr>
        <xdr:cNvPr id="209" name="Rectangle 208">
          <a:extLst>
            <a:ext uri="{FF2B5EF4-FFF2-40B4-BE49-F238E27FC236}">
              <a16:creationId xmlns:a16="http://schemas.microsoft.com/office/drawing/2014/main" id="{C1974D63-CE8F-4250-9F9B-A4B856E59DD3}"/>
            </a:ext>
          </a:extLst>
        </xdr:cNvPr>
        <xdr:cNvSpPr>
          <a:spLocks noChangeAspect="1"/>
        </xdr:cNvSpPr>
      </xdr:nvSpPr>
      <xdr:spPr>
        <a:xfrm>
          <a:off x="14646564" y="8073486"/>
          <a:ext cx="821517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791012-1E99-F14F-A467-E72384CAF67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449242</xdr:colOff>
      <xdr:row>47</xdr:row>
      <xdr:rowOff>43178</xdr:rowOff>
    </xdr:from>
    <xdr:to>
      <xdr:col>20</xdr:col>
      <xdr:colOff>442672</xdr:colOff>
      <xdr:row>48</xdr:row>
      <xdr:rowOff>164627</xdr:rowOff>
    </xdr:to>
    <xdr:sp macro="" textlink="Location2ANALYSIS!F35">
      <xdr:nvSpPr>
        <xdr:cNvPr id="210" name="Rectangle 209">
          <a:extLst>
            <a:ext uri="{FF2B5EF4-FFF2-40B4-BE49-F238E27FC236}">
              <a16:creationId xmlns:a16="http://schemas.microsoft.com/office/drawing/2014/main" id="{A176B58C-F786-4DED-B1B6-A9B029321987}"/>
            </a:ext>
          </a:extLst>
        </xdr:cNvPr>
        <xdr:cNvSpPr>
          <a:spLocks noChangeAspect="1"/>
        </xdr:cNvSpPr>
      </xdr:nvSpPr>
      <xdr:spPr>
        <a:xfrm>
          <a:off x="16412165" y="8073486"/>
          <a:ext cx="833584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817BAA3-6C40-7045-B6D2-F9DF8BD5A28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394787</xdr:colOff>
      <xdr:row>47</xdr:row>
      <xdr:rowOff>43178</xdr:rowOff>
    </xdr:from>
    <xdr:to>
      <xdr:col>19</xdr:col>
      <xdr:colOff>388218</xdr:colOff>
      <xdr:row>48</xdr:row>
      <xdr:rowOff>164627</xdr:rowOff>
    </xdr:to>
    <xdr:sp macro="" textlink="Location2ANALYSIS!F34">
      <xdr:nvSpPr>
        <xdr:cNvPr id="211" name="Rectangle 210">
          <a:extLst>
            <a:ext uri="{FF2B5EF4-FFF2-40B4-BE49-F238E27FC236}">
              <a16:creationId xmlns:a16="http://schemas.microsoft.com/office/drawing/2014/main" id="{3566087D-7167-430B-9328-B4A61BA65153}"/>
            </a:ext>
          </a:extLst>
        </xdr:cNvPr>
        <xdr:cNvSpPr>
          <a:spLocks noChangeAspect="1"/>
        </xdr:cNvSpPr>
      </xdr:nvSpPr>
      <xdr:spPr>
        <a:xfrm>
          <a:off x="15517556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9E1410-6DE9-DA4C-B819-4F1D7719F85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459191</xdr:colOff>
      <xdr:row>8</xdr:row>
      <xdr:rowOff>163995</xdr:rowOff>
    </xdr:from>
    <xdr:to>
      <xdr:col>15</xdr:col>
      <xdr:colOff>293075</xdr:colOff>
      <xdr:row>11</xdr:row>
      <xdr:rowOff>102349</xdr:rowOff>
    </xdr:to>
    <xdr:sp macro="" textlink="Location1ANALYSIS!F26">
      <xdr:nvSpPr>
        <xdr:cNvPr id="212" name="Rectangle 211">
          <a:extLst>
            <a:ext uri="{FF2B5EF4-FFF2-40B4-BE49-F238E27FC236}">
              <a16:creationId xmlns:a16="http://schemas.microsoft.com/office/drawing/2014/main" id="{5AFF8399-0DA9-443D-A1AF-1E9FB6429960}"/>
            </a:ext>
          </a:extLst>
        </xdr:cNvPr>
        <xdr:cNvSpPr>
          <a:spLocks noChangeAspect="1"/>
        </xdr:cNvSpPr>
      </xdr:nvSpPr>
      <xdr:spPr>
        <a:xfrm>
          <a:off x="12221345" y="1492610"/>
          <a:ext cx="674038" cy="46589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166116</xdr:colOff>
      <xdr:row>13</xdr:row>
      <xdr:rowOff>118088</xdr:rowOff>
    </xdr:from>
    <xdr:to>
      <xdr:col>14</xdr:col>
      <xdr:colOff>654539</xdr:colOff>
      <xdr:row>16</xdr:row>
      <xdr:rowOff>65333</xdr:rowOff>
    </xdr:to>
    <xdr:sp macro="" textlink="Location1ANALYSIS!F27">
      <xdr:nvSpPr>
        <xdr:cNvPr id="213" name="Rectangle 212">
          <a:extLst>
            <a:ext uri="{FF2B5EF4-FFF2-40B4-BE49-F238E27FC236}">
              <a16:creationId xmlns:a16="http://schemas.microsoft.com/office/drawing/2014/main" id="{83A3EC6F-BA7B-45E6-BCDD-807EB5042B76}"/>
            </a:ext>
          </a:extLst>
        </xdr:cNvPr>
        <xdr:cNvSpPr>
          <a:spLocks noChangeAspect="1"/>
        </xdr:cNvSpPr>
      </xdr:nvSpPr>
      <xdr:spPr>
        <a:xfrm>
          <a:off x="11928270" y="232593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56%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781578</xdr:colOff>
      <xdr:row>19</xdr:row>
      <xdr:rowOff>2041</xdr:rowOff>
    </xdr:from>
    <xdr:to>
      <xdr:col>14</xdr:col>
      <xdr:colOff>429847</xdr:colOff>
      <xdr:row>21</xdr:row>
      <xdr:rowOff>134902</xdr:rowOff>
    </xdr:to>
    <xdr:sp macro="" textlink="Location1ANALYSIS!F25">
      <xdr:nvSpPr>
        <xdr:cNvPr id="214" name="Rectangle 213">
          <a:extLst>
            <a:ext uri="{FF2B5EF4-FFF2-40B4-BE49-F238E27FC236}">
              <a16:creationId xmlns:a16="http://schemas.microsoft.com/office/drawing/2014/main" id="{6DCD6570-A980-49C8-9EDA-9BE8E02E7C76}"/>
            </a:ext>
          </a:extLst>
        </xdr:cNvPr>
        <xdr:cNvSpPr>
          <a:spLocks noChangeAspect="1"/>
        </xdr:cNvSpPr>
      </xdr:nvSpPr>
      <xdr:spPr>
        <a:xfrm>
          <a:off x="11703578" y="326496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472992</xdr:colOff>
      <xdr:row>32</xdr:row>
      <xdr:rowOff>11282</xdr:rowOff>
    </xdr:from>
    <xdr:to>
      <xdr:col>15</xdr:col>
      <xdr:colOff>224692</xdr:colOff>
      <xdr:row>34</xdr:row>
      <xdr:rowOff>153912</xdr:rowOff>
    </xdr:to>
    <xdr:sp macro="" textlink="Location2ANALYSIS!F26">
      <xdr:nvSpPr>
        <xdr:cNvPr id="215" name="Rectangle 214">
          <a:extLst>
            <a:ext uri="{FF2B5EF4-FFF2-40B4-BE49-F238E27FC236}">
              <a16:creationId xmlns:a16="http://schemas.microsoft.com/office/drawing/2014/main" id="{36C0F52D-1C58-4473-8B8A-C63B696FD445}"/>
            </a:ext>
          </a:extLst>
        </xdr:cNvPr>
        <xdr:cNvSpPr>
          <a:spLocks noChangeAspect="1"/>
        </xdr:cNvSpPr>
      </xdr:nvSpPr>
      <xdr:spPr>
        <a:xfrm>
          <a:off x="12235146" y="5442974"/>
          <a:ext cx="591854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15</xdr:col>
      <xdr:colOff>30999</xdr:colOff>
      <xdr:row>8</xdr:row>
      <xdr:rowOff>145482</xdr:rowOff>
    </xdr:from>
    <xdr:to>
      <xdr:col>15</xdr:col>
      <xdr:colOff>631742</xdr:colOff>
      <xdr:row>11</xdr:row>
      <xdr:rowOff>103325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914B3F-54CC-504B-8DD6-EA1ED7DD3270}"/>
            </a:ext>
          </a:extLst>
        </xdr:cNvPr>
        <xdr:cNvGrpSpPr/>
      </xdr:nvGrpSpPr>
      <xdr:grpSpPr>
        <a:xfrm>
          <a:off x="12572249" y="1500149"/>
          <a:ext cx="600743" cy="465843"/>
          <a:chOff x="12301153" y="1298251"/>
          <a:chExt cx="600743" cy="485382"/>
        </a:xfrm>
      </xdr:grpSpPr>
      <xdr:sp macro="" textlink="Location1ANALYSIS!D6">
        <xdr:nvSpPr>
          <xdr:cNvPr id="217" name="TextBox 216">
            <a:extLst>
              <a:ext uri="{FF2B5EF4-FFF2-40B4-BE49-F238E27FC236}">
                <a16:creationId xmlns:a16="http://schemas.microsoft.com/office/drawing/2014/main" id="{CA30602B-A19A-4074-8554-914FB1CED7C2}"/>
              </a:ext>
            </a:extLst>
          </xdr:cNvPr>
          <xdr:cNvSpPr txBox="1"/>
        </xdr:nvSpPr>
        <xdr:spPr>
          <a:xfrm>
            <a:off x="12301153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A3D8EE-0557-DF4E-8DE0-AF95EF7EE5C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218" name="TextBox 217">
            <a:extLst>
              <a:ext uri="{FF2B5EF4-FFF2-40B4-BE49-F238E27FC236}">
                <a16:creationId xmlns:a16="http://schemas.microsoft.com/office/drawing/2014/main" id="{465BDC25-CA10-4652-9B9A-8D954D70FB4B}"/>
              </a:ext>
            </a:extLst>
          </xdr:cNvPr>
          <xdr:cNvSpPr txBox="1"/>
        </xdr:nvSpPr>
        <xdr:spPr>
          <a:xfrm>
            <a:off x="126096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6A99AA-8869-E547-AB19-BDA058EEBEE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219" name="TextBox 218">
            <a:extLst>
              <a:ext uri="{FF2B5EF4-FFF2-40B4-BE49-F238E27FC236}">
                <a16:creationId xmlns:a16="http://schemas.microsoft.com/office/drawing/2014/main" id="{0A1DE21F-BA7B-4797-AF1F-E9C2C081BE95}"/>
              </a:ext>
            </a:extLst>
          </xdr:cNvPr>
          <xdr:cNvSpPr txBox="1"/>
        </xdr:nvSpPr>
        <xdr:spPr>
          <a:xfrm>
            <a:off x="12486159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15</xdr:col>
      <xdr:colOff>756638</xdr:colOff>
      <xdr:row>8</xdr:row>
      <xdr:rowOff>145482</xdr:rowOff>
    </xdr:from>
    <xdr:to>
      <xdr:col>16</xdr:col>
      <xdr:colOff>526995</xdr:colOff>
      <xdr:row>11</xdr:row>
      <xdr:rowOff>103325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AA5C5046-42C8-CF46-A997-84A8D63C5282}"/>
            </a:ext>
          </a:extLst>
        </xdr:cNvPr>
        <xdr:cNvGrpSpPr/>
      </xdr:nvGrpSpPr>
      <xdr:grpSpPr>
        <a:xfrm>
          <a:off x="13297888" y="1500149"/>
          <a:ext cx="606440" cy="465843"/>
          <a:chOff x="13378485" y="1298251"/>
          <a:chExt cx="610511" cy="485382"/>
        </a:xfrm>
      </xdr:grpSpPr>
      <xdr:sp macro="" textlink="Location1ANALYSIS!D9">
        <xdr:nvSpPr>
          <xdr:cNvPr id="220" name="TextBox 219">
            <a:extLst>
              <a:ext uri="{FF2B5EF4-FFF2-40B4-BE49-F238E27FC236}">
                <a16:creationId xmlns:a16="http://schemas.microsoft.com/office/drawing/2014/main" id="{DA48C1E2-28CA-4030-84B5-333DBAD4D520}"/>
              </a:ext>
            </a:extLst>
          </xdr:cNvPr>
          <xdr:cNvSpPr txBox="1"/>
        </xdr:nvSpPr>
        <xdr:spPr>
          <a:xfrm>
            <a:off x="13378485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022A13-042F-E742-9510-97238DD1AEE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221" name="TextBox 220">
            <a:extLst>
              <a:ext uri="{FF2B5EF4-FFF2-40B4-BE49-F238E27FC236}">
                <a16:creationId xmlns:a16="http://schemas.microsoft.com/office/drawing/2014/main" id="{BCA717EA-58DC-4DC6-ACD7-6A675B00D22C}"/>
              </a:ext>
            </a:extLst>
          </xdr:cNvPr>
          <xdr:cNvSpPr txBox="1"/>
        </xdr:nvSpPr>
        <xdr:spPr>
          <a:xfrm>
            <a:off x="136967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4A662B-2627-6949-AB70-E83EE82B2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2" name="TextBox 221">
            <a:extLst>
              <a:ext uri="{FF2B5EF4-FFF2-40B4-BE49-F238E27FC236}">
                <a16:creationId xmlns:a16="http://schemas.microsoft.com/office/drawing/2014/main" id="{B3335FDC-4FDB-49AB-9C0B-0C8586884EC5}"/>
              </a:ext>
            </a:extLst>
          </xdr:cNvPr>
          <xdr:cNvSpPr txBox="1"/>
        </xdr:nvSpPr>
        <xdr:spPr>
          <a:xfrm>
            <a:off x="13566356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546125</xdr:colOff>
      <xdr:row>8</xdr:row>
      <xdr:rowOff>145482</xdr:rowOff>
    </xdr:from>
    <xdr:to>
      <xdr:col>17</xdr:col>
      <xdr:colOff>533071</xdr:colOff>
      <xdr:row>11</xdr:row>
      <xdr:rowOff>122017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1BEC1EE3-A2D4-CC4A-880E-34CCF2A67937}"/>
            </a:ext>
          </a:extLst>
        </xdr:cNvPr>
        <xdr:cNvGrpSpPr/>
      </xdr:nvGrpSpPr>
      <xdr:grpSpPr>
        <a:xfrm>
          <a:off x="13923458" y="1500149"/>
          <a:ext cx="823030" cy="484535"/>
          <a:chOff x="14525895" y="1298250"/>
          <a:chExt cx="827099" cy="504074"/>
        </a:xfrm>
      </xdr:grpSpPr>
      <xdr:sp macro="" textlink="Location1ANALYSIS!D12">
        <xdr:nvSpPr>
          <xdr:cNvPr id="224" name="TextBox 223">
            <a:extLst>
              <a:ext uri="{FF2B5EF4-FFF2-40B4-BE49-F238E27FC236}">
                <a16:creationId xmlns:a16="http://schemas.microsoft.com/office/drawing/2014/main" id="{8E0597DB-8947-4487-B455-52510FDB622A}"/>
              </a:ext>
            </a:extLst>
          </xdr:cNvPr>
          <xdr:cNvSpPr txBox="1"/>
        </xdr:nvSpPr>
        <xdr:spPr>
          <a:xfrm>
            <a:off x="14525895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48B0C2-8041-F247-B9FD-3C99E0E3FA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225" name="TextBox 224">
            <a:extLst>
              <a:ext uri="{FF2B5EF4-FFF2-40B4-BE49-F238E27FC236}">
                <a16:creationId xmlns:a16="http://schemas.microsoft.com/office/drawing/2014/main" id="{53E85903-F1A8-4309-ABD0-545E1B3253A4}"/>
              </a:ext>
            </a:extLst>
          </xdr:cNvPr>
          <xdr:cNvSpPr txBox="1"/>
        </xdr:nvSpPr>
        <xdr:spPr>
          <a:xfrm>
            <a:off x="14802244" y="1298250"/>
            <a:ext cx="550750" cy="5040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9018D9-6C99-A342-93EB-19413FF18F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6" name="TextBox 225">
            <a:extLst>
              <a:ext uri="{FF2B5EF4-FFF2-40B4-BE49-F238E27FC236}">
                <a16:creationId xmlns:a16="http://schemas.microsoft.com/office/drawing/2014/main" id="{43FB2341-F808-484D-9AAF-13E33B06D1ED}"/>
              </a:ext>
            </a:extLst>
          </xdr:cNvPr>
          <xdr:cNvSpPr txBox="1"/>
        </xdr:nvSpPr>
        <xdr:spPr>
          <a:xfrm>
            <a:off x="14710901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462610</xdr:colOff>
      <xdr:row>8</xdr:row>
      <xdr:rowOff>145482</xdr:rowOff>
    </xdr:from>
    <xdr:to>
      <xdr:col>18</xdr:col>
      <xdr:colOff>213430</xdr:colOff>
      <xdr:row>11</xdr:row>
      <xdr:rowOff>103325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4B75EDBE-5A68-A54C-A393-F14197597087}"/>
            </a:ext>
          </a:extLst>
        </xdr:cNvPr>
        <xdr:cNvGrpSpPr/>
      </xdr:nvGrpSpPr>
      <xdr:grpSpPr>
        <a:xfrm>
          <a:off x="14676027" y="1500149"/>
          <a:ext cx="586903" cy="465843"/>
          <a:chOff x="15722149" y="1298251"/>
          <a:chExt cx="590974" cy="485382"/>
        </a:xfrm>
      </xdr:grpSpPr>
      <xdr:sp macro="" textlink="Location1ANALYSIS!D15">
        <xdr:nvSpPr>
          <xdr:cNvPr id="227" name="TextBox 226">
            <a:extLst>
              <a:ext uri="{FF2B5EF4-FFF2-40B4-BE49-F238E27FC236}">
                <a16:creationId xmlns:a16="http://schemas.microsoft.com/office/drawing/2014/main" id="{E7285C50-403D-4FA4-A238-55626AC1494C}"/>
              </a:ext>
            </a:extLst>
          </xdr:cNvPr>
          <xdr:cNvSpPr txBox="1"/>
        </xdr:nvSpPr>
        <xdr:spPr>
          <a:xfrm>
            <a:off x="15722149" y="1298251"/>
            <a:ext cx="34393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5CC0C1E-EF86-DF45-BF78-E54E4906B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228" name="TextBox 227">
            <a:extLst>
              <a:ext uri="{FF2B5EF4-FFF2-40B4-BE49-F238E27FC236}">
                <a16:creationId xmlns:a16="http://schemas.microsoft.com/office/drawing/2014/main" id="{244FC5F4-5FD0-41DD-BAB2-F7165B73EBD7}"/>
              </a:ext>
            </a:extLst>
          </xdr:cNvPr>
          <xdr:cNvSpPr txBox="1"/>
        </xdr:nvSpPr>
        <xdr:spPr>
          <a:xfrm>
            <a:off x="16020904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0A77C2-DCB5-6949-82A8-85136FF59F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6F7ECC84-06AC-45AB-8446-83ABA032213D}"/>
              </a:ext>
            </a:extLst>
          </xdr:cNvPr>
          <xdr:cNvSpPr txBox="1"/>
        </xdr:nvSpPr>
        <xdr:spPr>
          <a:xfrm>
            <a:off x="15897386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230299</xdr:colOff>
      <xdr:row>8</xdr:row>
      <xdr:rowOff>145482</xdr:rowOff>
    </xdr:from>
    <xdr:to>
      <xdr:col>18</xdr:col>
      <xdr:colOff>779899</xdr:colOff>
      <xdr:row>11</xdr:row>
      <xdr:rowOff>103325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FABBB349-3BB1-B443-AEC2-2CF39E252D21}"/>
            </a:ext>
          </a:extLst>
        </xdr:cNvPr>
        <xdr:cNvGrpSpPr/>
      </xdr:nvGrpSpPr>
      <xdr:grpSpPr>
        <a:xfrm>
          <a:off x="15279799" y="1500149"/>
          <a:ext cx="549600" cy="465843"/>
          <a:chOff x="16740299" y="1298251"/>
          <a:chExt cx="549600" cy="485382"/>
        </a:xfrm>
      </xdr:grpSpPr>
      <xdr:sp macro="" textlink="Location1ANALYSIS!D18">
        <xdr:nvSpPr>
          <xdr:cNvPr id="230" name="TextBox 229">
            <a:extLst>
              <a:ext uri="{FF2B5EF4-FFF2-40B4-BE49-F238E27FC236}">
                <a16:creationId xmlns:a16="http://schemas.microsoft.com/office/drawing/2014/main" id="{2DBD8EF4-9BB5-4B69-AAB5-D1898F4891AC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D331F9-F5A6-F34A-9C14-9A58A6BA0FF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231" name="TextBox 230">
            <a:extLst>
              <a:ext uri="{FF2B5EF4-FFF2-40B4-BE49-F238E27FC236}">
                <a16:creationId xmlns:a16="http://schemas.microsoft.com/office/drawing/2014/main" id="{E09800AE-5063-4BF2-A0D3-B8625588A126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0AAB645-9F08-40DD-B1AC-0BDEAAA15DC4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675768</xdr:colOff>
      <xdr:row>13</xdr:row>
      <xdr:rowOff>104954</xdr:rowOff>
    </xdr:from>
    <xdr:to>
      <xdr:col>15</xdr:col>
      <xdr:colOff>445553</xdr:colOff>
      <xdr:row>16</xdr:row>
      <xdr:rowOff>62797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2D53EA9-2B77-5B41-A380-2AC31D2B2564}"/>
            </a:ext>
          </a:extLst>
        </xdr:cNvPr>
        <xdr:cNvGrpSpPr/>
      </xdr:nvGrpSpPr>
      <xdr:grpSpPr>
        <a:xfrm>
          <a:off x="12380935" y="2306287"/>
          <a:ext cx="605868" cy="497593"/>
          <a:chOff x="12301153" y="2381185"/>
          <a:chExt cx="609939" cy="485382"/>
        </a:xfrm>
      </xdr:grpSpPr>
      <xdr:sp macro="" textlink="Location1ANALYSIS!D5">
        <xdr:nvSpPr>
          <xdr:cNvPr id="233" name="TextBox 232">
            <a:extLst>
              <a:ext uri="{FF2B5EF4-FFF2-40B4-BE49-F238E27FC236}">
                <a16:creationId xmlns:a16="http://schemas.microsoft.com/office/drawing/2014/main" id="{CC4B171F-FD85-4AA4-AEF5-25F6BAB806BD}"/>
              </a:ext>
            </a:extLst>
          </xdr:cNvPr>
          <xdr:cNvSpPr txBox="1"/>
        </xdr:nvSpPr>
        <xdr:spPr>
          <a:xfrm>
            <a:off x="1230115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8434A5-BAD7-F846-B6D6-B45EE693A7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234" name="TextBox 233">
            <a:extLst>
              <a:ext uri="{FF2B5EF4-FFF2-40B4-BE49-F238E27FC236}">
                <a16:creationId xmlns:a16="http://schemas.microsoft.com/office/drawing/2014/main" id="{005648C9-C672-4101-927D-088D7ED600DA}"/>
              </a:ext>
            </a:extLst>
          </xdr:cNvPr>
          <xdr:cNvSpPr txBox="1"/>
        </xdr:nvSpPr>
        <xdr:spPr>
          <a:xfrm>
            <a:off x="1261887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DB3A72-327B-ED43-BD8B-166C2062FD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F9104DE3-89AE-452C-861B-400DA56A2F23}"/>
              </a:ext>
            </a:extLst>
          </xdr:cNvPr>
          <xdr:cNvSpPr txBox="1"/>
        </xdr:nvSpPr>
        <xdr:spPr>
          <a:xfrm>
            <a:off x="12483352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677911</xdr:colOff>
      <xdr:row>13</xdr:row>
      <xdr:rowOff>104954</xdr:rowOff>
    </xdr:from>
    <xdr:to>
      <xdr:col>16</xdr:col>
      <xdr:colOff>438499</xdr:colOff>
      <xdr:row>16</xdr:row>
      <xdr:rowOff>62797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376A8E93-0543-4441-ACAA-763D0989E03D}"/>
            </a:ext>
          </a:extLst>
        </xdr:cNvPr>
        <xdr:cNvGrpSpPr/>
      </xdr:nvGrpSpPr>
      <xdr:grpSpPr>
        <a:xfrm>
          <a:off x="13219161" y="2306287"/>
          <a:ext cx="596671" cy="497593"/>
          <a:chOff x="13358373" y="2381185"/>
          <a:chExt cx="600742" cy="485382"/>
        </a:xfrm>
      </xdr:grpSpPr>
      <xdr:sp macro="" textlink="Location1ANALYSIS!D8">
        <xdr:nvSpPr>
          <xdr:cNvPr id="236" name="TextBox 235">
            <a:extLst>
              <a:ext uri="{FF2B5EF4-FFF2-40B4-BE49-F238E27FC236}">
                <a16:creationId xmlns:a16="http://schemas.microsoft.com/office/drawing/2014/main" id="{14BD09A4-516A-4922-990C-C3FCD9D7F6CF}"/>
              </a:ext>
            </a:extLst>
          </xdr:cNvPr>
          <xdr:cNvSpPr txBox="1"/>
        </xdr:nvSpPr>
        <xdr:spPr>
          <a:xfrm>
            <a:off x="13358373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C2EEE-5C7F-8748-A1EE-351EEDC6EB2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237" name="TextBox 236">
            <a:extLst>
              <a:ext uri="{FF2B5EF4-FFF2-40B4-BE49-F238E27FC236}">
                <a16:creationId xmlns:a16="http://schemas.microsoft.com/office/drawing/2014/main" id="{8B699F49-A0E8-4475-AB4E-0520526C226B}"/>
              </a:ext>
            </a:extLst>
          </xdr:cNvPr>
          <xdr:cNvSpPr txBox="1"/>
        </xdr:nvSpPr>
        <xdr:spPr>
          <a:xfrm>
            <a:off x="1366689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3B91DE-DF06-8E48-BB37-61E7536453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C7DE74D3-13F2-4E04-BED7-6E0653B84774}"/>
              </a:ext>
            </a:extLst>
          </xdr:cNvPr>
          <xdr:cNvSpPr txBox="1"/>
        </xdr:nvSpPr>
        <xdr:spPr>
          <a:xfrm>
            <a:off x="13546244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526013</xdr:colOff>
      <xdr:row>13</xdr:row>
      <xdr:rowOff>104954</xdr:rowOff>
    </xdr:from>
    <xdr:to>
      <xdr:col>17</xdr:col>
      <xdr:colOff>306141</xdr:colOff>
      <xdr:row>16</xdr:row>
      <xdr:rowOff>62797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1126558-9352-0547-B65A-B625895C66A5}"/>
            </a:ext>
          </a:extLst>
        </xdr:cNvPr>
        <xdr:cNvGrpSpPr/>
      </xdr:nvGrpSpPr>
      <xdr:grpSpPr>
        <a:xfrm>
          <a:off x="13903346" y="2306287"/>
          <a:ext cx="616212" cy="497593"/>
          <a:chOff x="14525321" y="2381185"/>
          <a:chExt cx="620281" cy="485382"/>
        </a:xfrm>
      </xdr:grpSpPr>
      <xdr:sp macro="" textlink="Location1ANALYSIS!D11">
        <xdr:nvSpPr>
          <xdr:cNvPr id="239" name="TextBox 238">
            <a:extLst>
              <a:ext uri="{FF2B5EF4-FFF2-40B4-BE49-F238E27FC236}">
                <a16:creationId xmlns:a16="http://schemas.microsoft.com/office/drawing/2014/main" id="{76388BC5-9644-41CC-A846-F5391C9653C7}"/>
              </a:ext>
            </a:extLst>
          </xdr:cNvPr>
          <xdr:cNvSpPr txBox="1"/>
        </xdr:nvSpPr>
        <xdr:spPr>
          <a:xfrm>
            <a:off x="14525321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240" name="TextBox 239">
            <a:extLst>
              <a:ext uri="{FF2B5EF4-FFF2-40B4-BE49-F238E27FC236}">
                <a16:creationId xmlns:a16="http://schemas.microsoft.com/office/drawing/2014/main" id="{C07D0315-F9CC-4201-ABF4-D4F8D2FB3CC1}"/>
              </a:ext>
            </a:extLst>
          </xdr:cNvPr>
          <xdr:cNvSpPr txBox="1"/>
        </xdr:nvSpPr>
        <xdr:spPr>
          <a:xfrm>
            <a:off x="14801672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0EB646B5-BDE5-40C7-ACA6-117C040FA714}"/>
              </a:ext>
            </a:extLst>
          </xdr:cNvPr>
          <xdr:cNvSpPr txBox="1"/>
        </xdr:nvSpPr>
        <xdr:spPr>
          <a:xfrm>
            <a:off x="14700558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481576</xdr:colOff>
      <xdr:row>13</xdr:row>
      <xdr:rowOff>104954</xdr:rowOff>
    </xdr:from>
    <xdr:to>
      <xdr:col>18</xdr:col>
      <xdr:colOff>191023</xdr:colOff>
      <xdr:row>16</xdr:row>
      <xdr:rowOff>62797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121A156-9B9B-8B46-84A9-A7292CA3A2F1}"/>
            </a:ext>
          </a:extLst>
        </xdr:cNvPr>
        <xdr:cNvGrpSpPr/>
      </xdr:nvGrpSpPr>
      <xdr:grpSpPr>
        <a:xfrm>
          <a:off x="14694993" y="2306287"/>
          <a:ext cx="545530" cy="497593"/>
          <a:chOff x="15721576" y="2381185"/>
          <a:chExt cx="549601" cy="485382"/>
        </a:xfrm>
      </xdr:grpSpPr>
      <xdr:sp macro="" textlink="Location1ANALYSIS!D14">
        <xdr:nvSpPr>
          <xdr:cNvPr id="242" name="TextBox 241">
            <a:extLst>
              <a:ext uri="{FF2B5EF4-FFF2-40B4-BE49-F238E27FC236}">
                <a16:creationId xmlns:a16="http://schemas.microsoft.com/office/drawing/2014/main" id="{8F7098D2-0BE2-4745-9FE2-FED9BFEB3442}"/>
              </a:ext>
            </a:extLst>
          </xdr:cNvPr>
          <xdr:cNvSpPr txBox="1"/>
        </xdr:nvSpPr>
        <xdr:spPr>
          <a:xfrm>
            <a:off x="1572157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003915-E655-4145-9D17-89E3155B68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243" name="TextBox 242">
            <a:extLst>
              <a:ext uri="{FF2B5EF4-FFF2-40B4-BE49-F238E27FC236}">
                <a16:creationId xmlns:a16="http://schemas.microsoft.com/office/drawing/2014/main" id="{61F96578-8D12-4082-BEAD-6E78A614487E}"/>
              </a:ext>
            </a:extLst>
          </xdr:cNvPr>
          <xdr:cNvSpPr txBox="1"/>
        </xdr:nvSpPr>
        <xdr:spPr>
          <a:xfrm>
            <a:off x="15991024" y="2381185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413D55-D4E1-DB4E-ABE6-ECCF544BBA6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9EAF227C-27EB-4E33-99EF-B1E2A02AE294}"/>
              </a:ext>
            </a:extLst>
          </xdr:cNvPr>
          <xdr:cNvSpPr txBox="1"/>
        </xdr:nvSpPr>
        <xdr:spPr>
          <a:xfrm>
            <a:off x="15877274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317649</xdr:colOff>
      <xdr:row>13</xdr:row>
      <xdr:rowOff>104954</xdr:rowOff>
    </xdr:from>
    <xdr:to>
      <xdr:col>19</xdr:col>
      <xdr:colOff>39162</xdr:colOff>
      <xdr:row>16</xdr:row>
      <xdr:rowOff>62797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29A2EEA9-BF91-1245-BF4B-D39262014D8C}"/>
            </a:ext>
          </a:extLst>
        </xdr:cNvPr>
        <xdr:cNvGrpSpPr/>
      </xdr:nvGrpSpPr>
      <xdr:grpSpPr>
        <a:xfrm>
          <a:off x="15367149" y="2306287"/>
          <a:ext cx="557596" cy="497593"/>
          <a:chOff x="16729956" y="2381185"/>
          <a:chExt cx="561667" cy="485382"/>
        </a:xfrm>
      </xdr:grpSpPr>
      <xdr:sp macro="" textlink="Location1ANALYSIS!D17">
        <xdr:nvSpPr>
          <xdr:cNvPr id="245" name="TextBox 244">
            <a:extLst>
              <a:ext uri="{FF2B5EF4-FFF2-40B4-BE49-F238E27FC236}">
                <a16:creationId xmlns:a16="http://schemas.microsoft.com/office/drawing/2014/main" id="{E5B3B2AC-D652-46EB-BE47-90EDD73EDC7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9E8D2D4-E496-1841-8C19-CD5637A2F21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246" name="TextBox 245">
            <a:extLst>
              <a:ext uri="{FF2B5EF4-FFF2-40B4-BE49-F238E27FC236}">
                <a16:creationId xmlns:a16="http://schemas.microsoft.com/office/drawing/2014/main" id="{9A797607-46E1-4362-9A8A-129E605AC02C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84CC-60F1-5241-86E3-2B4C465B488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FCC00519-9128-4FC8-BE57-244F8C479131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460845</xdr:colOff>
      <xdr:row>18</xdr:row>
      <xdr:rowOff>151471</xdr:rowOff>
    </xdr:from>
    <xdr:to>
      <xdr:col>15</xdr:col>
      <xdr:colOff>237524</xdr:colOff>
      <xdr:row>21</xdr:row>
      <xdr:rowOff>119084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56F66F37-0AD3-0F4C-B15B-8E9C62FC73EE}"/>
            </a:ext>
          </a:extLst>
        </xdr:cNvPr>
        <xdr:cNvGrpSpPr/>
      </xdr:nvGrpSpPr>
      <xdr:grpSpPr>
        <a:xfrm>
          <a:off x="12166012" y="3241804"/>
          <a:ext cx="612762" cy="475613"/>
          <a:chOff x="12301153" y="3473009"/>
          <a:chExt cx="616833" cy="485382"/>
        </a:xfrm>
      </xdr:grpSpPr>
      <xdr:sp macro="" textlink="Location1ANALYSIS!D4">
        <xdr:nvSpPr>
          <xdr:cNvPr id="248" name="TextBox 247">
            <a:extLst>
              <a:ext uri="{FF2B5EF4-FFF2-40B4-BE49-F238E27FC236}">
                <a16:creationId xmlns:a16="http://schemas.microsoft.com/office/drawing/2014/main" id="{172B58D6-8A17-434A-913D-E2896AFBF6B2}"/>
              </a:ext>
            </a:extLst>
          </xdr:cNvPr>
          <xdr:cNvSpPr txBox="1"/>
        </xdr:nvSpPr>
        <xdr:spPr>
          <a:xfrm>
            <a:off x="12301153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249" name="TextBox 248">
            <a:extLst>
              <a:ext uri="{FF2B5EF4-FFF2-40B4-BE49-F238E27FC236}">
                <a16:creationId xmlns:a16="http://schemas.microsoft.com/office/drawing/2014/main" id="{43A5BA42-600F-4B31-B5B4-D89A15BC2428}"/>
              </a:ext>
            </a:extLst>
          </xdr:cNvPr>
          <xdr:cNvSpPr txBox="1"/>
        </xdr:nvSpPr>
        <xdr:spPr>
          <a:xfrm>
            <a:off x="12625767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1B9ECA7C-8D51-4249-A021-AF8640D17239}"/>
              </a:ext>
            </a:extLst>
          </xdr:cNvPr>
          <xdr:cNvSpPr txBox="1"/>
        </xdr:nvSpPr>
        <xdr:spPr>
          <a:xfrm>
            <a:off x="12490247" y="3473009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577345</xdr:colOff>
      <xdr:row>18</xdr:row>
      <xdr:rowOff>151470</xdr:rowOff>
    </xdr:from>
    <xdr:to>
      <xdr:col>16</xdr:col>
      <xdr:colOff>328164</xdr:colOff>
      <xdr:row>21</xdr:row>
      <xdr:rowOff>119083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EDC6D12-16CB-5845-8FE4-1DD2461F9BD1}"/>
            </a:ext>
          </a:extLst>
        </xdr:cNvPr>
        <xdr:cNvGrpSpPr/>
      </xdr:nvGrpSpPr>
      <xdr:grpSpPr>
        <a:xfrm>
          <a:off x="13118595" y="3241803"/>
          <a:ext cx="586902" cy="475613"/>
          <a:chOff x="13375037" y="3473009"/>
          <a:chExt cx="590973" cy="485382"/>
        </a:xfrm>
      </xdr:grpSpPr>
      <xdr:sp macro="" textlink="Location1ANALYSIS!D7">
        <xdr:nvSpPr>
          <xdr:cNvPr id="251" name="TextBox 250">
            <a:extLst>
              <a:ext uri="{FF2B5EF4-FFF2-40B4-BE49-F238E27FC236}">
                <a16:creationId xmlns:a16="http://schemas.microsoft.com/office/drawing/2014/main" id="{2712C174-20E5-4FC5-9667-EFF7F5EFDD11}"/>
              </a:ext>
            </a:extLst>
          </xdr:cNvPr>
          <xdr:cNvSpPr txBox="1"/>
        </xdr:nvSpPr>
        <xdr:spPr>
          <a:xfrm>
            <a:off x="13375037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E6DAE6-E22A-1043-931F-450A5896F16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252" name="TextBox 251">
            <a:extLst>
              <a:ext uri="{FF2B5EF4-FFF2-40B4-BE49-F238E27FC236}">
                <a16:creationId xmlns:a16="http://schemas.microsoft.com/office/drawing/2014/main" id="{C2D2A02A-9866-4C95-B095-CDA3EA4295C5}"/>
              </a:ext>
            </a:extLst>
          </xdr:cNvPr>
          <xdr:cNvSpPr txBox="1"/>
        </xdr:nvSpPr>
        <xdr:spPr>
          <a:xfrm>
            <a:off x="13673791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7766F17-0B49-0547-B094-8C323EC27E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C87AE097-EFA8-4A2D-BFAC-1A6267F402D2}"/>
              </a:ext>
            </a:extLst>
          </xdr:cNvPr>
          <xdr:cNvSpPr txBox="1"/>
        </xdr:nvSpPr>
        <xdr:spPr>
          <a:xfrm>
            <a:off x="13553139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513369</xdr:colOff>
      <xdr:row>18</xdr:row>
      <xdr:rowOff>161240</xdr:rowOff>
    </xdr:from>
    <xdr:to>
      <xdr:col>17</xdr:col>
      <xdr:colOff>281431</xdr:colOff>
      <xdr:row>21</xdr:row>
      <xdr:rowOff>128853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FC306D76-FC9D-294F-80F4-77245688507E}"/>
            </a:ext>
          </a:extLst>
        </xdr:cNvPr>
        <xdr:cNvGrpSpPr/>
      </xdr:nvGrpSpPr>
      <xdr:grpSpPr>
        <a:xfrm>
          <a:off x="13890702" y="3251573"/>
          <a:ext cx="604146" cy="475613"/>
          <a:chOff x="14532216" y="3473009"/>
          <a:chExt cx="608215" cy="485382"/>
        </a:xfrm>
      </xdr:grpSpPr>
      <xdr:sp macro="" textlink="Location1ANALYSIS!D10">
        <xdr:nvSpPr>
          <xdr:cNvPr id="254" name="TextBox 253">
            <a:extLst>
              <a:ext uri="{FF2B5EF4-FFF2-40B4-BE49-F238E27FC236}">
                <a16:creationId xmlns:a16="http://schemas.microsoft.com/office/drawing/2014/main" id="{069814BF-1CCA-4E72-B5CF-002C2E6A824F}"/>
              </a:ext>
            </a:extLst>
          </xdr:cNvPr>
          <xdr:cNvSpPr txBox="1"/>
        </xdr:nvSpPr>
        <xdr:spPr>
          <a:xfrm>
            <a:off x="14532216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82DDFCB-A51B-9D4B-9D4B-919D13480E7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255" name="TextBox 254">
            <a:extLst>
              <a:ext uri="{FF2B5EF4-FFF2-40B4-BE49-F238E27FC236}">
                <a16:creationId xmlns:a16="http://schemas.microsoft.com/office/drawing/2014/main" id="{17EE2E17-19BC-4D94-922E-CAEE734ED803}"/>
              </a:ext>
            </a:extLst>
          </xdr:cNvPr>
          <xdr:cNvSpPr txBox="1"/>
        </xdr:nvSpPr>
        <xdr:spPr>
          <a:xfrm>
            <a:off x="14808567" y="3473009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5E5DA-ABCA-204B-A526-875CD49E427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6" name="TextBox 255">
            <a:extLst>
              <a:ext uri="{FF2B5EF4-FFF2-40B4-BE49-F238E27FC236}">
                <a16:creationId xmlns:a16="http://schemas.microsoft.com/office/drawing/2014/main" id="{9E89AB57-C6D7-4CDD-9DCD-135AF4ABD799}"/>
              </a:ext>
            </a:extLst>
          </xdr:cNvPr>
          <xdr:cNvSpPr txBox="1"/>
        </xdr:nvSpPr>
        <xdr:spPr>
          <a:xfrm>
            <a:off x="14707453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508009</xdr:colOff>
      <xdr:row>18</xdr:row>
      <xdr:rowOff>151471</xdr:rowOff>
    </xdr:from>
    <xdr:to>
      <xdr:col>18</xdr:col>
      <xdr:colOff>229522</xdr:colOff>
      <xdr:row>21</xdr:row>
      <xdr:rowOff>119084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9D72FF60-14B5-6040-90EF-5AB52CDAA57B}"/>
            </a:ext>
          </a:extLst>
        </xdr:cNvPr>
        <xdr:cNvGrpSpPr/>
      </xdr:nvGrpSpPr>
      <xdr:grpSpPr>
        <a:xfrm>
          <a:off x="14721426" y="3241804"/>
          <a:ext cx="557596" cy="475613"/>
          <a:chOff x="15728470" y="3473009"/>
          <a:chExt cx="561667" cy="485382"/>
        </a:xfrm>
      </xdr:grpSpPr>
      <xdr:sp macro="" textlink="Location1ANALYSIS!D13">
        <xdr:nvSpPr>
          <xdr:cNvPr id="257" name="TextBox 256">
            <a:extLst>
              <a:ext uri="{FF2B5EF4-FFF2-40B4-BE49-F238E27FC236}">
                <a16:creationId xmlns:a16="http://schemas.microsoft.com/office/drawing/2014/main" id="{799B43CE-DC1B-49AB-94B9-A78400E8D06C}"/>
              </a:ext>
            </a:extLst>
          </xdr:cNvPr>
          <xdr:cNvSpPr txBox="1"/>
        </xdr:nvSpPr>
        <xdr:spPr>
          <a:xfrm>
            <a:off x="15728470" y="3473009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1402C7-CC5D-3144-B539-F9AC3960C3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258" name="TextBox 257">
            <a:extLst>
              <a:ext uri="{FF2B5EF4-FFF2-40B4-BE49-F238E27FC236}">
                <a16:creationId xmlns:a16="http://schemas.microsoft.com/office/drawing/2014/main" id="{E7097AEE-17DD-44F9-82B1-E2EA7FD359E8}"/>
              </a:ext>
            </a:extLst>
          </xdr:cNvPr>
          <xdr:cNvSpPr txBox="1"/>
        </xdr:nvSpPr>
        <xdr:spPr>
          <a:xfrm>
            <a:off x="1599791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441007-B87A-054E-AA0B-23F057F093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9" name="TextBox 258">
            <a:extLst>
              <a:ext uri="{FF2B5EF4-FFF2-40B4-BE49-F238E27FC236}">
                <a16:creationId xmlns:a16="http://schemas.microsoft.com/office/drawing/2014/main" id="{D2E82038-7F85-489D-8FE4-EA3A436934FD}"/>
              </a:ext>
            </a:extLst>
          </xdr:cNvPr>
          <xdr:cNvSpPr txBox="1"/>
        </xdr:nvSpPr>
        <xdr:spPr>
          <a:xfrm>
            <a:off x="15893938" y="3473009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422236</xdr:colOff>
      <xdr:row>18</xdr:row>
      <xdr:rowOff>131932</xdr:rowOff>
    </xdr:from>
    <xdr:to>
      <xdr:col>19</xdr:col>
      <xdr:colOff>143748</xdr:colOff>
      <xdr:row>21</xdr:row>
      <xdr:rowOff>99545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D0BDD7B-790A-F343-AA6C-6C158C4BF52B}"/>
            </a:ext>
          </a:extLst>
        </xdr:cNvPr>
        <xdr:cNvGrpSpPr/>
      </xdr:nvGrpSpPr>
      <xdr:grpSpPr>
        <a:xfrm>
          <a:off x="15471736" y="3222265"/>
          <a:ext cx="557595" cy="475613"/>
          <a:chOff x="16736851" y="3473009"/>
          <a:chExt cx="561666" cy="485382"/>
        </a:xfrm>
      </xdr:grpSpPr>
      <xdr:sp macro="" textlink="Location1ANALYSIS!D16">
        <xdr:nvSpPr>
          <xdr:cNvPr id="260" name="TextBox 259">
            <a:extLst>
              <a:ext uri="{FF2B5EF4-FFF2-40B4-BE49-F238E27FC236}">
                <a16:creationId xmlns:a16="http://schemas.microsoft.com/office/drawing/2014/main" id="{4015A293-538C-4E73-9A61-EE526571A364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724522-B966-AE47-8A07-971D25A5F19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261" name="TextBox 260">
            <a:extLst>
              <a:ext uri="{FF2B5EF4-FFF2-40B4-BE49-F238E27FC236}">
                <a16:creationId xmlns:a16="http://schemas.microsoft.com/office/drawing/2014/main" id="{2BA09329-CA92-4763-932D-5BE43DA227DD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6C4239-7594-7A46-9818-F7BBD36B4B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62" name="TextBox 261">
            <a:extLst>
              <a:ext uri="{FF2B5EF4-FFF2-40B4-BE49-F238E27FC236}">
                <a16:creationId xmlns:a16="http://schemas.microsoft.com/office/drawing/2014/main" id="{07C6CFA1-AB0A-4654-AEEE-C6F6CC2B55DF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21211</xdr:colOff>
      <xdr:row>31</xdr:row>
      <xdr:rowOff>146297</xdr:rowOff>
    </xdr:from>
    <xdr:to>
      <xdr:col>16</xdr:col>
      <xdr:colOff>623682</xdr:colOff>
      <xdr:row>34</xdr:row>
      <xdr:rowOff>133448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6549AD8C-E4CB-CD4D-91E0-440FBE81D9B6}"/>
            </a:ext>
          </a:extLst>
        </xdr:cNvPr>
        <xdr:cNvGrpSpPr/>
      </xdr:nvGrpSpPr>
      <xdr:grpSpPr>
        <a:xfrm>
          <a:off x="13398544" y="5480297"/>
          <a:ext cx="602471" cy="526901"/>
          <a:chOff x="12301153" y="5353296"/>
          <a:chExt cx="602471" cy="485382"/>
        </a:xfrm>
      </xdr:grpSpPr>
      <xdr:sp macro="" textlink="Location2ANALYSIS!D9">
        <xdr:nvSpPr>
          <xdr:cNvPr id="264" name="TextBox 263">
            <a:extLst>
              <a:ext uri="{FF2B5EF4-FFF2-40B4-BE49-F238E27FC236}">
                <a16:creationId xmlns:a16="http://schemas.microsoft.com/office/drawing/2014/main" id="{5A54011C-72C5-4D93-A959-CCD037957704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819D73B-7D6E-A04D-90A9-A4ACDE85C94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265" name="TextBox 264">
            <a:extLst>
              <a:ext uri="{FF2B5EF4-FFF2-40B4-BE49-F238E27FC236}">
                <a16:creationId xmlns:a16="http://schemas.microsoft.com/office/drawing/2014/main" id="{2403A7C9-A0DB-4E4D-B8B1-74C0C6691AB8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44087C-CA1F-844A-A26B-BD78ABE2A2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348" name="TextBox 347">
            <a:extLst>
              <a:ext uri="{FF2B5EF4-FFF2-40B4-BE49-F238E27FC236}">
                <a16:creationId xmlns:a16="http://schemas.microsoft.com/office/drawing/2014/main" id="{AD3FFB3C-66C3-4B76-BD23-8B0C1F3634FA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16</xdr:col>
      <xdr:colOff>643423</xdr:colOff>
      <xdr:row>31</xdr:row>
      <xdr:rowOff>146297</xdr:rowOff>
    </xdr:from>
    <xdr:to>
      <xdr:col>17</xdr:col>
      <xdr:colOff>374705</xdr:colOff>
      <xdr:row>34</xdr:row>
      <xdr:rowOff>133448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F8B10D8A-2C0C-6E43-835A-7371DF9EAC3F}"/>
            </a:ext>
          </a:extLst>
        </xdr:cNvPr>
        <xdr:cNvGrpSpPr/>
      </xdr:nvGrpSpPr>
      <xdr:grpSpPr>
        <a:xfrm>
          <a:off x="14020756" y="5480297"/>
          <a:ext cx="567366" cy="526901"/>
          <a:chOff x="13362976" y="5353296"/>
          <a:chExt cx="571435" cy="485382"/>
        </a:xfrm>
      </xdr:grpSpPr>
      <xdr:sp macro="" textlink="Location2ANALYSIS!D12">
        <xdr:nvSpPr>
          <xdr:cNvPr id="266" name="TextBox 265">
            <a:extLst>
              <a:ext uri="{FF2B5EF4-FFF2-40B4-BE49-F238E27FC236}">
                <a16:creationId xmlns:a16="http://schemas.microsoft.com/office/drawing/2014/main" id="{3DE50D71-6E5E-4BDC-ACA1-592616E0782C}"/>
              </a:ext>
            </a:extLst>
          </xdr:cNvPr>
          <xdr:cNvSpPr txBox="1"/>
        </xdr:nvSpPr>
        <xdr:spPr>
          <a:xfrm>
            <a:off x="1336297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F5DF4D-6497-9749-9A99-AFBE826C9F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267" name="TextBox 266">
            <a:extLst>
              <a:ext uri="{FF2B5EF4-FFF2-40B4-BE49-F238E27FC236}">
                <a16:creationId xmlns:a16="http://schemas.microsoft.com/office/drawing/2014/main" id="{65D4F33C-9799-4545-89F4-0A8B179FE632}"/>
              </a:ext>
            </a:extLst>
          </xdr:cNvPr>
          <xdr:cNvSpPr txBox="1"/>
        </xdr:nvSpPr>
        <xdr:spPr>
          <a:xfrm>
            <a:off x="13642192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DE9A7D-B3A0-0649-A5AB-B6FF71CC88B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9" name="TextBox 348">
            <a:extLst>
              <a:ext uri="{FF2B5EF4-FFF2-40B4-BE49-F238E27FC236}">
                <a16:creationId xmlns:a16="http://schemas.microsoft.com/office/drawing/2014/main" id="{487AC668-A109-436A-8825-BD38CDF05EED}"/>
              </a:ext>
            </a:extLst>
          </xdr:cNvPr>
          <xdr:cNvSpPr txBox="1"/>
        </xdr:nvSpPr>
        <xdr:spPr>
          <a:xfrm>
            <a:off x="13521540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538068</xdr:colOff>
      <xdr:row>31</xdr:row>
      <xdr:rowOff>146297</xdr:rowOff>
    </xdr:from>
    <xdr:to>
      <xdr:col>18</xdr:col>
      <xdr:colOff>308426</xdr:colOff>
      <xdr:row>34</xdr:row>
      <xdr:rowOff>133448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848A08D-452F-0F4A-8DC5-E7380731D90C}"/>
            </a:ext>
          </a:extLst>
        </xdr:cNvPr>
        <xdr:cNvGrpSpPr/>
      </xdr:nvGrpSpPr>
      <xdr:grpSpPr>
        <a:xfrm>
          <a:off x="14751485" y="5480297"/>
          <a:ext cx="606441" cy="526901"/>
          <a:chOff x="14517854" y="5353296"/>
          <a:chExt cx="610512" cy="485382"/>
        </a:xfrm>
      </xdr:grpSpPr>
      <xdr:sp macro="" textlink="Location2ANALYSIS!D15">
        <xdr:nvSpPr>
          <xdr:cNvPr id="268" name="TextBox 267">
            <a:extLst>
              <a:ext uri="{FF2B5EF4-FFF2-40B4-BE49-F238E27FC236}">
                <a16:creationId xmlns:a16="http://schemas.microsoft.com/office/drawing/2014/main" id="{1B8005DA-2059-4209-A5D7-3FDA9BCCB03E}"/>
              </a:ext>
            </a:extLst>
          </xdr:cNvPr>
          <xdr:cNvSpPr txBox="1"/>
        </xdr:nvSpPr>
        <xdr:spPr>
          <a:xfrm>
            <a:off x="14517854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E4DF85-C98D-C748-882B-6E27231779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269" name="TextBox 268">
            <a:extLst>
              <a:ext uri="{FF2B5EF4-FFF2-40B4-BE49-F238E27FC236}">
                <a16:creationId xmlns:a16="http://schemas.microsoft.com/office/drawing/2014/main" id="{0E121689-5318-42E8-B5EC-17F33A5D4AE1}"/>
              </a:ext>
            </a:extLst>
          </xdr:cNvPr>
          <xdr:cNvSpPr txBox="1"/>
        </xdr:nvSpPr>
        <xdr:spPr>
          <a:xfrm>
            <a:off x="1478443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2E127C-6225-3A42-8A78-BD377D9A43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0" name="TextBox 349">
            <a:extLst>
              <a:ext uri="{FF2B5EF4-FFF2-40B4-BE49-F238E27FC236}">
                <a16:creationId xmlns:a16="http://schemas.microsoft.com/office/drawing/2014/main" id="{727AF73F-4983-4F0E-BAE2-F5EDBBD3C449}"/>
              </a:ext>
            </a:extLst>
          </xdr:cNvPr>
          <xdr:cNvSpPr txBox="1"/>
        </xdr:nvSpPr>
        <xdr:spPr>
          <a:xfrm>
            <a:off x="14683322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308017</xdr:colOff>
      <xdr:row>31</xdr:row>
      <xdr:rowOff>146297</xdr:rowOff>
    </xdr:from>
    <xdr:to>
      <xdr:col>19</xdr:col>
      <xdr:colOff>17464</xdr:colOff>
      <xdr:row>34</xdr:row>
      <xdr:rowOff>133448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289DAB7D-F58F-F645-8E4C-F195C6C4992D}"/>
            </a:ext>
          </a:extLst>
        </xdr:cNvPr>
        <xdr:cNvGrpSpPr/>
      </xdr:nvGrpSpPr>
      <xdr:grpSpPr>
        <a:xfrm>
          <a:off x="15357517" y="5480297"/>
          <a:ext cx="545530" cy="526901"/>
          <a:chOff x="15704339" y="5353296"/>
          <a:chExt cx="549601" cy="485382"/>
        </a:xfrm>
      </xdr:grpSpPr>
      <xdr:sp macro="" textlink="Location2ANALYSIS!D18">
        <xdr:nvSpPr>
          <xdr:cNvPr id="270" name="TextBox 269">
            <a:extLst>
              <a:ext uri="{FF2B5EF4-FFF2-40B4-BE49-F238E27FC236}">
                <a16:creationId xmlns:a16="http://schemas.microsoft.com/office/drawing/2014/main" id="{A3E9DC29-CB02-48D4-8656-3B072124B6AA}"/>
              </a:ext>
            </a:extLst>
          </xdr:cNvPr>
          <xdr:cNvSpPr txBox="1"/>
        </xdr:nvSpPr>
        <xdr:spPr>
          <a:xfrm>
            <a:off x="15704339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A21256-6E6A-804B-BEF7-CB1C19E2802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271" name="TextBox 270">
            <a:extLst>
              <a:ext uri="{FF2B5EF4-FFF2-40B4-BE49-F238E27FC236}">
                <a16:creationId xmlns:a16="http://schemas.microsoft.com/office/drawing/2014/main" id="{3FDDAAD9-F9F9-4B2F-95A4-DBB511D5FE20}"/>
              </a:ext>
            </a:extLst>
          </xdr:cNvPr>
          <xdr:cNvSpPr txBox="1"/>
        </xdr:nvSpPr>
        <xdr:spPr>
          <a:xfrm>
            <a:off x="15973787" y="5353296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DD1DDE-C8BC-C548-B69E-E5FD603081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1" name="TextBox 350">
            <a:extLst>
              <a:ext uri="{FF2B5EF4-FFF2-40B4-BE49-F238E27FC236}">
                <a16:creationId xmlns:a16="http://schemas.microsoft.com/office/drawing/2014/main" id="{315CBA61-A892-4CFF-B915-80970936E60E}"/>
              </a:ext>
            </a:extLst>
          </xdr:cNvPr>
          <xdr:cNvSpPr txBox="1"/>
        </xdr:nvSpPr>
        <xdr:spPr>
          <a:xfrm>
            <a:off x="1587957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183167</xdr:colOff>
      <xdr:row>31</xdr:row>
      <xdr:rowOff>146297</xdr:rowOff>
    </xdr:from>
    <xdr:to>
      <xdr:col>19</xdr:col>
      <xdr:colOff>744833</xdr:colOff>
      <xdr:row>34</xdr:row>
      <xdr:rowOff>133448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A7CF5BA-0DF4-1649-8A21-F59EB4C939B3}"/>
            </a:ext>
          </a:extLst>
        </xdr:cNvPr>
        <xdr:cNvGrpSpPr/>
      </xdr:nvGrpSpPr>
      <xdr:grpSpPr>
        <a:xfrm>
          <a:off x="16068750" y="5480297"/>
          <a:ext cx="561666" cy="526901"/>
          <a:chOff x="16624799" y="5353296"/>
          <a:chExt cx="561666" cy="485382"/>
        </a:xfrm>
      </xdr:grpSpPr>
      <xdr:sp macro="" textlink="Location2ANALYSIS!D21">
        <xdr:nvSpPr>
          <xdr:cNvPr id="272" name="TextBox 271">
            <a:extLst>
              <a:ext uri="{FF2B5EF4-FFF2-40B4-BE49-F238E27FC236}">
                <a16:creationId xmlns:a16="http://schemas.microsoft.com/office/drawing/2014/main" id="{2B5AD4B7-C8D5-428C-BC93-A6B184FE98F5}"/>
              </a:ext>
            </a:extLst>
          </xdr:cNvPr>
          <xdr:cNvSpPr txBox="1"/>
        </xdr:nvSpPr>
        <xdr:spPr>
          <a:xfrm>
            <a:off x="16624799" y="5353296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E2B01D-5BFF-814E-8B6F-35FC301B042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1">
        <xdr:nvSpPr>
          <xdr:cNvPr id="273" name="TextBox 272">
            <a:extLst>
              <a:ext uri="{FF2B5EF4-FFF2-40B4-BE49-F238E27FC236}">
                <a16:creationId xmlns:a16="http://schemas.microsoft.com/office/drawing/2014/main" id="{D861D70A-EAD9-4278-A93D-495F2FB84031}"/>
              </a:ext>
            </a:extLst>
          </xdr:cNvPr>
          <xdr:cNvSpPr txBox="1"/>
        </xdr:nvSpPr>
        <xdr:spPr>
          <a:xfrm>
            <a:off x="16894246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24C7367-E47F-7942-B666-1DFDF3B2F1A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2" name="TextBox 351">
            <a:extLst>
              <a:ext uri="{FF2B5EF4-FFF2-40B4-BE49-F238E27FC236}">
                <a16:creationId xmlns:a16="http://schemas.microsoft.com/office/drawing/2014/main" id="{D0A726B3-C3C7-4DB9-A4F1-76C587ED1BCD}"/>
              </a:ext>
            </a:extLst>
          </xdr:cNvPr>
          <xdr:cNvSpPr txBox="1"/>
        </xdr:nvSpPr>
        <xdr:spPr>
          <a:xfrm>
            <a:off x="16780498" y="5353296"/>
            <a:ext cx="331864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763672</xdr:colOff>
      <xdr:row>36</xdr:row>
      <xdr:rowOff>135075</xdr:rowOff>
    </xdr:from>
    <xdr:to>
      <xdr:col>16</xdr:col>
      <xdr:colOff>515647</xdr:colOff>
      <xdr:row>39</xdr:row>
      <xdr:rowOff>122226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6CEE4DF-0E2C-7C42-ACF9-750D78CEFF78}"/>
            </a:ext>
          </a:extLst>
        </xdr:cNvPr>
        <xdr:cNvGrpSpPr/>
      </xdr:nvGrpSpPr>
      <xdr:grpSpPr>
        <a:xfrm>
          <a:off x="13304922" y="6368658"/>
          <a:ext cx="588058" cy="526901"/>
          <a:chOff x="12301153" y="6436230"/>
          <a:chExt cx="592129" cy="485382"/>
        </a:xfrm>
      </xdr:grpSpPr>
      <xdr:sp macro="" textlink="Location2ANALYSIS!D8">
        <xdr:nvSpPr>
          <xdr:cNvPr id="274" name="TextBox 273">
            <a:extLst>
              <a:ext uri="{FF2B5EF4-FFF2-40B4-BE49-F238E27FC236}">
                <a16:creationId xmlns:a16="http://schemas.microsoft.com/office/drawing/2014/main" id="{E2D3B861-B20A-4741-831D-0B7AFF2B04F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47E777-0300-AC42-A3FD-BEEAAC71A0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275" name="TextBox 274">
            <a:extLst>
              <a:ext uri="{FF2B5EF4-FFF2-40B4-BE49-F238E27FC236}">
                <a16:creationId xmlns:a16="http://schemas.microsoft.com/office/drawing/2014/main" id="{B92FBEE6-1D15-44C3-BB47-818192AC68ED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87FD7-6301-AD4C-A802-E103F33FD9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3" name="TextBox 352">
            <a:extLst>
              <a:ext uri="{FF2B5EF4-FFF2-40B4-BE49-F238E27FC236}">
                <a16:creationId xmlns:a16="http://schemas.microsoft.com/office/drawing/2014/main" id="{392BFE5A-F58C-4BBD-9413-95E960BD95B1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613541</xdr:colOff>
      <xdr:row>36</xdr:row>
      <xdr:rowOff>135075</xdr:rowOff>
    </xdr:from>
    <xdr:to>
      <xdr:col>17</xdr:col>
      <xdr:colOff>344823</xdr:colOff>
      <xdr:row>39</xdr:row>
      <xdr:rowOff>122226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58EB4AF2-5C7E-3445-BF49-BA9F974B2ACA}"/>
            </a:ext>
          </a:extLst>
        </xdr:cNvPr>
        <xdr:cNvGrpSpPr/>
      </xdr:nvGrpSpPr>
      <xdr:grpSpPr>
        <a:xfrm>
          <a:off x="13990874" y="6368658"/>
          <a:ext cx="567366" cy="526901"/>
          <a:chOff x="13352633" y="6436230"/>
          <a:chExt cx="571435" cy="485382"/>
        </a:xfrm>
      </xdr:grpSpPr>
      <xdr:sp macro="" textlink="Location2ANALYSIS!D11">
        <xdr:nvSpPr>
          <xdr:cNvPr id="276" name="TextBox 275">
            <a:extLst>
              <a:ext uri="{FF2B5EF4-FFF2-40B4-BE49-F238E27FC236}">
                <a16:creationId xmlns:a16="http://schemas.microsoft.com/office/drawing/2014/main" id="{F383972F-F1AF-4C95-B729-1AE19B2D98D6}"/>
              </a:ext>
            </a:extLst>
          </xdr:cNvPr>
          <xdr:cNvSpPr txBox="1"/>
        </xdr:nvSpPr>
        <xdr:spPr>
          <a:xfrm>
            <a:off x="13352633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54417-E489-2447-96DF-F7AB022731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277" name="TextBox 276">
            <a:extLst>
              <a:ext uri="{FF2B5EF4-FFF2-40B4-BE49-F238E27FC236}">
                <a16:creationId xmlns:a16="http://schemas.microsoft.com/office/drawing/2014/main" id="{C4E8555D-1958-45ED-A0AA-722BF75D972D}"/>
              </a:ext>
            </a:extLst>
          </xdr:cNvPr>
          <xdr:cNvSpPr txBox="1"/>
        </xdr:nvSpPr>
        <xdr:spPr>
          <a:xfrm>
            <a:off x="13631849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5E7DA7-61CE-6A4A-8F19-AD5D174EE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4" name="TextBox 353">
            <a:extLst>
              <a:ext uri="{FF2B5EF4-FFF2-40B4-BE49-F238E27FC236}">
                <a16:creationId xmlns:a16="http://schemas.microsoft.com/office/drawing/2014/main" id="{774C0B07-34BA-48A9-A05A-2385A5E114BE}"/>
              </a:ext>
            </a:extLst>
          </xdr:cNvPr>
          <xdr:cNvSpPr txBox="1"/>
        </xdr:nvSpPr>
        <xdr:spPr>
          <a:xfrm>
            <a:off x="13511198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547264</xdr:colOff>
      <xdr:row>36</xdr:row>
      <xdr:rowOff>135075</xdr:rowOff>
    </xdr:from>
    <xdr:to>
      <xdr:col>18</xdr:col>
      <xdr:colOff>305555</xdr:colOff>
      <xdr:row>39</xdr:row>
      <xdr:rowOff>122226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B72C127-3F2A-E841-BC23-3E19F257BBF7}"/>
            </a:ext>
          </a:extLst>
        </xdr:cNvPr>
        <xdr:cNvGrpSpPr/>
      </xdr:nvGrpSpPr>
      <xdr:grpSpPr>
        <a:xfrm>
          <a:off x="14760681" y="6368658"/>
          <a:ext cx="594374" cy="526901"/>
          <a:chOff x="14507512" y="6436230"/>
          <a:chExt cx="598445" cy="485382"/>
        </a:xfrm>
      </xdr:grpSpPr>
      <xdr:sp macro="" textlink="Location2ANALYSIS!D14">
        <xdr:nvSpPr>
          <xdr:cNvPr id="278" name="TextBox 277">
            <a:extLst>
              <a:ext uri="{FF2B5EF4-FFF2-40B4-BE49-F238E27FC236}">
                <a16:creationId xmlns:a16="http://schemas.microsoft.com/office/drawing/2014/main" id="{A145EE1F-D8CA-4585-B905-13692CA8045E}"/>
              </a:ext>
            </a:extLst>
          </xdr:cNvPr>
          <xdr:cNvSpPr txBox="1"/>
        </xdr:nvSpPr>
        <xdr:spPr>
          <a:xfrm>
            <a:off x="14507512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B0980A-25AF-134D-8D1E-692F672D01B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279" name="TextBox 278">
            <a:extLst>
              <a:ext uri="{FF2B5EF4-FFF2-40B4-BE49-F238E27FC236}">
                <a16:creationId xmlns:a16="http://schemas.microsoft.com/office/drawing/2014/main" id="{99B2F325-F905-4895-8722-63CEFBDA79F7}"/>
              </a:ext>
            </a:extLst>
          </xdr:cNvPr>
          <xdr:cNvSpPr txBox="1"/>
        </xdr:nvSpPr>
        <xdr:spPr>
          <a:xfrm>
            <a:off x="14774093" y="6436230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169DDC-14B5-BB42-85E8-8EAD4B0928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5" name="TextBox 354">
            <a:extLst>
              <a:ext uri="{FF2B5EF4-FFF2-40B4-BE49-F238E27FC236}">
                <a16:creationId xmlns:a16="http://schemas.microsoft.com/office/drawing/2014/main" id="{FAF13EA1-B97A-42D5-864C-54BE0F4E8A5C}"/>
              </a:ext>
            </a:extLst>
          </xdr:cNvPr>
          <xdr:cNvSpPr txBox="1"/>
        </xdr:nvSpPr>
        <xdr:spPr>
          <a:xfrm>
            <a:off x="14672979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395367</xdr:colOff>
      <xdr:row>36</xdr:row>
      <xdr:rowOff>135075</xdr:rowOff>
    </xdr:from>
    <xdr:to>
      <xdr:col>19</xdr:col>
      <xdr:colOff>116880</xdr:colOff>
      <xdr:row>39</xdr:row>
      <xdr:rowOff>122226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65D00BF-7E6B-9C40-85F3-FE69A7C50FE6}"/>
            </a:ext>
          </a:extLst>
        </xdr:cNvPr>
        <xdr:cNvGrpSpPr/>
      </xdr:nvGrpSpPr>
      <xdr:grpSpPr>
        <a:xfrm>
          <a:off x="15444867" y="6368658"/>
          <a:ext cx="557596" cy="526901"/>
          <a:chOff x="15693997" y="6436230"/>
          <a:chExt cx="561667" cy="485382"/>
        </a:xfrm>
      </xdr:grpSpPr>
      <xdr:sp macro="" textlink="Location2ANALYSIS!D17">
        <xdr:nvSpPr>
          <xdr:cNvPr id="280" name="TextBox 279">
            <a:extLst>
              <a:ext uri="{FF2B5EF4-FFF2-40B4-BE49-F238E27FC236}">
                <a16:creationId xmlns:a16="http://schemas.microsoft.com/office/drawing/2014/main" id="{05E16B78-A791-4F7F-86A2-50706F366FA1}"/>
              </a:ext>
            </a:extLst>
          </xdr:cNvPr>
          <xdr:cNvSpPr txBox="1"/>
        </xdr:nvSpPr>
        <xdr:spPr>
          <a:xfrm>
            <a:off x="15693997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7EB8FB-CBCA-3D48-990C-138EF1FE2C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281" name="TextBox 280">
            <a:extLst>
              <a:ext uri="{FF2B5EF4-FFF2-40B4-BE49-F238E27FC236}">
                <a16:creationId xmlns:a16="http://schemas.microsoft.com/office/drawing/2014/main" id="{A9EF1855-B115-4834-9B3B-22278AE0DB48}"/>
              </a:ext>
            </a:extLst>
          </xdr:cNvPr>
          <xdr:cNvSpPr txBox="1"/>
        </xdr:nvSpPr>
        <xdr:spPr>
          <a:xfrm>
            <a:off x="15963445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B60E1E-5FB9-D44C-AA10-1B6A5D1310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6" name="TextBox 355">
            <a:extLst>
              <a:ext uri="{FF2B5EF4-FFF2-40B4-BE49-F238E27FC236}">
                <a16:creationId xmlns:a16="http://schemas.microsoft.com/office/drawing/2014/main" id="{AAEA470B-C0E6-4758-B116-A2FA93C8267E}"/>
              </a:ext>
            </a:extLst>
          </xdr:cNvPr>
          <xdr:cNvSpPr txBox="1"/>
        </xdr:nvSpPr>
        <xdr:spPr>
          <a:xfrm>
            <a:off x="15849696" y="6436230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348669</xdr:colOff>
      <xdr:row>36</xdr:row>
      <xdr:rowOff>135075</xdr:rowOff>
    </xdr:from>
    <xdr:to>
      <xdr:col>20</xdr:col>
      <xdr:colOff>70181</xdr:colOff>
      <xdr:row>39</xdr:row>
      <xdr:rowOff>122226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146384F-C1AA-2E43-9D70-DACB08A774E2}"/>
            </a:ext>
          </a:extLst>
        </xdr:cNvPr>
        <xdr:cNvGrpSpPr/>
      </xdr:nvGrpSpPr>
      <xdr:grpSpPr>
        <a:xfrm>
          <a:off x="16234252" y="6368658"/>
          <a:ext cx="557596" cy="526901"/>
          <a:chOff x="16614457" y="6436230"/>
          <a:chExt cx="561666" cy="485382"/>
        </a:xfrm>
      </xdr:grpSpPr>
      <xdr:sp macro="" textlink="Location2ANALYSIS!D20">
        <xdr:nvSpPr>
          <xdr:cNvPr id="282" name="TextBox 281">
            <a:extLst>
              <a:ext uri="{FF2B5EF4-FFF2-40B4-BE49-F238E27FC236}">
                <a16:creationId xmlns:a16="http://schemas.microsoft.com/office/drawing/2014/main" id="{63656F20-B68C-475F-98C3-7E40F264E902}"/>
              </a:ext>
            </a:extLst>
          </xdr:cNvPr>
          <xdr:cNvSpPr txBox="1"/>
        </xdr:nvSpPr>
        <xdr:spPr>
          <a:xfrm>
            <a:off x="16614457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4F5197-56FF-3C49-A8FE-7C392C42A8B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0">
        <xdr:nvSpPr>
          <xdr:cNvPr id="283" name="TextBox 282">
            <a:extLst>
              <a:ext uri="{FF2B5EF4-FFF2-40B4-BE49-F238E27FC236}">
                <a16:creationId xmlns:a16="http://schemas.microsoft.com/office/drawing/2014/main" id="{13A92017-E8F9-439D-A15B-6B42ECD50D55}"/>
              </a:ext>
            </a:extLst>
          </xdr:cNvPr>
          <xdr:cNvSpPr txBox="1"/>
        </xdr:nvSpPr>
        <xdr:spPr>
          <a:xfrm>
            <a:off x="16883904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34217B-2680-514E-A18F-4C971FDF768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7" name="TextBox 356">
            <a:extLst>
              <a:ext uri="{FF2B5EF4-FFF2-40B4-BE49-F238E27FC236}">
                <a16:creationId xmlns:a16="http://schemas.microsoft.com/office/drawing/2014/main" id="{0B341CA7-CC4F-4B8B-B19F-B071872329FE}"/>
              </a:ext>
            </a:extLst>
          </xdr:cNvPr>
          <xdr:cNvSpPr txBox="1"/>
        </xdr:nvSpPr>
        <xdr:spPr>
          <a:xfrm>
            <a:off x="16770156" y="6436230"/>
            <a:ext cx="343930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665976</xdr:colOff>
      <xdr:row>42</xdr:row>
      <xdr:rowOff>15515</xdr:rowOff>
    </xdr:from>
    <xdr:to>
      <xdr:col>16</xdr:col>
      <xdr:colOff>424845</xdr:colOff>
      <xdr:row>45</xdr:row>
      <xdr:rowOff>2668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114CCEC7-7A34-6449-B2D6-7EB170577AF1}"/>
            </a:ext>
          </a:extLst>
        </xdr:cNvPr>
        <xdr:cNvGrpSpPr/>
      </xdr:nvGrpSpPr>
      <xdr:grpSpPr>
        <a:xfrm>
          <a:off x="13207226" y="7318015"/>
          <a:ext cx="594952" cy="526903"/>
          <a:chOff x="12301153" y="7528054"/>
          <a:chExt cx="599023" cy="485383"/>
        </a:xfrm>
      </xdr:grpSpPr>
      <xdr:sp macro="" textlink="Location2ANALYSIS!D7">
        <xdr:nvSpPr>
          <xdr:cNvPr id="285" name="TextBox 284">
            <a:extLst>
              <a:ext uri="{FF2B5EF4-FFF2-40B4-BE49-F238E27FC236}">
                <a16:creationId xmlns:a16="http://schemas.microsoft.com/office/drawing/2014/main" id="{6B5458CB-5F33-4561-A00F-9E96FC1698A7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BD92BEA-44D8-BE4F-A21F-A55FA0754F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287" name="TextBox 286">
            <a:extLst>
              <a:ext uri="{FF2B5EF4-FFF2-40B4-BE49-F238E27FC236}">
                <a16:creationId xmlns:a16="http://schemas.microsoft.com/office/drawing/2014/main" id="{E4CE1567-3759-49F9-A9C0-423D7D224686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88E124-51B2-274B-A27B-AF29419DD0A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8" name="TextBox 357">
            <a:extLst>
              <a:ext uri="{FF2B5EF4-FFF2-40B4-BE49-F238E27FC236}">
                <a16:creationId xmlns:a16="http://schemas.microsoft.com/office/drawing/2014/main" id="{D7FE49FB-78A9-47CF-BE87-3DDF2921F61D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591124</xdr:colOff>
      <xdr:row>42</xdr:row>
      <xdr:rowOff>15515</xdr:rowOff>
    </xdr:from>
    <xdr:to>
      <xdr:col>17</xdr:col>
      <xdr:colOff>341945</xdr:colOff>
      <xdr:row>45</xdr:row>
      <xdr:rowOff>2668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633AE8A2-ACB3-454D-B105-04465A9F584E}"/>
            </a:ext>
          </a:extLst>
        </xdr:cNvPr>
        <xdr:cNvGrpSpPr/>
      </xdr:nvGrpSpPr>
      <xdr:grpSpPr>
        <a:xfrm>
          <a:off x="13968457" y="7318015"/>
          <a:ext cx="586905" cy="526903"/>
          <a:chOff x="13359528" y="7528054"/>
          <a:chExt cx="590973" cy="485383"/>
        </a:xfrm>
      </xdr:grpSpPr>
      <xdr:sp macro="" textlink="Location2ANALYSIS!D10">
        <xdr:nvSpPr>
          <xdr:cNvPr id="288" name="TextBox 287">
            <a:extLst>
              <a:ext uri="{FF2B5EF4-FFF2-40B4-BE49-F238E27FC236}">
                <a16:creationId xmlns:a16="http://schemas.microsoft.com/office/drawing/2014/main" id="{EFD43751-343D-47D2-9283-0510EEE10731}"/>
              </a:ext>
            </a:extLst>
          </xdr:cNvPr>
          <xdr:cNvSpPr txBox="1"/>
        </xdr:nvSpPr>
        <xdr:spPr>
          <a:xfrm>
            <a:off x="1335952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F38E03-3E65-4D4A-BCCB-5DCE1ED36B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289" name="TextBox 288">
            <a:extLst>
              <a:ext uri="{FF2B5EF4-FFF2-40B4-BE49-F238E27FC236}">
                <a16:creationId xmlns:a16="http://schemas.microsoft.com/office/drawing/2014/main" id="{659F85F1-2086-4AC8-A397-87A70F41EC9A}"/>
              </a:ext>
            </a:extLst>
          </xdr:cNvPr>
          <xdr:cNvSpPr txBox="1"/>
        </xdr:nvSpPr>
        <xdr:spPr>
          <a:xfrm>
            <a:off x="13658282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4C2D78-B5C5-454E-8D17-4789F2ECBB4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7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9" name="TextBox 358">
            <a:extLst>
              <a:ext uri="{FF2B5EF4-FFF2-40B4-BE49-F238E27FC236}">
                <a16:creationId xmlns:a16="http://schemas.microsoft.com/office/drawing/2014/main" id="{A45059B7-9B8B-42D5-90C8-53A7B096313C}"/>
              </a:ext>
            </a:extLst>
          </xdr:cNvPr>
          <xdr:cNvSpPr txBox="1"/>
        </xdr:nvSpPr>
        <xdr:spPr>
          <a:xfrm>
            <a:off x="13518092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593233</xdr:colOff>
      <xdr:row>42</xdr:row>
      <xdr:rowOff>15515</xdr:rowOff>
    </xdr:from>
    <xdr:to>
      <xdr:col>18</xdr:col>
      <xdr:colOff>363590</xdr:colOff>
      <xdr:row>45</xdr:row>
      <xdr:rowOff>2668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CA27168-7518-414F-AAD7-06492F150F9A}"/>
            </a:ext>
          </a:extLst>
        </xdr:cNvPr>
        <xdr:cNvGrpSpPr/>
      </xdr:nvGrpSpPr>
      <xdr:grpSpPr>
        <a:xfrm>
          <a:off x="14806650" y="7318015"/>
          <a:ext cx="606440" cy="526903"/>
          <a:chOff x="14514406" y="7528054"/>
          <a:chExt cx="610512" cy="485383"/>
        </a:xfrm>
      </xdr:grpSpPr>
      <xdr:sp macro="" textlink="Location2ANALYSIS!D13">
        <xdr:nvSpPr>
          <xdr:cNvPr id="299" name="TextBox 298">
            <a:extLst>
              <a:ext uri="{FF2B5EF4-FFF2-40B4-BE49-F238E27FC236}">
                <a16:creationId xmlns:a16="http://schemas.microsoft.com/office/drawing/2014/main" id="{08893951-C1AA-4F1A-AB5D-6E7F5B12EF25}"/>
              </a:ext>
            </a:extLst>
          </xdr:cNvPr>
          <xdr:cNvSpPr txBox="1"/>
        </xdr:nvSpPr>
        <xdr:spPr>
          <a:xfrm>
            <a:off x="14514406" y="7528054"/>
            <a:ext cx="280153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403854-C756-1841-A5EA-8658726E06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300" name="TextBox 299">
            <a:extLst>
              <a:ext uri="{FF2B5EF4-FFF2-40B4-BE49-F238E27FC236}">
                <a16:creationId xmlns:a16="http://schemas.microsoft.com/office/drawing/2014/main" id="{FCBD580C-39A2-4FA5-B308-498B892750AB}"/>
              </a:ext>
            </a:extLst>
          </xdr:cNvPr>
          <xdr:cNvSpPr txBox="1"/>
        </xdr:nvSpPr>
        <xdr:spPr>
          <a:xfrm>
            <a:off x="1478098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449C7D-E3CC-2446-A5F8-07FF6E41ED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0" name="TextBox 359">
            <a:extLst>
              <a:ext uri="{FF2B5EF4-FFF2-40B4-BE49-F238E27FC236}">
                <a16:creationId xmlns:a16="http://schemas.microsoft.com/office/drawing/2014/main" id="{68C91822-146C-46A4-A1EE-CEFED7C8215C}"/>
              </a:ext>
            </a:extLst>
          </xdr:cNvPr>
          <xdr:cNvSpPr txBox="1"/>
        </xdr:nvSpPr>
        <xdr:spPr>
          <a:xfrm>
            <a:off x="14679874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499950</xdr:colOff>
      <xdr:row>42</xdr:row>
      <xdr:rowOff>15515</xdr:rowOff>
    </xdr:from>
    <xdr:to>
      <xdr:col>19</xdr:col>
      <xdr:colOff>221464</xdr:colOff>
      <xdr:row>45</xdr:row>
      <xdr:rowOff>2668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1C94790-7AB8-2645-B4EA-E7A98ED1E92D}"/>
            </a:ext>
          </a:extLst>
        </xdr:cNvPr>
        <xdr:cNvGrpSpPr/>
      </xdr:nvGrpSpPr>
      <xdr:grpSpPr>
        <a:xfrm>
          <a:off x="15549450" y="7318015"/>
          <a:ext cx="557597" cy="526903"/>
          <a:chOff x="15700891" y="7528054"/>
          <a:chExt cx="561668" cy="485383"/>
        </a:xfrm>
      </xdr:grpSpPr>
      <xdr:sp macro="" textlink="Location2ANALYSIS!D16">
        <xdr:nvSpPr>
          <xdr:cNvPr id="345" name="TextBox 344">
            <a:extLst>
              <a:ext uri="{FF2B5EF4-FFF2-40B4-BE49-F238E27FC236}">
                <a16:creationId xmlns:a16="http://schemas.microsoft.com/office/drawing/2014/main" id="{AB4B53FD-EBEF-4DA7-9F86-2D9D88BF303D}"/>
              </a:ext>
            </a:extLst>
          </xdr:cNvPr>
          <xdr:cNvSpPr txBox="1"/>
        </xdr:nvSpPr>
        <xdr:spPr>
          <a:xfrm>
            <a:off x="15700891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90F6A6-79DB-BB42-A8A1-F85CDA8C28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346" name="TextBox 345">
            <a:extLst>
              <a:ext uri="{FF2B5EF4-FFF2-40B4-BE49-F238E27FC236}">
                <a16:creationId xmlns:a16="http://schemas.microsoft.com/office/drawing/2014/main" id="{76A18904-DFFF-483C-8D65-968AE7C31BAF}"/>
              </a:ext>
            </a:extLst>
          </xdr:cNvPr>
          <xdr:cNvSpPr txBox="1"/>
        </xdr:nvSpPr>
        <xdr:spPr>
          <a:xfrm>
            <a:off x="15970340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F1CE3E-A7A2-0546-A541-CBD9B80EE6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1" name="TextBox 360">
            <a:extLst>
              <a:ext uri="{FF2B5EF4-FFF2-40B4-BE49-F238E27FC236}">
                <a16:creationId xmlns:a16="http://schemas.microsoft.com/office/drawing/2014/main" id="{4846B0DC-E5F6-4C44-878C-8FCAA2D0D583}"/>
              </a:ext>
            </a:extLst>
          </xdr:cNvPr>
          <xdr:cNvSpPr txBox="1"/>
        </xdr:nvSpPr>
        <xdr:spPr>
          <a:xfrm>
            <a:off x="15856590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590022</xdr:colOff>
      <xdr:row>42</xdr:row>
      <xdr:rowOff>15515</xdr:rowOff>
    </xdr:from>
    <xdr:to>
      <xdr:col>20</xdr:col>
      <xdr:colOff>311535</xdr:colOff>
      <xdr:row>45</xdr:row>
      <xdr:rowOff>2668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7C049B96-8282-F94C-A785-446C303116EF}"/>
            </a:ext>
          </a:extLst>
        </xdr:cNvPr>
        <xdr:cNvGrpSpPr/>
      </xdr:nvGrpSpPr>
      <xdr:grpSpPr>
        <a:xfrm>
          <a:off x="16475605" y="7318015"/>
          <a:ext cx="557597" cy="526903"/>
          <a:chOff x="16621351" y="7528054"/>
          <a:chExt cx="561667" cy="485383"/>
        </a:xfrm>
      </xdr:grpSpPr>
      <xdr:sp macro="" textlink="Location2ANALYSIS!D19">
        <xdr:nvSpPr>
          <xdr:cNvPr id="347" name="TextBox 346">
            <a:extLst>
              <a:ext uri="{FF2B5EF4-FFF2-40B4-BE49-F238E27FC236}">
                <a16:creationId xmlns:a16="http://schemas.microsoft.com/office/drawing/2014/main" id="{AC585455-A6FB-4629-BE41-64CDFAF6A47C}"/>
              </a:ext>
            </a:extLst>
          </xdr:cNvPr>
          <xdr:cNvSpPr txBox="1"/>
        </xdr:nvSpPr>
        <xdr:spPr>
          <a:xfrm>
            <a:off x="16621351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9FB155-4C4F-F943-BE17-F589263C59F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9">
        <xdr:nvSpPr>
          <xdr:cNvPr id="362" name="TextBox 361">
            <a:extLst>
              <a:ext uri="{FF2B5EF4-FFF2-40B4-BE49-F238E27FC236}">
                <a16:creationId xmlns:a16="http://schemas.microsoft.com/office/drawing/2014/main" id="{F33C2427-3E47-4A3F-8D4D-B6D0D4BCCAFF}"/>
              </a:ext>
            </a:extLst>
          </xdr:cNvPr>
          <xdr:cNvSpPr txBox="1"/>
        </xdr:nvSpPr>
        <xdr:spPr>
          <a:xfrm>
            <a:off x="16890799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1C60FD-FC3F-9B4D-909C-ECF0848BBC1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3" name="TextBox 362">
            <a:extLst>
              <a:ext uri="{FF2B5EF4-FFF2-40B4-BE49-F238E27FC236}">
                <a16:creationId xmlns:a16="http://schemas.microsoft.com/office/drawing/2014/main" id="{908DD87F-7FA3-4780-9D8B-D9C3C5B641BD}"/>
              </a:ext>
            </a:extLst>
          </xdr:cNvPr>
          <xdr:cNvSpPr txBox="1"/>
        </xdr:nvSpPr>
        <xdr:spPr>
          <a:xfrm>
            <a:off x="16777050" y="7528054"/>
            <a:ext cx="343930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839206</xdr:colOff>
      <xdr:row>5</xdr:row>
      <xdr:rowOff>60240</xdr:rowOff>
    </xdr:from>
    <xdr:to>
      <xdr:col>17</xdr:col>
      <xdr:colOff>832637</xdr:colOff>
      <xdr:row>7</xdr:row>
      <xdr:rowOff>5845</xdr:rowOff>
    </xdr:to>
    <xdr:sp macro="" textlink="Location1ANALYSIS!C2">
      <xdr:nvSpPr>
        <xdr:cNvPr id="364" name="Rectangle 363">
          <a:extLst>
            <a:ext uri="{FF2B5EF4-FFF2-40B4-BE49-F238E27FC236}">
              <a16:creationId xmlns:a16="http://schemas.microsoft.com/office/drawing/2014/main" id="{C41DFCBB-89E7-4C28-A818-666103B775C5}"/>
            </a:ext>
          </a:extLst>
        </xdr:cNvPr>
        <xdr:cNvSpPr>
          <a:spLocks noChangeAspect="1"/>
        </xdr:cNvSpPr>
      </xdr:nvSpPr>
      <xdr:spPr>
        <a:xfrm>
          <a:off x="14281668" y="890625"/>
          <a:ext cx="833584" cy="27775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12396</xdr:colOff>
      <xdr:row>28</xdr:row>
      <xdr:rowOff>48822</xdr:rowOff>
    </xdr:from>
    <xdr:to>
      <xdr:col>18</xdr:col>
      <xdr:colOff>5826</xdr:colOff>
      <xdr:row>30</xdr:row>
      <xdr:rowOff>3317</xdr:rowOff>
    </xdr:to>
    <xdr:sp macro="" textlink="Location2ANALYSIS!C2">
      <xdr:nvSpPr>
        <xdr:cNvPr id="365" name="Rectangle 364">
          <a:extLst>
            <a:ext uri="{FF2B5EF4-FFF2-40B4-BE49-F238E27FC236}">
              <a16:creationId xmlns:a16="http://schemas.microsoft.com/office/drawing/2014/main" id="{DF885716-3B9C-4DBF-BD11-14B5A1865733}"/>
            </a:ext>
          </a:extLst>
        </xdr:cNvPr>
        <xdr:cNvSpPr>
          <a:spLocks noChangeAspect="1"/>
        </xdr:cNvSpPr>
      </xdr:nvSpPr>
      <xdr:spPr>
        <a:xfrm>
          <a:off x="14295011" y="4816207"/>
          <a:ext cx="833584" cy="2866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2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 algn="ctr"/>
            <a:t>home</a:t>
          </a:fld>
          <a:endParaRPr lang="en-US" sz="12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24994</xdr:colOff>
      <xdr:row>1</xdr:row>
      <xdr:rowOff>154678</xdr:rowOff>
    </xdr:from>
    <xdr:to>
      <xdr:col>18</xdr:col>
      <xdr:colOff>822202</xdr:colOff>
      <xdr:row>4</xdr:row>
      <xdr:rowOff>51942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CFB58E9B-A625-4E9A-A774-BBCB894FEA93}"/>
            </a:ext>
          </a:extLst>
        </xdr:cNvPr>
        <xdr:cNvSpPr txBox="1"/>
      </xdr:nvSpPr>
      <xdr:spPr>
        <a:xfrm>
          <a:off x="13467456" y="320755"/>
          <a:ext cx="2477515" cy="395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531609</xdr:colOff>
      <xdr:row>10</xdr:row>
      <xdr:rowOff>149065</xdr:rowOff>
    </xdr:from>
    <xdr:to>
      <xdr:col>29</xdr:col>
      <xdr:colOff>214922</xdr:colOff>
      <xdr:row>13</xdr:row>
      <xdr:rowOff>96245</xdr:rowOff>
    </xdr:to>
    <xdr:sp macro="" textlink="Location1ANALYSIS!L25">
      <xdr:nvSpPr>
        <xdr:cNvPr id="373" name="Rectangle 372">
          <a:extLst>
            <a:ext uri="{FF2B5EF4-FFF2-40B4-BE49-F238E27FC236}">
              <a16:creationId xmlns:a16="http://schemas.microsoft.com/office/drawing/2014/main" id="{5785FD06-8BB2-479A-8B03-F5E891DEF20D}"/>
            </a:ext>
          </a:extLst>
        </xdr:cNvPr>
        <xdr:cNvSpPr>
          <a:spLocks noChangeAspect="1"/>
        </xdr:cNvSpPr>
      </xdr:nvSpPr>
      <xdr:spPr>
        <a:xfrm>
          <a:off x="24055917" y="1829373"/>
          <a:ext cx="523467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8A6EF90-FD0D-D648-A15B-D80492569CA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64%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238533</xdr:colOff>
      <xdr:row>15</xdr:row>
      <xdr:rowOff>103018</xdr:rowOff>
    </xdr:from>
    <xdr:to>
      <xdr:col>28</xdr:col>
      <xdr:colOff>781539</xdr:colOff>
      <xdr:row>18</xdr:row>
      <xdr:rowOff>50197</xdr:rowOff>
    </xdr:to>
    <xdr:sp macro="" textlink="Location1ANALYSIS!L26">
      <xdr:nvSpPr>
        <xdr:cNvPr id="374" name="Rectangle 373">
          <a:extLst>
            <a:ext uri="{FF2B5EF4-FFF2-40B4-BE49-F238E27FC236}">
              <a16:creationId xmlns:a16="http://schemas.microsoft.com/office/drawing/2014/main" id="{0C02DF69-D0E1-4D26-9B90-D97556AA806D}"/>
            </a:ext>
          </a:extLst>
        </xdr:cNvPr>
        <xdr:cNvSpPr>
          <a:spLocks noChangeAspect="1"/>
        </xdr:cNvSpPr>
      </xdr:nvSpPr>
      <xdr:spPr>
        <a:xfrm>
          <a:off x="23762841" y="2662556"/>
          <a:ext cx="543006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B29B4A0-C2F3-7746-BB59-6EB8D06341F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62%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834455</xdr:colOff>
      <xdr:row>20</xdr:row>
      <xdr:rowOff>112943</xdr:rowOff>
    </xdr:from>
    <xdr:to>
      <xdr:col>28</xdr:col>
      <xdr:colOff>478691</xdr:colOff>
      <xdr:row>23</xdr:row>
      <xdr:rowOff>89430</xdr:rowOff>
    </xdr:to>
    <xdr:sp macro="" textlink="Location1ANALYSIS!L27">
      <xdr:nvSpPr>
        <xdr:cNvPr id="375" name="Rectangle 374">
          <a:extLst>
            <a:ext uri="{FF2B5EF4-FFF2-40B4-BE49-F238E27FC236}">
              <a16:creationId xmlns:a16="http://schemas.microsoft.com/office/drawing/2014/main" id="{D306A178-0B22-4AAA-A222-A60965E918B0}"/>
            </a:ext>
          </a:extLst>
        </xdr:cNvPr>
        <xdr:cNvSpPr>
          <a:spLocks noChangeAspect="1"/>
        </xdr:cNvSpPr>
      </xdr:nvSpPr>
      <xdr:spPr>
        <a:xfrm>
          <a:off x="23518609" y="3551712"/>
          <a:ext cx="484390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A37E672-5022-0C48-A948-4E295D4AF4F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30</xdr:col>
      <xdr:colOff>525194</xdr:colOff>
      <xdr:row>15</xdr:row>
      <xdr:rowOff>49771</xdr:rowOff>
    </xdr:from>
    <xdr:to>
      <xdr:col>31</xdr:col>
      <xdr:colOff>590366</xdr:colOff>
      <xdr:row>18</xdr:row>
      <xdr:rowOff>7546</xdr:rowOff>
    </xdr:to>
    <xdr:grpSp>
      <xdr:nvGrpSpPr>
        <xdr:cNvPr id="507" name="Group 506">
          <a:extLst>
            <a:ext uri="{FF2B5EF4-FFF2-40B4-BE49-F238E27FC236}">
              <a16:creationId xmlns:a16="http://schemas.microsoft.com/office/drawing/2014/main" id="{92EFF991-AC84-714E-A627-99FEA215955B}"/>
            </a:ext>
          </a:extLst>
        </xdr:cNvPr>
        <xdr:cNvGrpSpPr/>
      </xdr:nvGrpSpPr>
      <xdr:grpSpPr>
        <a:xfrm>
          <a:off x="25607694" y="2610938"/>
          <a:ext cx="901255" cy="486941"/>
          <a:chOff x="26286655" y="2804694"/>
          <a:chExt cx="905326" cy="485314"/>
        </a:xfrm>
      </xdr:grpSpPr>
      <xdr:sp macro="" textlink="Location1ANALYSIS!J11">
        <xdr:nvSpPr>
          <xdr:cNvPr id="388" name="TextBox 387">
            <a:extLst>
              <a:ext uri="{FF2B5EF4-FFF2-40B4-BE49-F238E27FC236}">
                <a16:creationId xmlns:a16="http://schemas.microsoft.com/office/drawing/2014/main" id="{C788C3D7-41E9-4D12-B2BD-6FA77A97A0DE}"/>
              </a:ext>
            </a:extLst>
          </xdr:cNvPr>
          <xdr:cNvSpPr txBox="1"/>
        </xdr:nvSpPr>
        <xdr:spPr>
          <a:xfrm>
            <a:off x="26286655" y="280469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389" name="TextBox 388">
            <a:extLst>
              <a:ext uri="{FF2B5EF4-FFF2-40B4-BE49-F238E27FC236}">
                <a16:creationId xmlns:a16="http://schemas.microsoft.com/office/drawing/2014/main" id="{EF36EF07-F6C5-4488-9B60-61613DBFCE39}"/>
              </a:ext>
            </a:extLst>
          </xdr:cNvPr>
          <xdr:cNvSpPr txBox="1"/>
        </xdr:nvSpPr>
        <xdr:spPr>
          <a:xfrm>
            <a:off x="26612249" y="2804694"/>
            <a:ext cx="579732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0" name="TextBox 389">
            <a:extLst>
              <a:ext uri="{FF2B5EF4-FFF2-40B4-BE49-F238E27FC236}">
                <a16:creationId xmlns:a16="http://schemas.microsoft.com/office/drawing/2014/main" id="{90472A40-8AEF-4041-BD5E-D33004818005}"/>
              </a:ext>
            </a:extLst>
          </xdr:cNvPr>
          <xdr:cNvSpPr txBox="1"/>
        </xdr:nvSpPr>
        <xdr:spPr>
          <a:xfrm>
            <a:off x="26462114" y="280469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672465</xdr:colOff>
      <xdr:row>15</xdr:row>
      <xdr:rowOff>49771</xdr:rowOff>
    </xdr:from>
    <xdr:to>
      <xdr:col>30</xdr:col>
      <xdr:colOff>463100</xdr:colOff>
      <xdr:row>18</xdr:row>
      <xdr:rowOff>7546</xdr:rowOff>
    </xdr:to>
    <xdr:grpSp>
      <xdr:nvGrpSpPr>
        <xdr:cNvPr id="508" name="Group 507">
          <a:extLst>
            <a:ext uri="{FF2B5EF4-FFF2-40B4-BE49-F238E27FC236}">
              <a16:creationId xmlns:a16="http://schemas.microsoft.com/office/drawing/2014/main" id="{20B4F918-634B-A34D-8DAF-9B70B35712ED}"/>
            </a:ext>
          </a:extLst>
        </xdr:cNvPr>
        <xdr:cNvGrpSpPr/>
      </xdr:nvGrpSpPr>
      <xdr:grpSpPr>
        <a:xfrm>
          <a:off x="24918882" y="2610938"/>
          <a:ext cx="626718" cy="486941"/>
          <a:chOff x="25036927" y="2804694"/>
          <a:chExt cx="630788" cy="485314"/>
        </a:xfrm>
      </xdr:grpSpPr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CA10789-8F1F-4419-B30E-CADA899E4C94}"/>
              </a:ext>
            </a:extLst>
          </xdr:cNvPr>
          <xdr:cNvSpPr txBox="1"/>
        </xdr:nvSpPr>
        <xdr:spPr>
          <a:xfrm>
            <a:off x="25230168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8">
        <xdr:nvSpPr>
          <xdr:cNvPr id="391" name="TextBox 390">
            <a:extLst>
              <a:ext uri="{FF2B5EF4-FFF2-40B4-BE49-F238E27FC236}">
                <a16:creationId xmlns:a16="http://schemas.microsoft.com/office/drawing/2014/main" id="{07259462-4005-4AE7-83D4-C2752388880B}"/>
              </a:ext>
            </a:extLst>
          </xdr:cNvPr>
          <xdr:cNvSpPr txBox="1"/>
        </xdr:nvSpPr>
        <xdr:spPr>
          <a:xfrm>
            <a:off x="25036927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ED1101-4E68-AD4D-9906-9D0875E5AA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8">
        <xdr:nvSpPr>
          <xdr:cNvPr id="392" name="TextBox 391">
            <a:extLst>
              <a:ext uri="{FF2B5EF4-FFF2-40B4-BE49-F238E27FC236}">
                <a16:creationId xmlns:a16="http://schemas.microsoft.com/office/drawing/2014/main" id="{80796851-0BAC-4176-9025-35849B587A05}"/>
              </a:ext>
            </a:extLst>
          </xdr:cNvPr>
          <xdr:cNvSpPr txBox="1"/>
        </xdr:nvSpPr>
        <xdr:spPr>
          <a:xfrm>
            <a:off x="2537520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2BDF74C-0CE2-B748-9111-4E1DCCF1EC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521542</xdr:colOff>
      <xdr:row>15</xdr:row>
      <xdr:rowOff>49771</xdr:rowOff>
    </xdr:from>
    <xdr:to>
      <xdr:col>32</xdr:col>
      <xdr:colOff>331715</xdr:colOff>
      <xdr:row>18</xdr:row>
      <xdr:rowOff>7546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D32B55AD-D4DD-5940-A0A1-6972E7D0174D}"/>
            </a:ext>
          </a:extLst>
        </xdr:cNvPr>
        <xdr:cNvGrpSpPr/>
      </xdr:nvGrpSpPr>
      <xdr:grpSpPr>
        <a:xfrm>
          <a:off x="26440125" y="2610938"/>
          <a:ext cx="646257" cy="486941"/>
          <a:chOff x="27484619" y="2804694"/>
          <a:chExt cx="650327" cy="485314"/>
        </a:xfrm>
      </xdr:grpSpPr>
      <xdr:sp macro="" textlink="Location1ANALYSIS!J14">
        <xdr:nvSpPr>
          <xdr:cNvPr id="385" name="TextBox 384">
            <a:extLst>
              <a:ext uri="{FF2B5EF4-FFF2-40B4-BE49-F238E27FC236}">
                <a16:creationId xmlns:a16="http://schemas.microsoft.com/office/drawing/2014/main" id="{D420B971-2907-467A-9A48-ED20E08FF379}"/>
              </a:ext>
            </a:extLst>
          </xdr:cNvPr>
          <xdr:cNvSpPr txBox="1"/>
        </xdr:nvSpPr>
        <xdr:spPr>
          <a:xfrm>
            <a:off x="2748461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6BBB55-BF0E-6749-B06A-71A4C9A5507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386" name="TextBox 385">
            <a:extLst>
              <a:ext uri="{FF2B5EF4-FFF2-40B4-BE49-F238E27FC236}">
                <a16:creationId xmlns:a16="http://schemas.microsoft.com/office/drawing/2014/main" id="{BEE42A49-67EE-46A9-AE13-49CE791997CA}"/>
              </a:ext>
            </a:extLst>
          </xdr:cNvPr>
          <xdr:cNvSpPr txBox="1"/>
        </xdr:nvSpPr>
        <xdr:spPr>
          <a:xfrm>
            <a:off x="27790675" y="280469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F5E126-1B43-E340-9A80-63BAE4E5FA6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3" name="TextBox 392">
            <a:extLst>
              <a:ext uri="{FF2B5EF4-FFF2-40B4-BE49-F238E27FC236}">
                <a16:creationId xmlns:a16="http://schemas.microsoft.com/office/drawing/2014/main" id="{29FA29BD-009B-47A4-9432-940003C8B9EF}"/>
              </a:ext>
            </a:extLst>
          </xdr:cNvPr>
          <xdr:cNvSpPr txBox="1"/>
        </xdr:nvSpPr>
        <xdr:spPr>
          <a:xfrm>
            <a:off x="27642295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714167</xdr:colOff>
      <xdr:row>15</xdr:row>
      <xdr:rowOff>49771</xdr:rowOff>
    </xdr:from>
    <xdr:to>
      <xdr:col>29</xdr:col>
      <xdr:colOff>485264</xdr:colOff>
      <xdr:row>18</xdr:row>
      <xdr:rowOff>7546</xdr:rowOff>
    </xdr:to>
    <xdr:grpSp>
      <xdr:nvGrpSpPr>
        <xdr:cNvPr id="511" name="Group 510">
          <a:extLst>
            <a:ext uri="{FF2B5EF4-FFF2-40B4-BE49-F238E27FC236}">
              <a16:creationId xmlns:a16="http://schemas.microsoft.com/office/drawing/2014/main" id="{F0C3242B-988A-DA40-9973-C96A868C9C6C}"/>
            </a:ext>
          </a:extLst>
        </xdr:cNvPr>
        <xdr:cNvGrpSpPr/>
      </xdr:nvGrpSpPr>
      <xdr:grpSpPr>
        <a:xfrm>
          <a:off x="24124500" y="2610938"/>
          <a:ext cx="607181" cy="486941"/>
          <a:chOff x="24082167" y="2804694"/>
          <a:chExt cx="611251" cy="485314"/>
        </a:xfrm>
      </xdr:grpSpPr>
      <xdr:sp macro="" textlink="#REF!">
        <xdr:nvSpPr>
          <xdr:cNvPr id="384" name="TextBox 383">
            <a:extLst>
              <a:ext uri="{FF2B5EF4-FFF2-40B4-BE49-F238E27FC236}">
                <a16:creationId xmlns:a16="http://schemas.microsoft.com/office/drawing/2014/main" id="{BC946DAD-D0EC-436B-BF2E-58EF7C501381}"/>
              </a:ext>
            </a:extLst>
          </xdr:cNvPr>
          <xdr:cNvSpPr txBox="1"/>
        </xdr:nvSpPr>
        <xdr:spPr>
          <a:xfrm>
            <a:off x="24257034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5">
        <xdr:nvSpPr>
          <xdr:cNvPr id="394" name="TextBox 393">
            <a:extLst>
              <a:ext uri="{FF2B5EF4-FFF2-40B4-BE49-F238E27FC236}">
                <a16:creationId xmlns:a16="http://schemas.microsoft.com/office/drawing/2014/main" id="{D409341F-ED6A-4740-B8B6-8011F7651E27}"/>
              </a:ext>
            </a:extLst>
          </xdr:cNvPr>
          <xdr:cNvSpPr txBox="1"/>
        </xdr:nvSpPr>
        <xdr:spPr>
          <a:xfrm>
            <a:off x="2408216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1F7602D-0027-7944-8D63-A0CD26F99E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5">
        <xdr:nvSpPr>
          <xdr:cNvPr id="395" name="TextBox 394">
            <a:extLst>
              <a:ext uri="{FF2B5EF4-FFF2-40B4-BE49-F238E27FC236}">
                <a16:creationId xmlns:a16="http://schemas.microsoft.com/office/drawing/2014/main" id="{08FF85F9-8037-4633-89CB-AA1BBBA3B467}"/>
              </a:ext>
            </a:extLst>
          </xdr:cNvPr>
          <xdr:cNvSpPr txBox="1"/>
        </xdr:nvSpPr>
        <xdr:spPr>
          <a:xfrm>
            <a:off x="24400910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7840ACA-9789-9743-840A-1239D7827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335586</xdr:colOff>
      <xdr:row>15</xdr:row>
      <xdr:rowOff>49771</xdr:rowOff>
    </xdr:from>
    <xdr:to>
      <xdr:col>33</xdr:col>
      <xdr:colOff>87144</xdr:colOff>
      <xdr:row>18</xdr:row>
      <xdr:rowOff>7546</xdr:rowOff>
    </xdr:to>
    <xdr:grpSp>
      <xdr:nvGrpSpPr>
        <xdr:cNvPr id="502" name="Group 501">
          <a:extLst>
            <a:ext uri="{FF2B5EF4-FFF2-40B4-BE49-F238E27FC236}">
              <a16:creationId xmlns:a16="http://schemas.microsoft.com/office/drawing/2014/main" id="{ABBB72A9-FF77-3244-9099-8A627CADDEEF}"/>
            </a:ext>
          </a:extLst>
        </xdr:cNvPr>
        <xdr:cNvGrpSpPr/>
      </xdr:nvGrpSpPr>
      <xdr:grpSpPr>
        <a:xfrm>
          <a:off x="27090253" y="2610938"/>
          <a:ext cx="587641" cy="486941"/>
          <a:chOff x="28412355" y="2804694"/>
          <a:chExt cx="591712" cy="485314"/>
        </a:xfrm>
      </xdr:grpSpPr>
      <xdr:sp macro="" textlink="Location1ANALYSIS!J17">
        <xdr:nvSpPr>
          <xdr:cNvPr id="382" name="TextBox 381">
            <a:extLst>
              <a:ext uri="{FF2B5EF4-FFF2-40B4-BE49-F238E27FC236}">
                <a16:creationId xmlns:a16="http://schemas.microsoft.com/office/drawing/2014/main" id="{2E4AD20F-4329-4C9A-A590-3689BA8C3A0F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DEF4F4-EB34-0C47-9E4D-D200532E7E0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383" name="TextBox 382">
            <a:extLst>
              <a:ext uri="{FF2B5EF4-FFF2-40B4-BE49-F238E27FC236}">
                <a16:creationId xmlns:a16="http://schemas.microsoft.com/office/drawing/2014/main" id="{1E9D1352-EF7F-4C18-AFF4-3F1682C7FBC1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F2177-5FD4-2E4B-85C7-70E2918E5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83E775E2-A043-4174-8F0F-B70FB43D8A25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264332</xdr:colOff>
      <xdr:row>10</xdr:row>
      <xdr:rowOff>158777</xdr:rowOff>
    </xdr:from>
    <xdr:to>
      <xdr:col>33</xdr:col>
      <xdr:colOff>6121</xdr:colOff>
      <xdr:row>13</xdr:row>
      <xdr:rowOff>116553</xdr:rowOff>
    </xdr:to>
    <xdr:grpSp>
      <xdr:nvGrpSpPr>
        <xdr:cNvPr id="501" name="Group 500">
          <a:extLst>
            <a:ext uri="{FF2B5EF4-FFF2-40B4-BE49-F238E27FC236}">
              <a16:creationId xmlns:a16="http://schemas.microsoft.com/office/drawing/2014/main" id="{F22D532F-5924-244F-A710-440FDF23E293}"/>
            </a:ext>
          </a:extLst>
        </xdr:cNvPr>
        <xdr:cNvGrpSpPr/>
      </xdr:nvGrpSpPr>
      <xdr:grpSpPr>
        <a:xfrm>
          <a:off x="27018999" y="1852110"/>
          <a:ext cx="577872" cy="465776"/>
          <a:chOff x="28438794" y="1682778"/>
          <a:chExt cx="581943" cy="485314"/>
        </a:xfrm>
      </xdr:grpSpPr>
      <xdr:sp macro="" textlink="#REF!">
        <xdr:nvSpPr>
          <xdr:cNvPr id="381" name="TextBox 380">
            <a:extLst>
              <a:ext uri="{FF2B5EF4-FFF2-40B4-BE49-F238E27FC236}">
                <a16:creationId xmlns:a16="http://schemas.microsoft.com/office/drawing/2014/main" id="{BCC2BCF0-109A-4844-BDFE-0967DD2F5C53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397" name="TextBox 396">
            <a:extLst>
              <a:ext uri="{FF2B5EF4-FFF2-40B4-BE49-F238E27FC236}">
                <a16:creationId xmlns:a16="http://schemas.microsoft.com/office/drawing/2014/main" id="{49CBE099-414D-46AA-9F07-BAAE493CBCF2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225065-40EA-DB40-BC5E-7703B8DAE7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398" name="TextBox 397">
            <a:extLst>
              <a:ext uri="{FF2B5EF4-FFF2-40B4-BE49-F238E27FC236}">
                <a16:creationId xmlns:a16="http://schemas.microsoft.com/office/drawing/2014/main" id="{1EB96ACD-AA00-4BDE-921E-28DD993A86B4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6AC24A-AE34-394C-8882-0F5D74A4FE2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508907</xdr:colOff>
      <xdr:row>10</xdr:row>
      <xdr:rowOff>158777</xdr:rowOff>
    </xdr:from>
    <xdr:to>
      <xdr:col>32</xdr:col>
      <xdr:colOff>338618</xdr:colOff>
      <xdr:row>13</xdr:row>
      <xdr:rowOff>116553</xdr:rowOff>
    </xdr:to>
    <xdr:grpSp>
      <xdr:nvGrpSpPr>
        <xdr:cNvPr id="500" name="Group 499">
          <a:extLst>
            <a:ext uri="{FF2B5EF4-FFF2-40B4-BE49-F238E27FC236}">
              <a16:creationId xmlns:a16="http://schemas.microsoft.com/office/drawing/2014/main" id="{FFB5FB51-C2F4-554A-82FF-93132F077AB5}"/>
            </a:ext>
          </a:extLst>
        </xdr:cNvPr>
        <xdr:cNvGrpSpPr/>
      </xdr:nvGrpSpPr>
      <xdr:grpSpPr>
        <a:xfrm>
          <a:off x="26427490" y="1852110"/>
          <a:ext cx="665795" cy="465776"/>
          <a:chOff x="27462214" y="1682778"/>
          <a:chExt cx="669865" cy="485314"/>
        </a:xfrm>
      </xdr:grpSpPr>
      <xdr:sp macro="" textlink="#REF!">
        <xdr:nvSpPr>
          <xdr:cNvPr id="380" name="TextBox 379">
            <a:extLst>
              <a:ext uri="{FF2B5EF4-FFF2-40B4-BE49-F238E27FC236}">
                <a16:creationId xmlns:a16="http://schemas.microsoft.com/office/drawing/2014/main" id="{EABEF791-597F-480A-B85A-F638C4C08485}"/>
              </a:ext>
            </a:extLst>
          </xdr:cNvPr>
          <xdr:cNvSpPr txBox="1"/>
        </xdr:nvSpPr>
        <xdr:spPr>
          <a:xfrm>
            <a:off x="27652648" y="1682778"/>
            <a:ext cx="332193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399" name="TextBox 398">
            <a:extLst>
              <a:ext uri="{FF2B5EF4-FFF2-40B4-BE49-F238E27FC236}">
                <a16:creationId xmlns:a16="http://schemas.microsoft.com/office/drawing/2014/main" id="{5DDDC629-075B-4A0E-86F8-D370DF4EEF0E}"/>
              </a:ext>
            </a:extLst>
          </xdr:cNvPr>
          <xdr:cNvSpPr txBox="1"/>
        </xdr:nvSpPr>
        <xdr:spPr>
          <a:xfrm>
            <a:off x="27462214" y="1682778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400" name="TextBox 399">
            <a:extLst>
              <a:ext uri="{FF2B5EF4-FFF2-40B4-BE49-F238E27FC236}">
                <a16:creationId xmlns:a16="http://schemas.microsoft.com/office/drawing/2014/main" id="{007457F4-3D19-4E64-967E-66765F706AAF}"/>
              </a:ext>
            </a:extLst>
          </xdr:cNvPr>
          <xdr:cNvSpPr txBox="1"/>
        </xdr:nvSpPr>
        <xdr:spPr>
          <a:xfrm>
            <a:off x="27787808" y="1682778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561403</xdr:colOff>
      <xdr:row>10</xdr:row>
      <xdr:rowOff>158777</xdr:rowOff>
    </xdr:from>
    <xdr:to>
      <xdr:col>31</xdr:col>
      <xdr:colOff>319813</xdr:colOff>
      <xdr:row>13</xdr:row>
      <xdr:rowOff>116553</xdr:rowOff>
    </xdr:to>
    <xdr:grpSp>
      <xdr:nvGrpSpPr>
        <xdr:cNvPr id="499" name="Group 498">
          <a:extLst>
            <a:ext uri="{FF2B5EF4-FFF2-40B4-BE49-F238E27FC236}">
              <a16:creationId xmlns:a16="http://schemas.microsoft.com/office/drawing/2014/main" id="{6CF1030B-6E43-6C46-A83B-C9BF806AAF0D}"/>
            </a:ext>
          </a:extLst>
        </xdr:cNvPr>
        <xdr:cNvGrpSpPr/>
      </xdr:nvGrpSpPr>
      <xdr:grpSpPr>
        <a:xfrm>
          <a:off x="25643903" y="1852110"/>
          <a:ext cx="594493" cy="465776"/>
          <a:chOff x="26303326" y="1682778"/>
          <a:chExt cx="598564" cy="485314"/>
        </a:xfrm>
      </xdr:grpSpPr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D3583DB6-646E-49BC-A3A5-422DD32B0D3E}"/>
              </a:ext>
            </a:extLst>
          </xdr:cNvPr>
          <xdr:cNvSpPr txBox="1"/>
        </xdr:nvSpPr>
        <xdr:spPr>
          <a:xfrm>
            <a:off x="26472466" y="1682778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401" name="TextBox 400">
            <a:extLst>
              <a:ext uri="{FF2B5EF4-FFF2-40B4-BE49-F238E27FC236}">
                <a16:creationId xmlns:a16="http://schemas.microsoft.com/office/drawing/2014/main" id="{B271565B-7ADA-459B-BA3E-BE9E30D80754}"/>
              </a:ext>
            </a:extLst>
          </xdr:cNvPr>
          <xdr:cNvSpPr txBox="1"/>
        </xdr:nvSpPr>
        <xdr:spPr>
          <a:xfrm>
            <a:off x="2630332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8E8B44-8FE2-2F41-AA12-B504F39819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402" name="TextBox 401">
            <a:extLst>
              <a:ext uri="{FF2B5EF4-FFF2-40B4-BE49-F238E27FC236}">
                <a16:creationId xmlns:a16="http://schemas.microsoft.com/office/drawing/2014/main" id="{D48A9462-66CE-4B6B-AE71-B3D92754700C}"/>
              </a:ext>
            </a:extLst>
          </xdr:cNvPr>
          <xdr:cNvSpPr txBox="1"/>
        </xdr:nvSpPr>
        <xdr:spPr>
          <a:xfrm>
            <a:off x="2660938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3438ED-279F-234B-A9A5-E62E1CF7C7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777058</xdr:colOff>
      <xdr:row>10</xdr:row>
      <xdr:rowOff>158777</xdr:rowOff>
    </xdr:from>
    <xdr:to>
      <xdr:col>30</xdr:col>
      <xdr:colOff>557924</xdr:colOff>
      <xdr:row>13</xdr:row>
      <xdr:rowOff>116553</xdr:rowOff>
    </xdr:to>
    <xdr:grpSp>
      <xdr:nvGrpSpPr>
        <xdr:cNvPr id="498" name="Group 497">
          <a:extLst>
            <a:ext uri="{FF2B5EF4-FFF2-40B4-BE49-F238E27FC236}">
              <a16:creationId xmlns:a16="http://schemas.microsoft.com/office/drawing/2014/main" id="{5BC88EC3-E942-E44F-955F-DF0B9701EE46}"/>
            </a:ext>
          </a:extLst>
        </xdr:cNvPr>
        <xdr:cNvGrpSpPr/>
      </xdr:nvGrpSpPr>
      <xdr:grpSpPr>
        <a:xfrm>
          <a:off x="25023475" y="1852110"/>
          <a:ext cx="616949" cy="465776"/>
          <a:chOff x="25073135" y="1682778"/>
          <a:chExt cx="621019" cy="485314"/>
        </a:xfrm>
      </xdr:grpSpPr>
      <xdr:sp macro="" textlink="#REF!">
        <xdr:nvSpPr>
          <xdr:cNvPr id="378" name="TextBox 377">
            <a:extLst>
              <a:ext uri="{FF2B5EF4-FFF2-40B4-BE49-F238E27FC236}">
                <a16:creationId xmlns:a16="http://schemas.microsoft.com/office/drawing/2014/main" id="{98BE3BD1-3973-4711-8B3B-CB1C13052F47}"/>
              </a:ext>
            </a:extLst>
          </xdr:cNvPr>
          <xdr:cNvSpPr txBox="1"/>
        </xdr:nvSpPr>
        <xdr:spPr>
          <a:xfrm>
            <a:off x="25240521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403" name="TextBox 402">
            <a:extLst>
              <a:ext uri="{FF2B5EF4-FFF2-40B4-BE49-F238E27FC236}">
                <a16:creationId xmlns:a16="http://schemas.microsoft.com/office/drawing/2014/main" id="{03066B21-23D6-44A1-9F37-0B13FEE42D98}"/>
              </a:ext>
            </a:extLst>
          </xdr:cNvPr>
          <xdr:cNvSpPr txBox="1"/>
        </xdr:nvSpPr>
        <xdr:spPr>
          <a:xfrm>
            <a:off x="25073135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35657E-60AC-0A41-BF69-3FC53FA8B49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404" name="TextBox 403">
            <a:extLst>
              <a:ext uri="{FF2B5EF4-FFF2-40B4-BE49-F238E27FC236}">
                <a16:creationId xmlns:a16="http://schemas.microsoft.com/office/drawing/2014/main" id="{861BF13B-CDD6-447D-A97E-4EB96AD06A19}"/>
              </a:ext>
            </a:extLst>
          </xdr:cNvPr>
          <xdr:cNvSpPr txBox="1"/>
        </xdr:nvSpPr>
        <xdr:spPr>
          <a:xfrm>
            <a:off x="2540164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568DEC-B5A8-F042-9A25-A0DA970EBC9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66530</xdr:colOff>
      <xdr:row>10</xdr:row>
      <xdr:rowOff>158777</xdr:rowOff>
    </xdr:from>
    <xdr:to>
      <xdr:col>29</xdr:col>
      <xdr:colOff>677781</xdr:colOff>
      <xdr:row>13</xdr:row>
      <xdr:rowOff>116553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DBB72774-7276-F64D-90CD-9FE7B1724AF9}"/>
            </a:ext>
          </a:extLst>
        </xdr:cNvPr>
        <xdr:cNvGrpSpPr/>
      </xdr:nvGrpSpPr>
      <xdr:grpSpPr>
        <a:xfrm>
          <a:off x="24312947" y="1852110"/>
          <a:ext cx="611251" cy="465776"/>
          <a:chOff x="24089069" y="1682778"/>
          <a:chExt cx="611251" cy="485314"/>
        </a:xfrm>
      </xdr:grpSpPr>
      <xdr:sp macro="" textlink="">
        <xdr:nvSpPr>
          <xdr:cNvPr id="377" name="TextBox 376">
            <a:extLst>
              <a:ext uri="{FF2B5EF4-FFF2-40B4-BE49-F238E27FC236}">
                <a16:creationId xmlns:a16="http://schemas.microsoft.com/office/drawing/2014/main" id="{9F77C981-9A00-486D-B26D-6A38EDE6EFA0}"/>
              </a:ext>
            </a:extLst>
          </xdr:cNvPr>
          <xdr:cNvSpPr txBox="1"/>
        </xdr:nvSpPr>
        <xdr:spPr>
          <a:xfrm>
            <a:off x="24267387" y="1682778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1ANALYSIS!J6">
        <xdr:nvSpPr>
          <xdr:cNvPr id="405" name="TextBox 404">
            <a:extLst>
              <a:ext uri="{FF2B5EF4-FFF2-40B4-BE49-F238E27FC236}">
                <a16:creationId xmlns:a16="http://schemas.microsoft.com/office/drawing/2014/main" id="{9EB75EB6-B892-4EAC-8C93-EA30917AF0A1}"/>
              </a:ext>
            </a:extLst>
          </xdr:cNvPr>
          <xdr:cNvSpPr txBox="1"/>
        </xdr:nvSpPr>
        <xdr:spPr>
          <a:xfrm>
            <a:off x="2408906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4DC0000-EFA9-D24C-876E-FFCAAA3E0F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6">
        <xdr:nvSpPr>
          <xdr:cNvPr id="406" name="TextBox 405">
            <a:extLst>
              <a:ext uri="{FF2B5EF4-FFF2-40B4-BE49-F238E27FC236}">
                <a16:creationId xmlns:a16="http://schemas.microsoft.com/office/drawing/2014/main" id="{C5752459-2330-4170-A78B-7585C2702178}"/>
              </a:ext>
            </a:extLst>
          </xdr:cNvPr>
          <xdr:cNvSpPr txBox="1"/>
        </xdr:nvSpPr>
        <xdr:spPr>
          <a:xfrm>
            <a:off x="2440781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6039B80-08BB-BC43-9879-7A06E123919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480289</xdr:colOff>
      <xdr:row>20</xdr:row>
      <xdr:rowOff>104985</xdr:rowOff>
    </xdr:from>
    <xdr:to>
      <xdr:col>29</xdr:col>
      <xdr:colOff>284148</xdr:colOff>
      <xdr:row>23</xdr:row>
      <xdr:rowOff>89652</xdr:rowOff>
    </xdr:to>
    <xdr:grpSp>
      <xdr:nvGrpSpPr>
        <xdr:cNvPr id="510" name="Group 509">
          <a:extLst>
            <a:ext uri="{FF2B5EF4-FFF2-40B4-BE49-F238E27FC236}">
              <a16:creationId xmlns:a16="http://schemas.microsoft.com/office/drawing/2014/main" id="{C149869B-F19B-664C-B6E9-1AD5D6AD2250}"/>
            </a:ext>
          </a:extLst>
        </xdr:cNvPr>
        <xdr:cNvGrpSpPr/>
      </xdr:nvGrpSpPr>
      <xdr:grpSpPr>
        <a:xfrm>
          <a:off x="23890622" y="3533985"/>
          <a:ext cx="639943" cy="492667"/>
          <a:chOff x="24112058" y="3846601"/>
          <a:chExt cx="644013" cy="482898"/>
        </a:xfrm>
      </xdr:grpSpPr>
      <xdr:sp macro="" textlink="Location1ANALYSIS!J4">
        <xdr:nvSpPr>
          <xdr:cNvPr id="487" name="TextBox 486">
            <a:extLst>
              <a:ext uri="{FF2B5EF4-FFF2-40B4-BE49-F238E27FC236}">
                <a16:creationId xmlns:a16="http://schemas.microsoft.com/office/drawing/2014/main" id="{AEEFB902-3231-4E7A-9AE2-6ADB295B6325}"/>
              </a:ext>
            </a:extLst>
          </xdr:cNvPr>
          <xdr:cNvSpPr txBox="1"/>
        </xdr:nvSpPr>
        <xdr:spPr>
          <a:xfrm>
            <a:off x="241120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3F5D9B2-1BF9-AA4E-8E54-9B414D363D0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4">
        <xdr:nvSpPr>
          <xdr:cNvPr id="488" name="TextBox 487">
            <a:extLst>
              <a:ext uri="{FF2B5EF4-FFF2-40B4-BE49-F238E27FC236}">
                <a16:creationId xmlns:a16="http://schemas.microsoft.com/office/drawing/2014/main" id="{36CBB450-EF7E-4BA1-B94E-32D4ACCEDBDE}"/>
              </a:ext>
            </a:extLst>
          </xdr:cNvPr>
          <xdr:cNvSpPr txBox="1"/>
        </xdr:nvSpPr>
        <xdr:spPr>
          <a:xfrm>
            <a:off x="24444469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476963-C3FB-3544-A75E-B286EE403F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89" name="TextBox 488">
            <a:extLst>
              <a:ext uri="{FF2B5EF4-FFF2-40B4-BE49-F238E27FC236}">
                <a16:creationId xmlns:a16="http://schemas.microsoft.com/office/drawing/2014/main" id="{70D677EC-A373-4A4F-A6CA-9B38AB8894FF}"/>
              </a:ext>
            </a:extLst>
          </xdr:cNvPr>
          <xdr:cNvSpPr txBox="1"/>
        </xdr:nvSpPr>
        <xdr:spPr>
          <a:xfrm>
            <a:off x="24296056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585087</xdr:colOff>
      <xdr:row>20</xdr:row>
      <xdr:rowOff>104985</xdr:rowOff>
    </xdr:from>
    <xdr:to>
      <xdr:col>30</xdr:col>
      <xdr:colOff>379178</xdr:colOff>
      <xdr:row>23</xdr:row>
      <xdr:rowOff>89652</xdr:rowOff>
    </xdr:to>
    <xdr:grpSp>
      <xdr:nvGrpSpPr>
        <xdr:cNvPr id="509" name="Group 508">
          <a:extLst>
            <a:ext uri="{FF2B5EF4-FFF2-40B4-BE49-F238E27FC236}">
              <a16:creationId xmlns:a16="http://schemas.microsoft.com/office/drawing/2014/main" id="{85FD17F9-CECE-C847-B1FB-BC18CA90BAB0}"/>
            </a:ext>
          </a:extLst>
        </xdr:cNvPr>
        <xdr:cNvGrpSpPr/>
      </xdr:nvGrpSpPr>
      <xdr:grpSpPr>
        <a:xfrm>
          <a:off x="24831504" y="3533985"/>
          <a:ext cx="630174" cy="492667"/>
          <a:chOff x="25086318" y="3846601"/>
          <a:chExt cx="634244" cy="482898"/>
        </a:xfrm>
      </xdr:grpSpPr>
      <xdr:sp macro="" textlink="Location1ANALYSIS!$J$7">
        <xdr:nvSpPr>
          <xdr:cNvPr id="485" name="TextBox 484">
            <a:extLst>
              <a:ext uri="{FF2B5EF4-FFF2-40B4-BE49-F238E27FC236}">
                <a16:creationId xmlns:a16="http://schemas.microsoft.com/office/drawing/2014/main" id="{B83194BC-A5F1-4D1C-BE37-C9BD5F28189D}"/>
              </a:ext>
            </a:extLst>
          </xdr:cNvPr>
          <xdr:cNvSpPr txBox="1"/>
        </xdr:nvSpPr>
        <xdr:spPr>
          <a:xfrm>
            <a:off x="25086318" y="3846601"/>
            <a:ext cx="298735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9523477-3AE5-3046-B73E-B2E5450BF04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7">
        <xdr:nvSpPr>
          <xdr:cNvPr id="486" name="TextBox 485">
            <a:extLst>
              <a:ext uri="{FF2B5EF4-FFF2-40B4-BE49-F238E27FC236}">
                <a16:creationId xmlns:a16="http://schemas.microsoft.com/office/drawing/2014/main" id="{8D1144FF-7035-4C59-925E-09921D1BEE14}"/>
              </a:ext>
            </a:extLst>
          </xdr:cNvPr>
          <xdr:cNvSpPr txBox="1"/>
        </xdr:nvSpPr>
        <xdr:spPr>
          <a:xfrm>
            <a:off x="2540896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4FDEF28-29B7-814B-A860-66984BD1E9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0" name="TextBox 489">
            <a:extLst>
              <a:ext uri="{FF2B5EF4-FFF2-40B4-BE49-F238E27FC236}">
                <a16:creationId xmlns:a16="http://schemas.microsoft.com/office/drawing/2014/main" id="{5BF15B93-68CC-4E9C-8803-B59C28DE2300}"/>
              </a:ext>
            </a:extLst>
          </xdr:cNvPr>
          <xdr:cNvSpPr txBox="1"/>
        </xdr:nvSpPr>
        <xdr:spPr>
          <a:xfrm>
            <a:off x="2525919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513386</xdr:colOff>
      <xdr:row>20</xdr:row>
      <xdr:rowOff>104985</xdr:rowOff>
    </xdr:from>
    <xdr:to>
      <xdr:col>31</xdr:col>
      <xdr:colOff>307475</xdr:colOff>
      <xdr:row>23</xdr:row>
      <xdr:rowOff>89652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A7DC5379-D1D2-574F-818D-DE6E9405B52E}"/>
            </a:ext>
          </a:extLst>
        </xdr:cNvPr>
        <xdr:cNvGrpSpPr/>
      </xdr:nvGrpSpPr>
      <xdr:grpSpPr>
        <a:xfrm>
          <a:off x="25595886" y="3533985"/>
          <a:ext cx="630172" cy="492667"/>
          <a:chOff x="26284616" y="3846601"/>
          <a:chExt cx="634243" cy="482898"/>
        </a:xfrm>
      </xdr:grpSpPr>
      <xdr:sp macro="" textlink="Location1ANALYSIS!$J$10">
        <xdr:nvSpPr>
          <xdr:cNvPr id="483" name="TextBox 482">
            <a:extLst>
              <a:ext uri="{FF2B5EF4-FFF2-40B4-BE49-F238E27FC236}">
                <a16:creationId xmlns:a16="http://schemas.microsoft.com/office/drawing/2014/main" id="{835D28B3-58E9-48A0-B6FF-E1E45B85D74B}"/>
              </a:ext>
            </a:extLst>
          </xdr:cNvPr>
          <xdr:cNvSpPr txBox="1"/>
        </xdr:nvSpPr>
        <xdr:spPr>
          <a:xfrm>
            <a:off x="26284616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497859-EEB1-394D-9F0B-3B2757B2C0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0">
        <xdr:nvSpPr>
          <xdr:cNvPr id="484" name="TextBox 483">
            <a:extLst>
              <a:ext uri="{FF2B5EF4-FFF2-40B4-BE49-F238E27FC236}">
                <a16:creationId xmlns:a16="http://schemas.microsoft.com/office/drawing/2014/main" id="{0382D70C-F2C5-4A67-BA80-25A93F558F70}"/>
              </a:ext>
            </a:extLst>
          </xdr:cNvPr>
          <xdr:cNvSpPr txBox="1"/>
        </xdr:nvSpPr>
        <xdr:spPr>
          <a:xfrm>
            <a:off x="26607257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376B67-9904-F545-846C-54A0983FC0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1" name="TextBox 490">
            <a:extLst>
              <a:ext uri="{FF2B5EF4-FFF2-40B4-BE49-F238E27FC236}">
                <a16:creationId xmlns:a16="http://schemas.microsoft.com/office/drawing/2014/main" id="{D9D72127-74D8-47DD-8FEB-0668147780BF}"/>
              </a:ext>
            </a:extLst>
          </xdr:cNvPr>
          <xdr:cNvSpPr txBox="1"/>
        </xdr:nvSpPr>
        <xdr:spPr>
          <a:xfrm>
            <a:off x="2646127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549142</xdr:colOff>
      <xdr:row>20</xdr:row>
      <xdr:rowOff>104985</xdr:rowOff>
    </xdr:from>
    <xdr:to>
      <xdr:col>32</xdr:col>
      <xdr:colOff>362769</xdr:colOff>
      <xdr:row>23</xdr:row>
      <xdr:rowOff>89652</xdr:rowOff>
    </xdr:to>
    <xdr:grpSp>
      <xdr:nvGrpSpPr>
        <xdr:cNvPr id="505" name="Group 504">
          <a:extLst>
            <a:ext uri="{FF2B5EF4-FFF2-40B4-BE49-F238E27FC236}">
              <a16:creationId xmlns:a16="http://schemas.microsoft.com/office/drawing/2014/main" id="{C9C670A0-6752-7144-B8EF-41EF0A8F06AE}"/>
            </a:ext>
          </a:extLst>
        </xdr:cNvPr>
        <xdr:cNvGrpSpPr/>
      </xdr:nvGrpSpPr>
      <xdr:grpSpPr>
        <a:xfrm>
          <a:off x="26467725" y="3533985"/>
          <a:ext cx="649711" cy="492667"/>
          <a:chOff x="27482911" y="3846601"/>
          <a:chExt cx="653781" cy="482898"/>
        </a:xfrm>
      </xdr:grpSpPr>
      <xdr:sp macro="" textlink="Location1ANALYSIS!J13">
        <xdr:nvSpPr>
          <xdr:cNvPr id="481" name="TextBox 480">
            <a:extLst>
              <a:ext uri="{FF2B5EF4-FFF2-40B4-BE49-F238E27FC236}">
                <a16:creationId xmlns:a16="http://schemas.microsoft.com/office/drawing/2014/main" id="{B77B8E94-33BD-4308-8CE1-E544108FE052}"/>
              </a:ext>
            </a:extLst>
          </xdr:cNvPr>
          <xdr:cNvSpPr txBox="1"/>
        </xdr:nvSpPr>
        <xdr:spPr>
          <a:xfrm>
            <a:off x="27482911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70157F-D507-7B47-8BCE-BBAD2974258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482" name="TextBox 481">
            <a:extLst>
              <a:ext uri="{FF2B5EF4-FFF2-40B4-BE49-F238E27FC236}">
                <a16:creationId xmlns:a16="http://schemas.microsoft.com/office/drawing/2014/main" id="{54A3E191-F078-449F-8ECD-F012B2206B4A}"/>
              </a:ext>
            </a:extLst>
          </xdr:cNvPr>
          <xdr:cNvSpPr txBox="1"/>
        </xdr:nvSpPr>
        <xdr:spPr>
          <a:xfrm>
            <a:off x="2782509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1C474A1-E440-4C45-9E72-3504CF06B3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2" name="TextBox 491">
            <a:extLst>
              <a:ext uri="{FF2B5EF4-FFF2-40B4-BE49-F238E27FC236}">
                <a16:creationId xmlns:a16="http://schemas.microsoft.com/office/drawing/2014/main" id="{83E92BFF-C23C-458F-97E6-F8678569C625}"/>
              </a:ext>
            </a:extLst>
          </xdr:cNvPr>
          <xdr:cNvSpPr txBox="1"/>
        </xdr:nvSpPr>
        <xdr:spPr>
          <a:xfrm>
            <a:off x="27663348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459712</xdr:colOff>
      <xdr:row>20</xdr:row>
      <xdr:rowOff>104985</xdr:rowOff>
    </xdr:from>
    <xdr:to>
      <xdr:col>33</xdr:col>
      <xdr:colOff>234264</xdr:colOff>
      <xdr:row>23</xdr:row>
      <xdr:rowOff>89652</xdr:rowOff>
    </xdr:to>
    <xdr:grpSp>
      <xdr:nvGrpSpPr>
        <xdr:cNvPr id="503" name="Group 502">
          <a:extLst>
            <a:ext uri="{FF2B5EF4-FFF2-40B4-BE49-F238E27FC236}">
              <a16:creationId xmlns:a16="http://schemas.microsoft.com/office/drawing/2014/main" id="{DFE36D57-1E3E-D24A-B7B0-34AAB14DA8F9}"/>
            </a:ext>
          </a:extLst>
        </xdr:cNvPr>
        <xdr:cNvGrpSpPr/>
      </xdr:nvGrpSpPr>
      <xdr:grpSpPr>
        <a:xfrm>
          <a:off x="27214379" y="3533985"/>
          <a:ext cx="610635" cy="492667"/>
          <a:chOff x="28448558" y="3846601"/>
          <a:chExt cx="614706" cy="482898"/>
        </a:xfrm>
      </xdr:grpSpPr>
      <xdr:sp macro="" textlink="Location1ANALYSIS!J16">
        <xdr:nvSpPr>
          <xdr:cNvPr id="479" name="TextBox 478">
            <a:extLst>
              <a:ext uri="{FF2B5EF4-FFF2-40B4-BE49-F238E27FC236}">
                <a16:creationId xmlns:a16="http://schemas.microsoft.com/office/drawing/2014/main" id="{2FDF8322-2AC7-4371-98BA-67881BF8F51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DD943A-6807-C944-9C7E-AA2C3532973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480" name="TextBox 479">
            <a:extLst>
              <a:ext uri="{FF2B5EF4-FFF2-40B4-BE49-F238E27FC236}">
                <a16:creationId xmlns:a16="http://schemas.microsoft.com/office/drawing/2014/main" id="{42D1E4C2-F6C9-4F4A-B88A-BB39180B441C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8ECF56-13C8-F24E-8C36-C362FF03B2B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3" name="TextBox 492">
            <a:extLst>
              <a:ext uri="{FF2B5EF4-FFF2-40B4-BE49-F238E27FC236}">
                <a16:creationId xmlns:a16="http://schemas.microsoft.com/office/drawing/2014/main" id="{DC6E2627-16E1-4BFB-9F7F-241E341CF147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483202</xdr:colOff>
      <xdr:row>27</xdr:row>
      <xdr:rowOff>10540</xdr:rowOff>
    </xdr:from>
    <xdr:to>
      <xdr:col>31</xdr:col>
      <xdr:colOff>477456</xdr:colOff>
      <xdr:row>28</xdr:row>
      <xdr:rowOff>122182</xdr:rowOff>
    </xdr:to>
    <xdr:sp macro="" textlink="Location1ANALYSIS!L32">
      <xdr:nvSpPr>
        <xdr:cNvPr id="452" name="Rectangle 451">
          <a:extLst>
            <a:ext uri="{FF2B5EF4-FFF2-40B4-BE49-F238E27FC236}">
              <a16:creationId xmlns:a16="http://schemas.microsoft.com/office/drawing/2014/main" id="{E1A495FB-C3AB-49D4-ABC1-780DED88A39F}"/>
            </a:ext>
          </a:extLst>
        </xdr:cNvPr>
        <xdr:cNvSpPr>
          <a:spLocks noChangeAspect="1"/>
        </xdr:cNvSpPr>
      </xdr:nvSpPr>
      <xdr:spPr>
        <a:xfrm>
          <a:off x="25565702" y="4624873"/>
          <a:ext cx="830337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AF4A83A-B2C5-C843-9CC3-F2534060F3B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333118</xdr:colOff>
      <xdr:row>27</xdr:row>
      <xdr:rowOff>10540</xdr:rowOff>
    </xdr:from>
    <xdr:to>
      <xdr:col>29</xdr:col>
      <xdr:colOff>327373</xdr:colOff>
      <xdr:row>28</xdr:row>
      <xdr:rowOff>122182</xdr:rowOff>
    </xdr:to>
    <xdr:sp macro="" textlink="Location1ANALYSIS!L30">
      <xdr:nvSpPr>
        <xdr:cNvPr id="453" name="Rectangle 452">
          <a:extLst>
            <a:ext uri="{FF2B5EF4-FFF2-40B4-BE49-F238E27FC236}">
              <a16:creationId xmlns:a16="http://schemas.microsoft.com/office/drawing/2014/main" id="{7029354C-A38A-4C0C-8C11-2D3E74E1FD79}"/>
            </a:ext>
          </a:extLst>
        </xdr:cNvPr>
        <xdr:cNvSpPr>
          <a:spLocks noChangeAspect="1"/>
        </xdr:cNvSpPr>
      </xdr:nvSpPr>
      <xdr:spPr>
        <a:xfrm>
          <a:off x="23743451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EFDA917-367A-9443-8DE0-C5376BEBD07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493119</xdr:colOff>
      <xdr:row>27</xdr:row>
      <xdr:rowOff>10540</xdr:rowOff>
    </xdr:from>
    <xdr:to>
      <xdr:col>30</xdr:col>
      <xdr:colOff>487374</xdr:colOff>
      <xdr:row>28</xdr:row>
      <xdr:rowOff>122182</xdr:rowOff>
    </xdr:to>
    <xdr:sp macro="" textlink="Location1ANALYSIS!L31">
      <xdr:nvSpPr>
        <xdr:cNvPr id="454" name="Rectangle 453">
          <a:extLst>
            <a:ext uri="{FF2B5EF4-FFF2-40B4-BE49-F238E27FC236}">
              <a16:creationId xmlns:a16="http://schemas.microsoft.com/office/drawing/2014/main" id="{E8F39CA2-DA67-4C46-8AD1-B12BA1A454BA}"/>
            </a:ext>
          </a:extLst>
        </xdr:cNvPr>
        <xdr:cNvSpPr>
          <a:spLocks noChangeAspect="1"/>
        </xdr:cNvSpPr>
      </xdr:nvSpPr>
      <xdr:spPr>
        <a:xfrm>
          <a:off x="24739536" y="4624873"/>
          <a:ext cx="830338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7E2C4CA-FD7E-FC40-935B-A82BFA888C2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17724</xdr:colOff>
      <xdr:row>7</xdr:row>
      <xdr:rowOff>68386</xdr:rowOff>
    </xdr:from>
    <xdr:to>
      <xdr:col>32</xdr:col>
      <xdr:colOff>11978</xdr:colOff>
      <xdr:row>9</xdr:row>
      <xdr:rowOff>4182</xdr:rowOff>
    </xdr:to>
    <xdr:sp macro="" textlink="Location1ANALYSIS!C2">
      <xdr:nvSpPr>
        <xdr:cNvPr id="460" name="Rectangle 459">
          <a:extLst>
            <a:ext uri="{FF2B5EF4-FFF2-40B4-BE49-F238E27FC236}">
              <a16:creationId xmlns:a16="http://schemas.microsoft.com/office/drawing/2014/main" id="{D3D1A34A-1A51-4149-9BFF-833CAF6CE266}"/>
            </a:ext>
          </a:extLst>
        </xdr:cNvPr>
        <xdr:cNvSpPr>
          <a:spLocks noChangeAspect="1"/>
        </xdr:cNvSpPr>
      </xdr:nvSpPr>
      <xdr:spPr>
        <a:xfrm>
          <a:off x="26062493" y="1230924"/>
          <a:ext cx="834408" cy="2777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314008</xdr:colOff>
      <xdr:row>27</xdr:row>
      <xdr:rowOff>10540</xdr:rowOff>
    </xdr:from>
    <xdr:to>
      <xdr:col>32</xdr:col>
      <xdr:colOff>308263</xdr:colOff>
      <xdr:row>28</xdr:row>
      <xdr:rowOff>122182</xdr:rowOff>
    </xdr:to>
    <xdr:sp macro="" textlink="Location1ANALYSIS!L33">
      <xdr:nvSpPr>
        <xdr:cNvPr id="477" name="Rectangle 476">
          <a:extLst>
            <a:ext uri="{FF2B5EF4-FFF2-40B4-BE49-F238E27FC236}">
              <a16:creationId xmlns:a16="http://schemas.microsoft.com/office/drawing/2014/main" id="{A894BD54-6457-4EF2-AD5A-BDB9A7180F18}"/>
            </a:ext>
          </a:extLst>
        </xdr:cNvPr>
        <xdr:cNvSpPr>
          <a:spLocks noChangeAspect="1"/>
        </xdr:cNvSpPr>
      </xdr:nvSpPr>
      <xdr:spPr>
        <a:xfrm>
          <a:off x="26232591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712D34F2-5A31-CF46-8292-31BCF190A8E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38%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290680</xdr:colOff>
      <xdr:row>27</xdr:row>
      <xdr:rowOff>10540</xdr:rowOff>
    </xdr:from>
    <xdr:to>
      <xdr:col>33</xdr:col>
      <xdr:colOff>284934</xdr:colOff>
      <xdr:row>28</xdr:row>
      <xdr:rowOff>122182</xdr:rowOff>
    </xdr:to>
    <xdr:sp macro="" textlink="Location1ANALYSIS!L37">
      <xdr:nvSpPr>
        <xdr:cNvPr id="478" name="Rectangle 477">
          <a:extLst>
            <a:ext uri="{FF2B5EF4-FFF2-40B4-BE49-F238E27FC236}">
              <a16:creationId xmlns:a16="http://schemas.microsoft.com/office/drawing/2014/main" id="{D28E5671-E3CC-4E6B-88DA-A198264CB8A3}"/>
            </a:ext>
          </a:extLst>
        </xdr:cNvPr>
        <xdr:cNvSpPr>
          <a:spLocks noChangeAspect="1"/>
        </xdr:cNvSpPr>
      </xdr:nvSpPr>
      <xdr:spPr>
        <a:xfrm>
          <a:off x="27175603" y="4533694"/>
          <a:ext cx="834408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40B1CA-2AC6-6E40-8512-4CAF55B2052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40628</xdr:colOff>
      <xdr:row>1</xdr:row>
      <xdr:rowOff>152400</xdr:rowOff>
    </xdr:from>
    <xdr:to>
      <xdr:col>32</xdr:col>
      <xdr:colOff>837836</xdr:colOff>
      <xdr:row>4</xdr:row>
      <xdr:rowOff>46408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751856B9-58F5-458D-B683-07CB16BBE169}"/>
            </a:ext>
          </a:extLst>
        </xdr:cNvPr>
        <xdr:cNvSpPr txBox="1"/>
      </xdr:nvSpPr>
      <xdr:spPr>
        <a:xfrm>
          <a:off x="25245243" y="318477"/>
          <a:ext cx="2477516" cy="392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43</xdr:col>
      <xdr:colOff>487601</xdr:colOff>
      <xdr:row>6</xdr:row>
      <xdr:rowOff>168357</xdr:rowOff>
    </xdr:from>
    <xdr:to>
      <xdr:col>44</xdr:col>
      <xdr:colOff>470407</xdr:colOff>
      <xdr:row>8</xdr:row>
      <xdr:rowOff>97496</xdr:rowOff>
    </xdr:to>
    <xdr:sp macro="" textlink="MatchANALYSIS!H28">
      <xdr:nvSpPr>
        <xdr:cNvPr id="444" name="Rectangle 443">
          <a:extLst>
            <a:ext uri="{FF2B5EF4-FFF2-40B4-BE49-F238E27FC236}">
              <a16:creationId xmlns:a16="http://schemas.microsoft.com/office/drawing/2014/main" id="{F6D7C9D7-AE1F-4843-ACED-E66AEAEE0CAA}"/>
            </a:ext>
          </a:extLst>
        </xdr:cNvPr>
        <xdr:cNvSpPr>
          <a:spLocks noChangeAspect="1"/>
        </xdr:cNvSpPr>
      </xdr:nvSpPr>
      <xdr:spPr>
        <a:xfrm>
          <a:off x="36439184" y="1184357"/>
          <a:ext cx="818890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6</xdr:row>
      <xdr:rowOff>168357</xdr:rowOff>
    </xdr:from>
    <xdr:to>
      <xdr:col>46</xdr:col>
      <xdr:colOff>396400</xdr:colOff>
      <xdr:row>8</xdr:row>
      <xdr:rowOff>97496</xdr:rowOff>
    </xdr:to>
    <xdr:sp macro="" textlink="MatchANALYSIS!F28">
      <xdr:nvSpPr>
        <xdr:cNvPr id="515" name="Rectangle 514">
          <a:extLst>
            <a:ext uri="{FF2B5EF4-FFF2-40B4-BE49-F238E27FC236}">
              <a16:creationId xmlns:a16="http://schemas.microsoft.com/office/drawing/2014/main" id="{43A835CA-548D-8847-ABD1-1AF580019BD8}"/>
            </a:ext>
          </a:extLst>
        </xdr:cNvPr>
        <xdr:cNvSpPr>
          <a:spLocks/>
        </xdr:cNvSpPr>
      </xdr:nvSpPr>
      <xdr:spPr>
        <a:xfrm>
          <a:off x="37309895" y="1184357"/>
          <a:ext cx="1546338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4</xdr:row>
      <xdr:rowOff>144918</xdr:rowOff>
    </xdr:from>
    <xdr:to>
      <xdr:col>44</xdr:col>
      <xdr:colOff>470407</xdr:colOff>
      <xdr:row>6</xdr:row>
      <xdr:rowOff>83828</xdr:rowOff>
    </xdr:to>
    <xdr:sp macro="" textlink="[1]Match!$C$1">
      <xdr:nvSpPr>
        <xdr:cNvPr id="516" name="Rectangle 515">
          <a:extLst>
            <a:ext uri="{FF2B5EF4-FFF2-40B4-BE49-F238E27FC236}">
              <a16:creationId xmlns:a16="http://schemas.microsoft.com/office/drawing/2014/main" id="{E827E804-8B88-C442-A5AA-4EAB7BD2C776}"/>
            </a:ext>
          </a:extLst>
        </xdr:cNvPr>
        <xdr:cNvSpPr>
          <a:spLocks noChangeAspect="1"/>
        </xdr:cNvSpPr>
      </xdr:nvSpPr>
      <xdr:spPr>
        <a:xfrm>
          <a:off x="36439184" y="822251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8</xdr:row>
      <xdr:rowOff>168635</xdr:rowOff>
    </xdr:from>
    <xdr:to>
      <xdr:col>44</xdr:col>
      <xdr:colOff>470407</xdr:colOff>
      <xdr:row>10</xdr:row>
      <xdr:rowOff>97777</xdr:rowOff>
    </xdr:to>
    <xdr:sp macro="" textlink="MatchANALYSIS!H27">
      <xdr:nvSpPr>
        <xdr:cNvPr id="518" name="Rectangle 517">
          <a:extLst>
            <a:ext uri="{FF2B5EF4-FFF2-40B4-BE49-F238E27FC236}">
              <a16:creationId xmlns:a16="http://schemas.microsoft.com/office/drawing/2014/main" id="{2D762385-8F52-BB4F-B73B-2C53D96159D6}"/>
            </a:ext>
          </a:extLst>
        </xdr:cNvPr>
        <xdr:cNvSpPr>
          <a:spLocks noChangeAspect="1"/>
        </xdr:cNvSpPr>
      </xdr:nvSpPr>
      <xdr:spPr>
        <a:xfrm>
          <a:off x="36439184" y="1523302"/>
          <a:ext cx="818890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8</xdr:row>
      <xdr:rowOff>168635</xdr:rowOff>
    </xdr:from>
    <xdr:to>
      <xdr:col>46</xdr:col>
      <xdr:colOff>396400</xdr:colOff>
      <xdr:row>10</xdr:row>
      <xdr:rowOff>97777</xdr:rowOff>
    </xdr:to>
    <xdr:sp macro="" textlink="MatchANALYSIS!F27">
      <xdr:nvSpPr>
        <xdr:cNvPr id="520" name="Rectangle 519">
          <a:extLst>
            <a:ext uri="{FF2B5EF4-FFF2-40B4-BE49-F238E27FC236}">
              <a16:creationId xmlns:a16="http://schemas.microsoft.com/office/drawing/2014/main" id="{6DEFDF74-656B-E64C-8C6B-E06A530B5DD9}"/>
            </a:ext>
          </a:extLst>
        </xdr:cNvPr>
        <xdr:cNvSpPr>
          <a:spLocks/>
        </xdr:cNvSpPr>
      </xdr:nvSpPr>
      <xdr:spPr>
        <a:xfrm>
          <a:off x="37309895" y="1523302"/>
          <a:ext cx="1546338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10</xdr:row>
      <xdr:rowOff>168915</xdr:rowOff>
    </xdr:from>
    <xdr:to>
      <xdr:col>44</xdr:col>
      <xdr:colOff>470407</xdr:colOff>
      <xdr:row>12</xdr:row>
      <xdr:rowOff>98055</xdr:rowOff>
    </xdr:to>
    <xdr:sp macro="" textlink="MatchANALYSIS!H25">
      <xdr:nvSpPr>
        <xdr:cNvPr id="521" name="Rectangle 520">
          <a:extLst>
            <a:ext uri="{FF2B5EF4-FFF2-40B4-BE49-F238E27FC236}">
              <a16:creationId xmlns:a16="http://schemas.microsoft.com/office/drawing/2014/main" id="{E1564F5D-BE3E-8049-A9F8-8F53982BEC28}"/>
            </a:ext>
          </a:extLst>
        </xdr:cNvPr>
        <xdr:cNvSpPr>
          <a:spLocks noChangeAspect="1"/>
        </xdr:cNvSpPr>
      </xdr:nvSpPr>
      <xdr:spPr>
        <a:xfrm>
          <a:off x="36439184" y="1862248"/>
          <a:ext cx="818890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10</xdr:row>
      <xdr:rowOff>168915</xdr:rowOff>
    </xdr:from>
    <xdr:to>
      <xdr:col>46</xdr:col>
      <xdr:colOff>396400</xdr:colOff>
      <xdr:row>12</xdr:row>
      <xdr:rowOff>98055</xdr:rowOff>
    </xdr:to>
    <xdr:sp macro="" textlink="MatchANALYSIS!F25">
      <xdr:nvSpPr>
        <xdr:cNvPr id="523" name="Rectangle 522">
          <a:extLst>
            <a:ext uri="{FF2B5EF4-FFF2-40B4-BE49-F238E27FC236}">
              <a16:creationId xmlns:a16="http://schemas.microsoft.com/office/drawing/2014/main" id="{3578C32A-D67E-934D-A2F6-B3D07BD0FEC5}"/>
            </a:ext>
          </a:extLst>
        </xdr:cNvPr>
        <xdr:cNvSpPr>
          <a:spLocks/>
        </xdr:cNvSpPr>
      </xdr:nvSpPr>
      <xdr:spPr>
        <a:xfrm>
          <a:off x="37309895" y="1862248"/>
          <a:ext cx="1546338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13</xdr:row>
      <xdr:rowOff>10445</xdr:rowOff>
    </xdr:from>
    <xdr:to>
      <xdr:col>44</xdr:col>
      <xdr:colOff>470407</xdr:colOff>
      <xdr:row>14</xdr:row>
      <xdr:rowOff>108919</xdr:rowOff>
    </xdr:to>
    <xdr:sp macro="" textlink="MatchANALYSIS!H26">
      <xdr:nvSpPr>
        <xdr:cNvPr id="524" name="Rectangle 523">
          <a:extLst>
            <a:ext uri="{FF2B5EF4-FFF2-40B4-BE49-F238E27FC236}">
              <a16:creationId xmlns:a16="http://schemas.microsoft.com/office/drawing/2014/main" id="{ECB967D8-E98E-7742-BE1A-70173F296965}"/>
            </a:ext>
          </a:extLst>
        </xdr:cNvPr>
        <xdr:cNvSpPr>
          <a:spLocks noChangeAspect="1"/>
        </xdr:cNvSpPr>
      </xdr:nvSpPr>
      <xdr:spPr>
        <a:xfrm>
          <a:off x="36439184" y="2211778"/>
          <a:ext cx="818890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13</xdr:row>
      <xdr:rowOff>10445</xdr:rowOff>
    </xdr:from>
    <xdr:to>
      <xdr:col>46</xdr:col>
      <xdr:colOff>396400</xdr:colOff>
      <xdr:row>14</xdr:row>
      <xdr:rowOff>108919</xdr:rowOff>
    </xdr:to>
    <xdr:sp macro="" textlink="MatchANALYSIS!F26">
      <xdr:nvSpPr>
        <xdr:cNvPr id="526" name="Rectangle 525">
          <a:extLst>
            <a:ext uri="{FF2B5EF4-FFF2-40B4-BE49-F238E27FC236}">
              <a16:creationId xmlns:a16="http://schemas.microsoft.com/office/drawing/2014/main" id="{BEF36950-1134-924D-80AD-CE79488FCC76}"/>
            </a:ext>
          </a:extLst>
        </xdr:cNvPr>
        <xdr:cNvSpPr>
          <a:spLocks/>
        </xdr:cNvSpPr>
      </xdr:nvSpPr>
      <xdr:spPr>
        <a:xfrm>
          <a:off x="37309895" y="2211778"/>
          <a:ext cx="1546338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42</xdr:col>
      <xdr:colOff>810845</xdr:colOff>
      <xdr:row>17</xdr:row>
      <xdr:rowOff>143016</xdr:rowOff>
    </xdr:from>
    <xdr:to>
      <xdr:col>43</xdr:col>
      <xdr:colOff>566616</xdr:colOff>
      <xdr:row>20</xdr:row>
      <xdr:rowOff>72678</xdr:rowOff>
    </xdr:to>
    <xdr:sp macro="" textlink="Location2ANALYSIS!P25">
      <xdr:nvSpPr>
        <xdr:cNvPr id="527" name="Rectangle 526">
          <a:extLst>
            <a:ext uri="{FF2B5EF4-FFF2-40B4-BE49-F238E27FC236}">
              <a16:creationId xmlns:a16="http://schemas.microsoft.com/office/drawing/2014/main" id="{83B0D219-D482-164C-A41D-02F4BD7FEF8A}"/>
            </a:ext>
          </a:extLst>
        </xdr:cNvPr>
        <xdr:cNvSpPr>
          <a:spLocks noChangeAspect="1"/>
        </xdr:cNvSpPr>
      </xdr:nvSpPr>
      <xdr:spPr>
        <a:xfrm>
          <a:off x="36097307" y="3054247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11686DC8-EB6A-8149-8C7B-806AE259646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27%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516372</xdr:colOff>
      <xdr:row>21</xdr:row>
      <xdr:rowOff>144689</xdr:rowOff>
    </xdr:from>
    <xdr:to>
      <xdr:col>43</xdr:col>
      <xdr:colOff>272143</xdr:colOff>
      <xdr:row>24</xdr:row>
      <xdr:rowOff>103658</xdr:rowOff>
    </xdr:to>
    <xdr:sp macro="" textlink="Location2ANALYSIS!P26">
      <xdr:nvSpPr>
        <xdr:cNvPr id="528" name="Rectangle 527">
          <a:extLst>
            <a:ext uri="{FF2B5EF4-FFF2-40B4-BE49-F238E27FC236}">
              <a16:creationId xmlns:a16="http://schemas.microsoft.com/office/drawing/2014/main" id="{BAF1CC5A-36F0-2A4D-9AC9-0C3081425F22}"/>
            </a:ext>
          </a:extLst>
        </xdr:cNvPr>
        <xdr:cNvSpPr>
          <a:spLocks noChangeAspect="1"/>
        </xdr:cNvSpPr>
      </xdr:nvSpPr>
      <xdr:spPr>
        <a:xfrm>
          <a:off x="35802834" y="3749535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BF08D40-2233-3D4F-8522-918363E3569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55%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42</xdr:col>
      <xdr:colOff>322383</xdr:colOff>
      <xdr:row>26</xdr:row>
      <xdr:rowOff>55647</xdr:rowOff>
    </xdr:from>
    <xdr:to>
      <xdr:col>43</xdr:col>
      <xdr:colOff>78154</xdr:colOff>
      <xdr:row>29</xdr:row>
      <xdr:rowOff>14616</xdr:rowOff>
    </xdr:to>
    <xdr:sp macro="" textlink="Location2ANALYSIS!P27">
      <xdr:nvSpPr>
        <xdr:cNvPr id="529" name="Rectangle 528">
          <a:extLst>
            <a:ext uri="{FF2B5EF4-FFF2-40B4-BE49-F238E27FC236}">
              <a16:creationId xmlns:a16="http://schemas.microsoft.com/office/drawing/2014/main" id="{96CA6416-A7AD-5940-BE8A-894D8E4BF280}"/>
            </a:ext>
          </a:extLst>
        </xdr:cNvPr>
        <xdr:cNvSpPr>
          <a:spLocks noChangeAspect="1"/>
        </xdr:cNvSpPr>
      </xdr:nvSpPr>
      <xdr:spPr>
        <a:xfrm>
          <a:off x="35608845" y="4490878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05802AAE-2E80-B345-B232-27F66D4F661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18%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679944</xdr:colOff>
      <xdr:row>31</xdr:row>
      <xdr:rowOff>114264</xdr:rowOff>
    </xdr:from>
    <xdr:to>
      <xdr:col>43</xdr:col>
      <xdr:colOff>662751</xdr:colOff>
      <xdr:row>33</xdr:row>
      <xdr:rowOff>56430</xdr:rowOff>
    </xdr:to>
    <xdr:sp macro="" textlink="Location2ANALYSIS!P30">
      <xdr:nvSpPr>
        <xdr:cNvPr id="531" name="Rectangle 530">
          <a:extLst>
            <a:ext uri="{FF2B5EF4-FFF2-40B4-BE49-F238E27FC236}">
              <a16:creationId xmlns:a16="http://schemas.microsoft.com/office/drawing/2014/main" id="{C8E9B4AE-8CBF-F940-A91C-B78D5E4A7909}"/>
            </a:ext>
          </a:extLst>
        </xdr:cNvPr>
        <xdr:cNvSpPr>
          <a:spLocks noChangeAspect="1"/>
        </xdr:cNvSpPr>
      </xdr:nvSpPr>
      <xdr:spPr>
        <a:xfrm>
          <a:off x="35966406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4796E96-B6B7-9D40-9A26-2FF12D70FF6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43</xdr:col>
      <xdr:colOff>676028</xdr:colOff>
      <xdr:row>31</xdr:row>
      <xdr:rowOff>114264</xdr:rowOff>
    </xdr:from>
    <xdr:to>
      <xdr:col>44</xdr:col>
      <xdr:colOff>658834</xdr:colOff>
      <xdr:row>33</xdr:row>
      <xdr:rowOff>56430</xdr:rowOff>
    </xdr:to>
    <xdr:sp macro="" textlink="Location2ANALYSIS!P31">
      <xdr:nvSpPr>
        <xdr:cNvPr id="532" name="Rectangle 531">
          <a:extLst>
            <a:ext uri="{FF2B5EF4-FFF2-40B4-BE49-F238E27FC236}">
              <a16:creationId xmlns:a16="http://schemas.microsoft.com/office/drawing/2014/main" id="{36495CB6-53F5-3449-B7A7-CC0538E89797}"/>
            </a:ext>
          </a:extLst>
        </xdr:cNvPr>
        <xdr:cNvSpPr>
          <a:spLocks noChangeAspect="1"/>
        </xdr:cNvSpPr>
      </xdr:nvSpPr>
      <xdr:spPr>
        <a:xfrm>
          <a:off x="36802643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CBD39E-8FDE-6743-BF5C-283C1B78DCF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18%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335779</xdr:colOff>
      <xdr:row>31</xdr:row>
      <xdr:rowOff>114264</xdr:rowOff>
    </xdr:from>
    <xdr:to>
      <xdr:col>46</xdr:col>
      <xdr:colOff>318585</xdr:colOff>
      <xdr:row>33</xdr:row>
      <xdr:rowOff>56430</xdr:rowOff>
    </xdr:to>
    <xdr:sp macro="" textlink="Location2ANALYSIS!P33">
      <xdr:nvSpPr>
        <xdr:cNvPr id="533" name="Rectangle 532">
          <a:extLst>
            <a:ext uri="{FF2B5EF4-FFF2-40B4-BE49-F238E27FC236}">
              <a16:creationId xmlns:a16="http://schemas.microsoft.com/office/drawing/2014/main" id="{DDE44994-5FF4-0943-BB48-46B391B614A3}"/>
            </a:ext>
          </a:extLst>
        </xdr:cNvPr>
        <xdr:cNvSpPr>
          <a:spLocks noChangeAspect="1"/>
        </xdr:cNvSpPr>
      </xdr:nvSpPr>
      <xdr:spPr>
        <a:xfrm>
          <a:off x="38142702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6EEE75-8198-1842-9130-0E790B3E7F9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220217</xdr:colOff>
      <xdr:row>31</xdr:row>
      <xdr:rowOff>114264</xdr:rowOff>
    </xdr:from>
    <xdr:to>
      <xdr:col>47</xdr:col>
      <xdr:colOff>203023</xdr:colOff>
      <xdr:row>33</xdr:row>
      <xdr:rowOff>56430</xdr:rowOff>
    </xdr:to>
    <xdr:sp macro="" textlink="Location2ANALYSIS!P34">
      <xdr:nvSpPr>
        <xdr:cNvPr id="534" name="Rectangle 533">
          <a:extLst>
            <a:ext uri="{FF2B5EF4-FFF2-40B4-BE49-F238E27FC236}">
              <a16:creationId xmlns:a16="http://schemas.microsoft.com/office/drawing/2014/main" id="{5D46080B-6168-CF45-B98A-9EF2E90CE64F}"/>
            </a:ext>
          </a:extLst>
        </xdr:cNvPr>
        <xdr:cNvSpPr>
          <a:spLocks noChangeAspect="1"/>
        </xdr:cNvSpPr>
      </xdr:nvSpPr>
      <xdr:spPr>
        <a:xfrm>
          <a:off x="3886729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E4FFD83-10D5-6B40-B656-8007C106560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221883</xdr:colOff>
      <xdr:row>31</xdr:row>
      <xdr:rowOff>114264</xdr:rowOff>
    </xdr:from>
    <xdr:to>
      <xdr:col>48</xdr:col>
      <xdr:colOff>204689</xdr:colOff>
      <xdr:row>33</xdr:row>
      <xdr:rowOff>56430</xdr:rowOff>
    </xdr:to>
    <xdr:sp macro="" textlink="Location2ANALYSIS!P35">
      <xdr:nvSpPr>
        <xdr:cNvPr id="535" name="Rectangle 534">
          <a:extLst>
            <a:ext uri="{FF2B5EF4-FFF2-40B4-BE49-F238E27FC236}">
              <a16:creationId xmlns:a16="http://schemas.microsoft.com/office/drawing/2014/main" id="{F4706A01-C9F1-6C4F-AA9D-06D08EA7C69B}"/>
            </a:ext>
          </a:extLst>
        </xdr:cNvPr>
        <xdr:cNvSpPr>
          <a:spLocks noChangeAspect="1"/>
        </xdr:cNvSpPr>
      </xdr:nvSpPr>
      <xdr:spPr>
        <a:xfrm>
          <a:off x="3970911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07A0D4D-3896-5D41-BABD-7D438535728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573582</xdr:colOff>
      <xdr:row>17</xdr:row>
      <xdr:rowOff>77875</xdr:rowOff>
    </xdr:from>
    <xdr:to>
      <xdr:col>44</xdr:col>
      <xdr:colOff>41003</xdr:colOff>
      <xdr:row>20</xdr:row>
      <xdr:rowOff>18350</xdr:rowOff>
    </xdr:to>
    <xdr:sp macro="" textlink="Location2ANALYSIS!$O$6">
      <xdr:nvSpPr>
        <xdr:cNvPr id="536" name="TextBox 535">
          <a:extLst>
            <a:ext uri="{FF2B5EF4-FFF2-40B4-BE49-F238E27FC236}">
              <a16:creationId xmlns:a16="http://schemas.microsoft.com/office/drawing/2014/main" id="{2BCBA0A6-E13D-324F-9317-C81925E49C16}"/>
            </a:ext>
          </a:extLst>
        </xdr:cNvPr>
        <xdr:cNvSpPr txBox="1"/>
      </xdr:nvSpPr>
      <xdr:spPr>
        <a:xfrm>
          <a:off x="367001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C422FF2-3595-4346-A867-3E8B069B32B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500734</xdr:colOff>
      <xdr:row>31</xdr:row>
      <xdr:rowOff>121520</xdr:rowOff>
    </xdr:from>
    <xdr:to>
      <xdr:col>45</xdr:col>
      <xdr:colOff>470840</xdr:colOff>
      <xdr:row>33</xdr:row>
      <xdr:rowOff>63686</xdr:rowOff>
    </xdr:to>
    <xdr:sp macro="" textlink="Location2ANALYSIS!P32">
      <xdr:nvSpPr>
        <xdr:cNvPr id="537" name="Rectangle 536">
          <a:extLst>
            <a:ext uri="{FF2B5EF4-FFF2-40B4-BE49-F238E27FC236}">
              <a16:creationId xmlns:a16="http://schemas.microsoft.com/office/drawing/2014/main" id="{1F357930-5C9E-DD48-B07F-507AFBC3C6FD}"/>
            </a:ext>
          </a:extLst>
        </xdr:cNvPr>
        <xdr:cNvSpPr>
          <a:spLocks noChangeAspect="1"/>
        </xdr:cNvSpPr>
      </xdr:nvSpPr>
      <xdr:spPr>
        <a:xfrm>
          <a:off x="37467503" y="5387135"/>
          <a:ext cx="8102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D2AB5B-51FA-654A-9283-87FD0CAEA7E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368708</xdr:colOff>
      <xdr:row>17</xdr:row>
      <xdr:rowOff>77875</xdr:rowOff>
    </xdr:from>
    <xdr:to>
      <xdr:col>44</xdr:col>
      <xdr:colOff>676283</xdr:colOff>
      <xdr:row>20</xdr:row>
      <xdr:rowOff>18350</xdr:rowOff>
    </xdr:to>
    <xdr:sp macro="" textlink="Location2ANALYSIS!$O$9">
      <xdr:nvSpPr>
        <xdr:cNvPr id="538" name="TextBox 537">
          <a:extLst>
            <a:ext uri="{FF2B5EF4-FFF2-40B4-BE49-F238E27FC236}">
              <a16:creationId xmlns:a16="http://schemas.microsoft.com/office/drawing/2014/main" id="{A6D72CAD-E03A-D04B-B771-A4E298CDED1E}"/>
            </a:ext>
          </a:extLst>
        </xdr:cNvPr>
        <xdr:cNvSpPr txBox="1"/>
      </xdr:nvSpPr>
      <xdr:spPr>
        <a:xfrm>
          <a:off x="3733547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72029D-2E4D-2B43-BAD2-A341A7E0231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56374</xdr:colOff>
      <xdr:row>17</xdr:row>
      <xdr:rowOff>77875</xdr:rowOff>
    </xdr:from>
    <xdr:to>
      <xdr:col>45</xdr:col>
      <xdr:colOff>363949</xdr:colOff>
      <xdr:row>20</xdr:row>
      <xdr:rowOff>18350</xdr:rowOff>
    </xdr:to>
    <xdr:sp macro="" textlink="Location2ANALYSIS!$O$12">
      <xdr:nvSpPr>
        <xdr:cNvPr id="539" name="TextBox 538">
          <a:extLst>
            <a:ext uri="{FF2B5EF4-FFF2-40B4-BE49-F238E27FC236}">
              <a16:creationId xmlns:a16="http://schemas.microsoft.com/office/drawing/2014/main" id="{5048EC3D-F69F-A149-AD4B-B98E2F5EABBB}"/>
            </a:ext>
          </a:extLst>
        </xdr:cNvPr>
        <xdr:cNvSpPr txBox="1"/>
      </xdr:nvSpPr>
      <xdr:spPr>
        <a:xfrm>
          <a:off x="378632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A8DFE6-CA8F-704C-9235-377BE592DA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476732</xdr:colOff>
      <xdr:row>17</xdr:row>
      <xdr:rowOff>77875</xdr:rowOff>
    </xdr:from>
    <xdr:to>
      <xdr:col>45</xdr:col>
      <xdr:colOff>784307</xdr:colOff>
      <xdr:row>20</xdr:row>
      <xdr:rowOff>18350</xdr:rowOff>
    </xdr:to>
    <xdr:sp macro="" textlink="Location2ANALYSIS!$O$15">
      <xdr:nvSpPr>
        <xdr:cNvPr id="540" name="TextBox 539">
          <a:extLst>
            <a:ext uri="{FF2B5EF4-FFF2-40B4-BE49-F238E27FC236}">
              <a16:creationId xmlns:a16="http://schemas.microsoft.com/office/drawing/2014/main" id="{9D898C73-2BDF-F741-8789-B64925AD4E97}"/>
            </a:ext>
          </a:extLst>
        </xdr:cNvPr>
        <xdr:cNvSpPr txBox="1"/>
      </xdr:nvSpPr>
      <xdr:spPr>
        <a:xfrm>
          <a:off x="3828365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0C6D832-F080-B444-A4AA-D133D80DF67F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160208</xdr:colOff>
      <xdr:row>17</xdr:row>
      <xdr:rowOff>77875</xdr:rowOff>
    </xdr:from>
    <xdr:to>
      <xdr:col>46</xdr:col>
      <xdr:colOff>467783</xdr:colOff>
      <xdr:row>20</xdr:row>
      <xdr:rowOff>18350</xdr:rowOff>
    </xdr:to>
    <xdr:sp macro="" textlink="Location2ANALYSIS!$O$18">
      <xdr:nvSpPr>
        <xdr:cNvPr id="541" name="TextBox 540">
          <a:extLst>
            <a:ext uri="{FF2B5EF4-FFF2-40B4-BE49-F238E27FC236}">
              <a16:creationId xmlns:a16="http://schemas.microsoft.com/office/drawing/2014/main" id="{07655D66-FCEB-994B-8E73-038C08442A2B}"/>
            </a:ext>
          </a:extLst>
        </xdr:cNvPr>
        <xdr:cNvSpPr txBox="1"/>
      </xdr:nvSpPr>
      <xdr:spPr>
        <a:xfrm>
          <a:off x="3880728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FCF8B64-97F7-F745-8A6C-2FF8900EF9AD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248683</xdr:colOff>
      <xdr:row>26</xdr:row>
      <xdr:rowOff>10</xdr:rowOff>
    </xdr:from>
    <xdr:to>
      <xdr:col>43</xdr:col>
      <xdr:colOff>556258</xdr:colOff>
      <xdr:row>28</xdr:row>
      <xdr:rowOff>135869</xdr:rowOff>
    </xdr:to>
    <xdr:sp macro="" textlink="Location2ANALYSIS!$O$4">
      <xdr:nvSpPr>
        <xdr:cNvPr id="542" name="TextBox 541">
          <a:extLst>
            <a:ext uri="{FF2B5EF4-FFF2-40B4-BE49-F238E27FC236}">
              <a16:creationId xmlns:a16="http://schemas.microsoft.com/office/drawing/2014/main" id="{E531166E-7561-9B48-8387-9D0EE73C5C97}"/>
            </a:ext>
          </a:extLst>
        </xdr:cNvPr>
        <xdr:cNvSpPr txBox="1"/>
      </xdr:nvSpPr>
      <xdr:spPr>
        <a:xfrm>
          <a:off x="36375298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4451769-AB00-E741-99E4-1ED50E5F69A3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219655</xdr:colOff>
      <xdr:row>26</xdr:row>
      <xdr:rowOff>10</xdr:rowOff>
    </xdr:from>
    <xdr:to>
      <xdr:col>44</xdr:col>
      <xdr:colOff>527230</xdr:colOff>
      <xdr:row>28</xdr:row>
      <xdr:rowOff>135869</xdr:rowOff>
    </xdr:to>
    <xdr:sp macro="" textlink="Location2ANALYSIS!$O$7">
      <xdr:nvSpPr>
        <xdr:cNvPr id="543" name="TextBox 542">
          <a:extLst>
            <a:ext uri="{FF2B5EF4-FFF2-40B4-BE49-F238E27FC236}">
              <a16:creationId xmlns:a16="http://schemas.microsoft.com/office/drawing/2014/main" id="{FD418A0F-DE93-0744-99DB-85DDE060C70C}"/>
            </a:ext>
          </a:extLst>
        </xdr:cNvPr>
        <xdr:cNvSpPr txBox="1"/>
      </xdr:nvSpPr>
      <xdr:spPr>
        <a:xfrm>
          <a:off x="37186424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EB1618-8D5B-1E4C-A8BC-7698C46ED02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825631</xdr:colOff>
      <xdr:row>26</xdr:row>
      <xdr:rowOff>10</xdr:rowOff>
    </xdr:from>
    <xdr:to>
      <xdr:col>45</xdr:col>
      <xdr:colOff>293052</xdr:colOff>
      <xdr:row>28</xdr:row>
      <xdr:rowOff>135869</xdr:rowOff>
    </xdr:to>
    <xdr:sp macro="" textlink="Location2ANALYSIS!$O$10">
      <xdr:nvSpPr>
        <xdr:cNvPr id="544" name="TextBox 543">
          <a:extLst>
            <a:ext uri="{FF2B5EF4-FFF2-40B4-BE49-F238E27FC236}">
              <a16:creationId xmlns:a16="http://schemas.microsoft.com/office/drawing/2014/main" id="{96ADDBCA-BD1D-F246-9D6F-F37B097B891F}"/>
            </a:ext>
          </a:extLst>
        </xdr:cNvPr>
        <xdr:cNvSpPr txBox="1"/>
      </xdr:nvSpPr>
      <xdr:spPr>
        <a:xfrm>
          <a:off x="37792400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0CAD8D-2643-0246-9F5B-85990F78372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511900</xdr:colOff>
      <xdr:row>26</xdr:row>
      <xdr:rowOff>10</xdr:rowOff>
    </xdr:from>
    <xdr:to>
      <xdr:col>45</xdr:col>
      <xdr:colOff>819475</xdr:colOff>
      <xdr:row>28</xdr:row>
      <xdr:rowOff>135869</xdr:rowOff>
    </xdr:to>
    <xdr:sp macro="" textlink="Location2ANALYSIS!$O$13">
      <xdr:nvSpPr>
        <xdr:cNvPr id="545" name="TextBox 544">
          <a:extLst>
            <a:ext uri="{FF2B5EF4-FFF2-40B4-BE49-F238E27FC236}">
              <a16:creationId xmlns:a16="http://schemas.microsoft.com/office/drawing/2014/main" id="{446D521B-EFE0-8949-8A34-4FF718C2089F}"/>
            </a:ext>
          </a:extLst>
        </xdr:cNvPr>
        <xdr:cNvSpPr txBox="1"/>
      </xdr:nvSpPr>
      <xdr:spPr>
        <a:xfrm>
          <a:off x="38318823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01D6C71-A93C-2B43-B24A-6A7487FB6CF0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320841</xdr:colOff>
      <xdr:row>26</xdr:row>
      <xdr:rowOff>10</xdr:rowOff>
    </xdr:from>
    <xdr:to>
      <xdr:col>46</xdr:col>
      <xdr:colOff>641116</xdr:colOff>
      <xdr:row>28</xdr:row>
      <xdr:rowOff>135869</xdr:rowOff>
    </xdr:to>
    <xdr:sp macro="" textlink="Location2ANALYSIS!$O$16">
      <xdr:nvSpPr>
        <xdr:cNvPr id="546" name="TextBox 545">
          <a:extLst>
            <a:ext uri="{FF2B5EF4-FFF2-40B4-BE49-F238E27FC236}">
              <a16:creationId xmlns:a16="http://schemas.microsoft.com/office/drawing/2014/main" id="{14C79686-0B12-A449-8613-739D6CB6BE6B}"/>
            </a:ext>
          </a:extLst>
        </xdr:cNvPr>
        <xdr:cNvSpPr txBox="1"/>
      </xdr:nvSpPr>
      <xdr:spPr>
        <a:xfrm>
          <a:off x="38967918" y="4357087"/>
          <a:ext cx="3202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F1E1D58-CA9C-A141-AE63-556F41C0F3D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427043</xdr:colOff>
      <xdr:row>21</xdr:row>
      <xdr:rowOff>31827</xdr:rowOff>
    </xdr:from>
    <xdr:to>
      <xdr:col>43</xdr:col>
      <xdr:colOff>734618</xdr:colOff>
      <xdr:row>24</xdr:row>
      <xdr:rowOff>1609</xdr:rowOff>
    </xdr:to>
    <xdr:sp macro="" textlink="Location2ANALYSIS!$O$5">
      <xdr:nvSpPr>
        <xdr:cNvPr id="547" name="TextBox 546">
          <a:extLst>
            <a:ext uri="{FF2B5EF4-FFF2-40B4-BE49-F238E27FC236}">
              <a16:creationId xmlns:a16="http://schemas.microsoft.com/office/drawing/2014/main" id="{AF69712A-5CBE-4A40-B466-C6B0C5A64CAD}"/>
            </a:ext>
          </a:extLst>
        </xdr:cNvPr>
        <xdr:cNvSpPr txBox="1"/>
      </xdr:nvSpPr>
      <xdr:spPr>
        <a:xfrm>
          <a:off x="36553658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8504FA2-9254-AC47-8ADB-D5BD1417F45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300323</xdr:colOff>
      <xdr:row>21</xdr:row>
      <xdr:rowOff>31827</xdr:rowOff>
    </xdr:from>
    <xdr:to>
      <xdr:col>44</xdr:col>
      <xdr:colOff>607898</xdr:colOff>
      <xdr:row>24</xdr:row>
      <xdr:rowOff>1609</xdr:rowOff>
    </xdr:to>
    <xdr:sp macro="" textlink="Location2ANALYSIS!$O$8">
      <xdr:nvSpPr>
        <xdr:cNvPr id="548" name="TextBox 547">
          <a:extLst>
            <a:ext uri="{FF2B5EF4-FFF2-40B4-BE49-F238E27FC236}">
              <a16:creationId xmlns:a16="http://schemas.microsoft.com/office/drawing/2014/main" id="{18AA4C88-FD7B-D243-8FAC-6691DA7E97E9}"/>
            </a:ext>
          </a:extLst>
        </xdr:cNvPr>
        <xdr:cNvSpPr txBox="1"/>
      </xdr:nvSpPr>
      <xdr:spPr>
        <a:xfrm>
          <a:off x="37267092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F0F7DD-D081-EE47-963C-EF8FAD5847F4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27066</xdr:colOff>
      <xdr:row>21</xdr:row>
      <xdr:rowOff>31827</xdr:rowOff>
    </xdr:from>
    <xdr:to>
      <xdr:col>45</xdr:col>
      <xdr:colOff>334641</xdr:colOff>
      <xdr:row>24</xdr:row>
      <xdr:rowOff>1609</xdr:rowOff>
    </xdr:to>
    <xdr:sp macro="" textlink="Location2ANALYSIS!$O$11">
      <xdr:nvSpPr>
        <xdr:cNvPr id="549" name="TextBox 548">
          <a:extLst>
            <a:ext uri="{FF2B5EF4-FFF2-40B4-BE49-F238E27FC236}">
              <a16:creationId xmlns:a16="http://schemas.microsoft.com/office/drawing/2014/main" id="{8DEFCA79-14E8-A042-9967-7FA38BCA1897}"/>
            </a:ext>
          </a:extLst>
        </xdr:cNvPr>
        <xdr:cNvSpPr txBox="1"/>
      </xdr:nvSpPr>
      <xdr:spPr>
        <a:xfrm>
          <a:off x="37833989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F68536-072C-3E44-80F6-5B5D9D3114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486502</xdr:colOff>
      <xdr:row>21</xdr:row>
      <xdr:rowOff>31827</xdr:rowOff>
    </xdr:from>
    <xdr:to>
      <xdr:col>45</xdr:col>
      <xdr:colOff>794077</xdr:colOff>
      <xdr:row>24</xdr:row>
      <xdr:rowOff>1609</xdr:rowOff>
    </xdr:to>
    <xdr:sp macro="" textlink="Location2ANALYSIS!$O$14">
      <xdr:nvSpPr>
        <xdr:cNvPr id="550" name="TextBox 549">
          <a:extLst>
            <a:ext uri="{FF2B5EF4-FFF2-40B4-BE49-F238E27FC236}">
              <a16:creationId xmlns:a16="http://schemas.microsoft.com/office/drawing/2014/main" id="{C79DDDAA-C586-6B42-9585-0CA56F5B54CB}"/>
            </a:ext>
          </a:extLst>
        </xdr:cNvPr>
        <xdr:cNvSpPr txBox="1"/>
      </xdr:nvSpPr>
      <xdr:spPr>
        <a:xfrm>
          <a:off x="38293425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2207F6C-DD6C-3C4B-958B-DB392289C96A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222730</xdr:colOff>
      <xdr:row>21</xdr:row>
      <xdr:rowOff>31827</xdr:rowOff>
    </xdr:from>
    <xdr:to>
      <xdr:col>46</xdr:col>
      <xdr:colOff>555705</xdr:colOff>
      <xdr:row>24</xdr:row>
      <xdr:rowOff>1609</xdr:rowOff>
    </xdr:to>
    <xdr:sp macro="" textlink="Location2ANALYSIS!$O$17">
      <xdr:nvSpPr>
        <xdr:cNvPr id="551" name="TextBox 550">
          <a:extLst>
            <a:ext uri="{FF2B5EF4-FFF2-40B4-BE49-F238E27FC236}">
              <a16:creationId xmlns:a16="http://schemas.microsoft.com/office/drawing/2014/main" id="{F75EC24B-C117-1041-8F36-EC762BAD4496}"/>
            </a:ext>
          </a:extLst>
        </xdr:cNvPr>
        <xdr:cNvSpPr txBox="1"/>
      </xdr:nvSpPr>
      <xdr:spPr>
        <a:xfrm>
          <a:off x="38869807" y="3558519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1CBA59B-676B-BB47-9902-BAB9688C55A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263769</xdr:colOff>
      <xdr:row>25</xdr:row>
      <xdr:rowOff>39076</xdr:rowOff>
    </xdr:from>
    <xdr:to>
      <xdr:col>5</xdr:col>
      <xdr:colOff>803980</xdr:colOff>
      <xdr:row>27</xdr:row>
      <xdr:rowOff>106804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247569-68A8-364A-993D-A15D9E8C4FAA}"/>
            </a:ext>
          </a:extLst>
        </xdr:cNvPr>
        <xdr:cNvSpPr txBox="1"/>
      </xdr:nvSpPr>
      <xdr:spPr>
        <a:xfrm>
          <a:off x="1103923" y="4230076"/>
          <a:ext cx="3900826" cy="3998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33</xdr:col>
      <xdr:colOff>312139</xdr:colOff>
      <xdr:row>15</xdr:row>
      <xdr:rowOff>65401</xdr:rowOff>
    </xdr:from>
    <xdr:to>
      <xdr:col>34</xdr:col>
      <xdr:colOff>63697</xdr:colOff>
      <xdr:row>18</xdr:row>
      <xdr:rowOff>23176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4A252A1-6393-AB44-9271-4DC352815970}"/>
            </a:ext>
          </a:extLst>
        </xdr:cNvPr>
        <xdr:cNvGrpSpPr/>
      </xdr:nvGrpSpPr>
      <xdr:grpSpPr>
        <a:xfrm>
          <a:off x="27902889" y="2626568"/>
          <a:ext cx="587641" cy="486941"/>
          <a:chOff x="28412355" y="2804694"/>
          <a:chExt cx="591712" cy="485314"/>
        </a:xfrm>
      </xdr:grpSpPr>
      <xdr:sp macro="" textlink="Location1ANALYSIS!J20">
        <xdr:nvSpPr>
          <xdr:cNvPr id="560" name="TextBox 559">
            <a:extLst>
              <a:ext uri="{FF2B5EF4-FFF2-40B4-BE49-F238E27FC236}">
                <a16:creationId xmlns:a16="http://schemas.microsoft.com/office/drawing/2014/main" id="{AA0F8373-829F-0B44-B5DD-7A087B1A1300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411BCA-2842-A54E-BE35-F398A5EE4B3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0">
        <xdr:nvSpPr>
          <xdr:cNvPr id="561" name="TextBox 560">
            <a:extLst>
              <a:ext uri="{FF2B5EF4-FFF2-40B4-BE49-F238E27FC236}">
                <a16:creationId xmlns:a16="http://schemas.microsoft.com/office/drawing/2014/main" id="{AF552860-481D-324F-9FD0-A55DE9BF8F00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7ECB93-112A-204E-8980-D657573992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62" name="TextBox 561">
            <a:extLst>
              <a:ext uri="{FF2B5EF4-FFF2-40B4-BE49-F238E27FC236}">
                <a16:creationId xmlns:a16="http://schemas.microsoft.com/office/drawing/2014/main" id="{68EB5253-2045-B845-B5DA-F9BC088D3E4E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143193</xdr:colOff>
      <xdr:row>10</xdr:row>
      <xdr:rowOff>154869</xdr:rowOff>
    </xdr:from>
    <xdr:to>
      <xdr:col>33</xdr:col>
      <xdr:colOff>725136</xdr:colOff>
      <xdr:row>13</xdr:row>
      <xdr:rowOff>112645</xdr:rowOff>
    </xdr:to>
    <xdr:grpSp>
      <xdr:nvGrpSpPr>
        <xdr:cNvPr id="563" name="Group 562">
          <a:extLst>
            <a:ext uri="{FF2B5EF4-FFF2-40B4-BE49-F238E27FC236}">
              <a16:creationId xmlns:a16="http://schemas.microsoft.com/office/drawing/2014/main" id="{655022B0-54DE-0746-9133-F2BF01466BCA}"/>
            </a:ext>
          </a:extLst>
        </xdr:cNvPr>
        <xdr:cNvGrpSpPr/>
      </xdr:nvGrpSpPr>
      <xdr:grpSpPr>
        <a:xfrm>
          <a:off x="27733943" y="1848202"/>
          <a:ext cx="581943" cy="465776"/>
          <a:chOff x="28438794" y="1682778"/>
          <a:chExt cx="581943" cy="485314"/>
        </a:xfrm>
      </xdr:grpSpPr>
      <xdr:sp macro="" textlink="#REF!">
        <xdr:nvSpPr>
          <xdr:cNvPr id="564" name="TextBox 563">
            <a:extLst>
              <a:ext uri="{FF2B5EF4-FFF2-40B4-BE49-F238E27FC236}">
                <a16:creationId xmlns:a16="http://schemas.microsoft.com/office/drawing/2014/main" id="{1A2358FC-DB14-C245-A237-57D9E0A1F13B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21">
        <xdr:nvSpPr>
          <xdr:cNvPr id="565" name="TextBox 564">
            <a:extLst>
              <a:ext uri="{FF2B5EF4-FFF2-40B4-BE49-F238E27FC236}">
                <a16:creationId xmlns:a16="http://schemas.microsoft.com/office/drawing/2014/main" id="{0EDB7D66-418E-1346-82B4-0FA54C6EC039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16E2647-76EE-EA4D-9856-902A26A6389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1">
        <xdr:nvSpPr>
          <xdr:cNvPr id="566" name="TextBox 565">
            <a:extLst>
              <a:ext uri="{FF2B5EF4-FFF2-40B4-BE49-F238E27FC236}">
                <a16:creationId xmlns:a16="http://schemas.microsoft.com/office/drawing/2014/main" id="{F9CD48F2-2BEB-3141-80FD-86E4D0D322C7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9B090A6-5A7A-E741-9965-8AF030588E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524186</xdr:colOff>
      <xdr:row>20</xdr:row>
      <xdr:rowOff>120615</xdr:rowOff>
    </xdr:from>
    <xdr:to>
      <xdr:col>34</xdr:col>
      <xdr:colOff>298738</xdr:colOff>
      <xdr:row>23</xdr:row>
      <xdr:rowOff>105282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014F1CAC-B21E-CC40-8EE8-E644CD4343A7}"/>
            </a:ext>
          </a:extLst>
        </xdr:cNvPr>
        <xdr:cNvGrpSpPr/>
      </xdr:nvGrpSpPr>
      <xdr:grpSpPr>
        <a:xfrm>
          <a:off x="28114936" y="3549615"/>
          <a:ext cx="610635" cy="492667"/>
          <a:chOff x="28448558" y="3846601"/>
          <a:chExt cx="614706" cy="482898"/>
        </a:xfrm>
      </xdr:grpSpPr>
      <xdr:sp macro="" textlink="Location1ANALYSIS!J19">
        <xdr:nvSpPr>
          <xdr:cNvPr id="568" name="TextBox 567">
            <a:extLst>
              <a:ext uri="{FF2B5EF4-FFF2-40B4-BE49-F238E27FC236}">
                <a16:creationId xmlns:a16="http://schemas.microsoft.com/office/drawing/2014/main" id="{73D416AD-748B-C642-A2E0-08182E71EE7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7ADA16-EF00-5444-8BF0-5C54A82285E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569" name="TextBox 568">
            <a:extLst>
              <a:ext uri="{FF2B5EF4-FFF2-40B4-BE49-F238E27FC236}">
                <a16:creationId xmlns:a16="http://schemas.microsoft.com/office/drawing/2014/main" id="{976DF9D9-6CD2-174C-93F1-5AE89BB97B7B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F0EEF23-3C32-5949-A7BD-736606B31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70" name="TextBox 569">
            <a:extLst>
              <a:ext uri="{FF2B5EF4-FFF2-40B4-BE49-F238E27FC236}">
                <a16:creationId xmlns:a16="http://schemas.microsoft.com/office/drawing/2014/main" id="{177A7471-C24B-8445-8D8C-00488A0DB3CB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99391</xdr:colOff>
      <xdr:row>8</xdr:row>
      <xdr:rowOff>141574</xdr:rowOff>
    </xdr:from>
    <xdr:to>
      <xdr:col>19</xdr:col>
      <xdr:colOff>648991</xdr:colOff>
      <xdr:row>11</xdr:row>
      <xdr:rowOff>99417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87046CBE-5801-944D-B55D-2A371EB816F4}"/>
            </a:ext>
          </a:extLst>
        </xdr:cNvPr>
        <xdr:cNvGrpSpPr/>
      </xdr:nvGrpSpPr>
      <xdr:grpSpPr>
        <a:xfrm>
          <a:off x="15984974" y="1496241"/>
          <a:ext cx="549600" cy="465843"/>
          <a:chOff x="16740299" y="1298251"/>
          <a:chExt cx="549600" cy="485382"/>
        </a:xfrm>
      </xdr:grpSpPr>
      <xdr:sp macro="" textlink="Location1ANALYSIS!D21">
        <xdr:nvSpPr>
          <xdr:cNvPr id="584" name="TextBox 583">
            <a:extLst>
              <a:ext uri="{FF2B5EF4-FFF2-40B4-BE49-F238E27FC236}">
                <a16:creationId xmlns:a16="http://schemas.microsoft.com/office/drawing/2014/main" id="{EAB53E33-BC05-0441-AB09-7909F965EBE1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53244F2-12C2-E14D-9358-103F08E4BED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1">
        <xdr:nvSpPr>
          <xdr:cNvPr id="585" name="TextBox 584">
            <a:extLst>
              <a:ext uri="{FF2B5EF4-FFF2-40B4-BE49-F238E27FC236}">
                <a16:creationId xmlns:a16="http://schemas.microsoft.com/office/drawing/2014/main" id="{FFB6EBCD-3C1F-1D4F-BBAD-2CCCB66833D2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67EDAD-CECB-AC47-B3F1-5215296C43E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86" name="TextBox 585">
            <a:extLst>
              <a:ext uri="{FF2B5EF4-FFF2-40B4-BE49-F238E27FC236}">
                <a16:creationId xmlns:a16="http://schemas.microsoft.com/office/drawing/2014/main" id="{3D81508D-FD25-3240-9050-7F3FDF8AEE8D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274664</xdr:colOff>
      <xdr:row>13</xdr:row>
      <xdr:rowOff>101046</xdr:rowOff>
    </xdr:from>
    <xdr:to>
      <xdr:col>19</xdr:col>
      <xdr:colOff>836331</xdr:colOff>
      <xdr:row>16</xdr:row>
      <xdr:rowOff>58889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A421536F-84E4-BA4F-AC27-5BA71F3915DF}"/>
            </a:ext>
          </a:extLst>
        </xdr:cNvPr>
        <xdr:cNvGrpSpPr/>
      </xdr:nvGrpSpPr>
      <xdr:grpSpPr>
        <a:xfrm>
          <a:off x="16160247" y="2302379"/>
          <a:ext cx="561667" cy="497593"/>
          <a:chOff x="16729956" y="2381185"/>
          <a:chExt cx="561667" cy="485382"/>
        </a:xfrm>
      </xdr:grpSpPr>
      <xdr:sp macro="" textlink="Location1ANALYSIS!D20">
        <xdr:nvSpPr>
          <xdr:cNvPr id="588" name="TextBox 587">
            <a:extLst>
              <a:ext uri="{FF2B5EF4-FFF2-40B4-BE49-F238E27FC236}">
                <a16:creationId xmlns:a16="http://schemas.microsoft.com/office/drawing/2014/main" id="{D7592C53-7873-3B46-A6F4-E81A5AFBF39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10A64F2-CA72-274E-843C-810A6A85E6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0">
        <xdr:nvSpPr>
          <xdr:cNvPr id="589" name="TextBox 588">
            <a:extLst>
              <a:ext uri="{FF2B5EF4-FFF2-40B4-BE49-F238E27FC236}">
                <a16:creationId xmlns:a16="http://schemas.microsoft.com/office/drawing/2014/main" id="{00EBF04A-1923-F546-87B2-AFDB0B86D838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D9B86-DF32-D04A-98D6-8AE4E5BD137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0" name="TextBox 589">
            <a:extLst>
              <a:ext uri="{FF2B5EF4-FFF2-40B4-BE49-F238E27FC236}">
                <a16:creationId xmlns:a16="http://schemas.microsoft.com/office/drawing/2014/main" id="{E98FC452-7337-9745-B353-21617B7ACB2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486713</xdr:colOff>
      <xdr:row>18</xdr:row>
      <xdr:rowOff>147562</xdr:rowOff>
    </xdr:from>
    <xdr:to>
      <xdr:col>20</xdr:col>
      <xdr:colOff>208225</xdr:colOff>
      <xdr:row>21</xdr:row>
      <xdr:rowOff>115175</xdr:rowOff>
    </xdr:to>
    <xdr:grpSp>
      <xdr:nvGrpSpPr>
        <xdr:cNvPr id="591" name="Group 590">
          <a:extLst>
            <a:ext uri="{FF2B5EF4-FFF2-40B4-BE49-F238E27FC236}">
              <a16:creationId xmlns:a16="http://schemas.microsoft.com/office/drawing/2014/main" id="{FA5B16C3-E582-0342-9EDF-91EF13B64B12}"/>
            </a:ext>
          </a:extLst>
        </xdr:cNvPr>
        <xdr:cNvGrpSpPr/>
      </xdr:nvGrpSpPr>
      <xdr:grpSpPr>
        <a:xfrm>
          <a:off x="16372296" y="3237895"/>
          <a:ext cx="557596" cy="475613"/>
          <a:chOff x="16736851" y="3473009"/>
          <a:chExt cx="561666" cy="485382"/>
        </a:xfrm>
      </xdr:grpSpPr>
      <xdr:sp macro="" textlink="Location1ANALYSIS!D19">
        <xdr:nvSpPr>
          <xdr:cNvPr id="592" name="TextBox 591">
            <a:extLst>
              <a:ext uri="{FF2B5EF4-FFF2-40B4-BE49-F238E27FC236}">
                <a16:creationId xmlns:a16="http://schemas.microsoft.com/office/drawing/2014/main" id="{19EA0318-0885-7743-B88F-CE1B3B4485B9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AEC03D3-4023-C44A-B380-18FCC2C60E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9">
        <xdr:nvSpPr>
          <xdr:cNvPr id="593" name="TextBox 592">
            <a:extLst>
              <a:ext uri="{FF2B5EF4-FFF2-40B4-BE49-F238E27FC236}">
                <a16:creationId xmlns:a16="http://schemas.microsoft.com/office/drawing/2014/main" id="{E50AF97B-855D-564A-91E0-0B1B7080C101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342BBC4-91ED-2E49-A7C1-15E175E126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4" name="TextBox 593">
            <a:extLst>
              <a:ext uri="{FF2B5EF4-FFF2-40B4-BE49-F238E27FC236}">
                <a16:creationId xmlns:a16="http://schemas.microsoft.com/office/drawing/2014/main" id="{F32E3F2A-91DA-ED49-8BDB-20E1FFF56144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114996</xdr:colOff>
      <xdr:row>31</xdr:row>
      <xdr:rowOff>161928</xdr:rowOff>
    </xdr:from>
    <xdr:to>
      <xdr:col>15</xdr:col>
      <xdr:colOff>717467</xdr:colOff>
      <xdr:row>34</xdr:row>
      <xdr:rowOff>149079</xdr:rowOff>
    </xdr:to>
    <xdr:grpSp>
      <xdr:nvGrpSpPr>
        <xdr:cNvPr id="595" name="Group 594">
          <a:extLst>
            <a:ext uri="{FF2B5EF4-FFF2-40B4-BE49-F238E27FC236}">
              <a16:creationId xmlns:a16="http://schemas.microsoft.com/office/drawing/2014/main" id="{1FDEFDC9-ABAA-AD4F-B856-AB918A17B7F6}"/>
            </a:ext>
          </a:extLst>
        </xdr:cNvPr>
        <xdr:cNvGrpSpPr/>
      </xdr:nvGrpSpPr>
      <xdr:grpSpPr>
        <a:xfrm>
          <a:off x="12656246" y="5495928"/>
          <a:ext cx="602471" cy="526901"/>
          <a:chOff x="12301153" y="5353296"/>
          <a:chExt cx="602471" cy="485382"/>
        </a:xfrm>
      </xdr:grpSpPr>
      <xdr:sp macro="" textlink="Location2ANALYSIS!D6">
        <xdr:nvSpPr>
          <xdr:cNvPr id="596" name="TextBox 595">
            <a:extLst>
              <a:ext uri="{FF2B5EF4-FFF2-40B4-BE49-F238E27FC236}">
                <a16:creationId xmlns:a16="http://schemas.microsoft.com/office/drawing/2014/main" id="{3389A11F-DD67-2143-82B6-C44AD5066AE0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F2AFE4-588C-1B40-B47C-D117F5ECFEF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597" name="TextBox 596">
            <a:extLst>
              <a:ext uri="{FF2B5EF4-FFF2-40B4-BE49-F238E27FC236}">
                <a16:creationId xmlns:a16="http://schemas.microsoft.com/office/drawing/2014/main" id="{819A064E-E3D0-9046-ABB0-169AC292C819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0652551-367A-A04E-8F4A-8E52A5C26F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598" name="TextBox 597">
            <a:extLst>
              <a:ext uri="{FF2B5EF4-FFF2-40B4-BE49-F238E27FC236}">
                <a16:creationId xmlns:a16="http://schemas.microsoft.com/office/drawing/2014/main" id="{72AE1EA4-BCD2-084F-A499-9C027C19D997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14</xdr:col>
      <xdr:colOff>749996</xdr:colOff>
      <xdr:row>36</xdr:row>
      <xdr:rowOff>131168</xdr:rowOff>
    </xdr:from>
    <xdr:to>
      <xdr:col>15</xdr:col>
      <xdr:colOff>501971</xdr:colOff>
      <xdr:row>39</xdr:row>
      <xdr:rowOff>118319</xdr:rowOff>
    </xdr:to>
    <xdr:grpSp>
      <xdr:nvGrpSpPr>
        <xdr:cNvPr id="599" name="Group 598">
          <a:extLst>
            <a:ext uri="{FF2B5EF4-FFF2-40B4-BE49-F238E27FC236}">
              <a16:creationId xmlns:a16="http://schemas.microsoft.com/office/drawing/2014/main" id="{38A82AAA-9A6B-8D48-9888-F01595126BC4}"/>
            </a:ext>
          </a:extLst>
        </xdr:cNvPr>
        <xdr:cNvGrpSpPr/>
      </xdr:nvGrpSpPr>
      <xdr:grpSpPr>
        <a:xfrm>
          <a:off x="12455163" y="6364751"/>
          <a:ext cx="588058" cy="526901"/>
          <a:chOff x="12301153" y="6436230"/>
          <a:chExt cx="592129" cy="485382"/>
        </a:xfrm>
      </xdr:grpSpPr>
      <xdr:sp macro="" textlink="Location2ANALYSIS!D5">
        <xdr:nvSpPr>
          <xdr:cNvPr id="600" name="TextBox 599">
            <a:extLst>
              <a:ext uri="{FF2B5EF4-FFF2-40B4-BE49-F238E27FC236}">
                <a16:creationId xmlns:a16="http://schemas.microsoft.com/office/drawing/2014/main" id="{8F2007ED-BBAA-104D-971C-622A8A48881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723B0-6111-3349-8B52-919A869BCE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601" name="TextBox 600">
            <a:extLst>
              <a:ext uri="{FF2B5EF4-FFF2-40B4-BE49-F238E27FC236}">
                <a16:creationId xmlns:a16="http://schemas.microsoft.com/office/drawing/2014/main" id="{D5DB7CB9-CBED-3F45-986D-7CB4ADA9D5BE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362AB9-2261-D244-AB2B-E24637FBA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2" name="TextBox 601">
            <a:extLst>
              <a:ext uri="{FF2B5EF4-FFF2-40B4-BE49-F238E27FC236}">
                <a16:creationId xmlns:a16="http://schemas.microsoft.com/office/drawing/2014/main" id="{16F80926-C044-1442-B9CF-5ADB30D236D2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535069</xdr:colOff>
      <xdr:row>42</xdr:row>
      <xdr:rowOff>1838</xdr:rowOff>
    </xdr:from>
    <xdr:to>
      <xdr:col>15</xdr:col>
      <xdr:colOff>293938</xdr:colOff>
      <xdr:row>44</xdr:row>
      <xdr:rowOff>164837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0FD6BACA-AEE6-4A48-ACB9-E60906E2C5E0}"/>
            </a:ext>
          </a:extLst>
        </xdr:cNvPr>
        <xdr:cNvGrpSpPr/>
      </xdr:nvGrpSpPr>
      <xdr:grpSpPr>
        <a:xfrm>
          <a:off x="12240236" y="7304338"/>
          <a:ext cx="594952" cy="522832"/>
          <a:chOff x="12301153" y="7528054"/>
          <a:chExt cx="599023" cy="485383"/>
        </a:xfrm>
      </xdr:grpSpPr>
      <xdr:sp macro="" textlink="Location2ANALYSIS!D4">
        <xdr:nvSpPr>
          <xdr:cNvPr id="604" name="TextBox 603">
            <a:extLst>
              <a:ext uri="{FF2B5EF4-FFF2-40B4-BE49-F238E27FC236}">
                <a16:creationId xmlns:a16="http://schemas.microsoft.com/office/drawing/2014/main" id="{65331E32-AED3-DD46-8C2C-4CB6E3B61453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605" name="TextBox 604">
            <a:extLst>
              <a:ext uri="{FF2B5EF4-FFF2-40B4-BE49-F238E27FC236}">
                <a16:creationId xmlns:a16="http://schemas.microsoft.com/office/drawing/2014/main" id="{9936262D-416D-1341-A7B6-792E82246282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6" name="TextBox 605">
            <a:extLst>
              <a:ext uri="{FF2B5EF4-FFF2-40B4-BE49-F238E27FC236}">
                <a16:creationId xmlns:a16="http://schemas.microsoft.com/office/drawing/2014/main" id="{A37D571A-BFC9-5247-A29C-F0AC7FE9D096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798286</xdr:colOff>
      <xdr:row>10</xdr:row>
      <xdr:rowOff>108857</xdr:rowOff>
    </xdr:from>
    <xdr:to>
      <xdr:col>13</xdr:col>
      <xdr:colOff>786674</xdr:colOff>
      <xdr:row>12</xdr:row>
      <xdr:rowOff>56605</xdr:rowOff>
    </xdr:to>
    <xdr:sp macro="" textlink="MatchANALYSIS!C3">
      <xdr:nvSpPr>
        <xdr:cNvPr id="530" name="Rectangle 529">
          <a:extLst>
            <a:ext uri="{FF2B5EF4-FFF2-40B4-BE49-F238E27FC236}">
              <a16:creationId xmlns:a16="http://schemas.microsoft.com/office/drawing/2014/main" id="{CA88F564-7A5D-B745-BC4F-50C17B511593}"/>
            </a:ext>
          </a:extLst>
        </xdr:cNvPr>
        <xdr:cNvSpPr>
          <a:spLocks noChangeAspect="1"/>
        </xdr:cNvSpPr>
      </xdr:nvSpPr>
      <xdr:spPr>
        <a:xfrm>
          <a:off x="10813143" y="1741714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BF186-72DB-1845-94AF-BC6EF312529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12</xdr:row>
      <xdr:rowOff>134256</xdr:rowOff>
    </xdr:from>
    <xdr:to>
      <xdr:col>13</xdr:col>
      <xdr:colOff>786674</xdr:colOff>
      <xdr:row>14</xdr:row>
      <xdr:rowOff>82005</xdr:rowOff>
    </xdr:to>
    <xdr:sp macro="" textlink="MatchANALYSIS!$C12">
      <xdr:nvSpPr>
        <xdr:cNvPr id="552" name="Rectangle 551">
          <a:extLst>
            <a:ext uri="{FF2B5EF4-FFF2-40B4-BE49-F238E27FC236}">
              <a16:creationId xmlns:a16="http://schemas.microsoft.com/office/drawing/2014/main" id="{352D5347-91AC-404E-B91E-6BCA55278EE8}"/>
            </a:ext>
          </a:extLst>
        </xdr:cNvPr>
        <xdr:cNvSpPr>
          <a:spLocks noChangeAspect="1"/>
        </xdr:cNvSpPr>
      </xdr:nvSpPr>
      <xdr:spPr>
        <a:xfrm>
          <a:off x="10813143" y="2093685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14</xdr:row>
      <xdr:rowOff>159657</xdr:rowOff>
    </xdr:from>
    <xdr:to>
      <xdr:col>13</xdr:col>
      <xdr:colOff>786674</xdr:colOff>
      <xdr:row>16</xdr:row>
      <xdr:rowOff>107406</xdr:rowOff>
    </xdr:to>
    <xdr:sp macro="" textlink="MatchANALYSIS!$C13">
      <xdr:nvSpPr>
        <xdr:cNvPr id="554" name="Rectangle 553">
          <a:extLst>
            <a:ext uri="{FF2B5EF4-FFF2-40B4-BE49-F238E27FC236}">
              <a16:creationId xmlns:a16="http://schemas.microsoft.com/office/drawing/2014/main" id="{FC01D65D-BD37-AA4C-8BEB-8CF0FB935813}"/>
            </a:ext>
          </a:extLst>
        </xdr:cNvPr>
        <xdr:cNvSpPr>
          <a:spLocks noChangeAspect="1"/>
        </xdr:cNvSpPr>
      </xdr:nvSpPr>
      <xdr:spPr>
        <a:xfrm>
          <a:off x="10813143" y="2463800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17</xdr:row>
      <xdr:rowOff>10887</xdr:rowOff>
    </xdr:from>
    <xdr:to>
      <xdr:col>13</xdr:col>
      <xdr:colOff>786674</xdr:colOff>
      <xdr:row>18</xdr:row>
      <xdr:rowOff>121921</xdr:rowOff>
    </xdr:to>
    <xdr:sp macro="" textlink="MatchANALYSIS!$C14">
      <xdr:nvSpPr>
        <xdr:cNvPr id="607" name="Rectangle 606">
          <a:extLst>
            <a:ext uri="{FF2B5EF4-FFF2-40B4-BE49-F238E27FC236}">
              <a16:creationId xmlns:a16="http://schemas.microsoft.com/office/drawing/2014/main" id="{59AB6662-47AC-4740-86A5-71981313C7B0}"/>
            </a:ext>
          </a:extLst>
        </xdr:cNvPr>
        <xdr:cNvSpPr>
          <a:spLocks noChangeAspect="1"/>
        </xdr:cNvSpPr>
      </xdr:nvSpPr>
      <xdr:spPr>
        <a:xfrm>
          <a:off x="10813143" y="2859316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19</xdr:row>
      <xdr:rowOff>29029</xdr:rowOff>
    </xdr:from>
    <xdr:to>
      <xdr:col>13</xdr:col>
      <xdr:colOff>786674</xdr:colOff>
      <xdr:row>20</xdr:row>
      <xdr:rowOff>140064</xdr:rowOff>
    </xdr:to>
    <xdr:sp macro="" textlink="MatchANALYSIS!$C15">
      <xdr:nvSpPr>
        <xdr:cNvPr id="608" name="Rectangle 607">
          <a:extLst>
            <a:ext uri="{FF2B5EF4-FFF2-40B4-BE49-F238E27FC236}">
              <a16:creationId xmlns:a16="http://schemas.microsoft.com/office/drawing/2014/main" id="{A1B5BA88-76DB-B640-B988-3EA19CD145F6}"/>
            </a:ext>
          </a:extLst>
        </xdr:cNvPr>
        <xdr:cNvSpPr>
          <a:spLocks noChangeAspect="1"/>
        </xdr:cNvSpPr>
      </xdr:nvSpPr>
      <xdr:spPr>
        <a:xfrm>
          <a:off x="10813143" y="3204029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51%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21</xdr:col>
      <xdr:colOff>707704</xdr:colOff>
      <xdr:row>11</xdr:row>
      <xdr:rowOff>28246</xdr:rowOff>
    </xdr:from>
    <xdr:to>
      <xdr:col>22</xdr:col>
      <xdr:colOff>495582</xdr:colOff>
      <xdr:row>15</xdr:row>
      <xdr:rowOff>20361</xdr:rowOff>
    </xdr:to>
    <xdr:sp macro="" textlink="MatchANALYSIS!$H$16">
      <xdr:nvSpPr>
        <xdr:cNvPr id="609" name="TextBox 608">
          <a:extLst>
            <a:ext uri="{FF2B5EF4-FFF2-40B4-BE49-F238E27FC236}">
              <a16:creationId xmlns:a16="http://schemas.microsoft.com/office/drawing/2014/main" id="{BC7DF69E-D0A0-A242-A881-69B36FB28DCA}"/>
            </a:ext>
          </a:extLst>
        </xdr:cNvPr>
        <xdr:cNvSpPr txBox="1"/>
      </xdr:nvSpPr>
      <xdr:spPr>
        <a:xfrm>
          <a:off x="18191371" y="1890913"/>
          <a:ext cx="620433" cy="697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7B7B8DB3-DF41-8F4B-82B2-6E9F96C1C01E}" type="TxLink">
            <a:rPr lang="en-US" sz="4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32</a:t>
          </a:fld>
          <a:endParaRPr lang="en-US" sz="4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758718</xdr:colOff>
      <xdr:row>14</xdr:row>
      <xdr:rowOff>172619</xdr:rowOff>
    </xdr:from>
    <xdr:to>
      <xdr:col>22</xdr:col>
      <xdr:colOff>444568</xdr:colOff>
      <xdr:row>18</xdr:row>
      <xdr:rowOff>59333</xdr:rowOff>
    </xdr:to>
    <xdr:sp macro="" textlink="MatchANALYSIS!$H$17">
      <xdr:nvSpPr>
        <xdr:cNvPr id="610" name="TextBox 609">
          <a:extLst>
            <a:ext uri="{FF2B5EF4-FFF2-40B4-BE49-F238E27FC236}">
              <a16:creationId xmlns:a16="http://schemas.microsoft.com/office/drawing/2014/main" id="{A69D7A1B-10C4-2F46-AB2C-9D4598A1FADA}"/>
            </a:ext>
          </a:extLst>
        </xdr:cNvPr>
        <xdr:cNvSpPr txBox="1"/>
      </xdr:nvSpPr>
      <xdr:spPr>
        <a:xfrm>
          <a:off x="18242385" y="2557397"/>
          <a:ext cx="518405" cy="60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E781A9D-C49E-8B4C-962C-354D03C054C1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24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606779</xdr:colOff>
      <xdr:row>6</xdr:row>
      <xdr:rowOff>50937</xdr:rowOff>
    </xdr:from>
    <xdr:to>
      <xdr:col>22</xdr:col>
      <xdr:colOff>596508</xdr:colOff>
      <xdr:row>11</xdr:row>
      <xdr:rowOff>129341</xdr:rowOff>
    </xdr:to>
    <xdr:sp macro="" textlink="MatchANALYSIS!$H$15">
      <xdr:nvSpPr>
        <xdr:cNvPr id="611" name="TextBox 610">
          <a:extLst>
            <a:ext uri="{FF2B5EF4-FFF2-40B4-BE49-F238E27FC236}">
              <a16:creationId xmlns:a16="http://schemas.microsoft.com/office/drawing/2014/main" id="{18C8C911-E5DA-F24F-8B1B-C470E3A45D75}"/>
            </a:ext>
          </a:extLst>
        </xdr:cNvPr>
        <xdr:cNvSpPr txBox="1"/>
      </xdr:nvSpPr>
      <xdr:spPr>
        <a:xfrm>
          <a:off x="18090446" y="1066937"/>
          <a:ext cx="822284" cy="925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B0C6836-6562-C146-B026-943D22882075}" type="TxLink">
            <a:rPr lang="en-US" sz="5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40</a:t>
          </a:fld>
          <a:endParaRPr lang="en-US" sz="5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636015</xdr:colOff>
      <xdr:row>4</xdr:row>
      <xdr:rowOff>0</xdr:rowOff>
    </xdr:from>
    <xdr:to>
      <xdr:col>22</xdr:col>
      <xdr:colOff>621160</xdr:colOff>
      <xdr:row>5</xdr:row>
      <xdr:rowOff>120442</xdr:rowOff>
    </xdr:to>
    <xdr:sp macro="" textlink="MatchANALYSIS!D3">
      <xdr:nvSpPr>
        <xdr:cNvPr id="612" name="Rectangle 611">
          <a:extLst>
            <a:ext uri="{FF2B5EF4-FFF2-40B4-BE49-F238E27FC236}">
              <a16:creationId xmlns:a16="http://schemas.microsoft.com/office/drawing/2014/main" id="{94BCA142-95B5-904F-BC60-A78DEADDF782}"/>
            </a:ext>
          </a:extLst>
        </xdr:cNvPr>
        <xdr:cNvSpPr>
          <a:spLocks noChangeAspect="1"/>
        </xdr:cNvSpPr>
      </xdr:nvSpPr>
      <xdr:spPr>
        <a:xfrm>
          <a:off x="18119682" y="677333"/>
          <a:ext cx="817700" cy="28977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1994FA-FC0F-FA46-998A-FF7F88E0865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457091</xdr:colOff>
      <xdr:row>27</xdr:row>
      <xdr:rowOff>1214</xdr:rowOff>
    </xdr:from>
    <xdr:to>
      <xdr:col>23</xdr:col>
      <xdr:colOff>444263</xdr:colOff>
      <xdr:row>28</xdr:row>
      <xdr:rowOff>112166</xdr:rowOff>
    </xdr:to>
    <xdr:sp macro="" textlink="MatchANALYSIS!H16">
      <xdr:nvSpPr>
        <xdr:cNvPr id="625" name="Rectangle 624">
          <a:extLst>
            <a:ext uri="{FF2B5EF4-FFF2-40B4-BE49-F238E27FC236}">
              <a16:creationId xmlns:a16="http://schemas.microsoft.com/office/drawing/2014/main" id="{959F08B2-8E70-0B4A-9EE3-F2A79F3DF453}"/>
            </a:ext>
          </a:extLst>
        </xdr:cNvPr>
        <xdr:cNvSpPr>
          <a:spLocks noChangeAspect="1"/>
        </xdr:cNvSpPr>
      </xdr:nvSpPr>
      <xdr:spPr>
        <a:xfrm>
          <a:off x="18897491" y="4509714"/>
          <a:ext cx="825372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24</xdr:row>
      <xdr:rowOff>127001</xdr:rowOff>
    </xdr:from>
    <xdr:to>
      <xdr:col>23</xdr:col>
      <xdr:colOff>444263</xdr:colOff>
      <xdr:row>26</xdr:row>
      <xdr:rowOff>71876</xdr:rowOff>
    </xdr:to>
    <xdr:sp macro="" textlink="[1]Match!$C$1">
      <xdr:nvSpPr>
        <xdr:cNvPr id="626" name="Rectangle 625">
          <a:extLst>
            <a:ext uri="{FF2B5EF4-FFF2-40B4-BE49-F238E27FC236}">
              <a16:creationId xmlns:a16="http://schemas.microsoft.com/office/drawing/2014/main" id="{28D65450-0E98-BF47-8A9D-BF6BEF9B2F06}"/>
            </a:ext>
          </a:extLst>
        </xdr:cNvPr>
        <xdr:cNvSpPr>
          <a:spLocks noChangeAspect="1"/>
        </xdr:cNvSpPr>
      </xdr:nvSpPr>
      <xdr:spPr>
        <a:xfrm>
          <a:off x="18897491" y="4140201"/>
          <a:ext cx="825372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29</xdr:row>
      <xdr:rowOff>30864</xdr:rowOff>
    </xdr:from>
    <xdr:to>
      <xdr:col>23</xdr:col>
      <xdr:colOff>444263</xdr:colOff>
      <xdr:row>30</xdr:row>
      <xdr:rowOff>150684</xdr:rowOff>
    </xdr:to>
    <xdr:sp macro="" textlink="MatchANALYSIS!H18">
      <xdr:nvSpPr>
        <xdr:cNvPr id="627" name="Rectangle 626">
          <a:extLst>
            <a:ext uri="{FF2B5EF4-FFF2-40B4-BE49-F238E27FC236}">
              <a16:creationId xmlns:a16="http://schemas.microsoft.com/office/drawing/2014/main" id="{1E4EBA9A-4663-1F4A-A1EF-F67805E6D92A}"/>
            </a:ext>
          </a:extLst>
        </xdr:cNvPr>
        <xdr:cNvSpPr>
          <a:spLocks noChangeAspect="1"/>
        </xdr:cNvSpPr>
      </xdr:nvSpPr>
      <xdr:spPr>
        <a:xfrm>
          <a:off x="18897491" y="4894964"/>
          <a:ext cx="825372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31</xdr:row>
      <xdr:rowOff>60514</xdr:rowOff>
    </xdr:from>
    <xdr:to>
      <xdr:col>23</xdr:col>
      <xdr:colOff>444263</xdr:colOff>
      <xdr:row>33</xdr:row>
      <xdr:rowOff>14256</xdr:rowOff>
    </xdr:to>
    <xdr:sp macro="" textlink="MatchANALYSIS!H19">
      <xdr:nvSpPr>
        <xdr:cNvPr id="628" name="Rectangle 627">
          <a:extLst>
            <a:ext uri="{FF2B5EF4-FFF2-40B4-BE49-F238E27FC236}">
              <a16:creationId xmlns:a16="http://schemas.microsoft.com/office/drawing/2014/main" id="{3E5931C7-FC6E-4544-87D0-4C13B4A5540B}"/>
            </a:ext>
          </a:extLst>
        </xdr:cNvPr>
        <xdr:cNvSpPr>
          <a:spLocks noChangeAspect="1"/>
        </xdr:cNvSpPr>
      </xdr:nvSpPr>
      <xdr:spPr>
        <a:xfrm>
          <a:off x="18897491" y="5280214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33</xdr:row>
      <xdr:rowOff>90165</xdr:rowOff>
    </xdr:from>
    <xdr:to>
      <xdr:col>23</xdr:col>
      <xdr:colOff>444263</xdr:colOff>
      <xdr:row>35</xdr:row>
      <xdr:rowOff>43907</xdr:rowOff>
    </xdr:to>
    <xdr:sp macro="" textlink="MatchANALYSIS!H13">
      <xdr:nvSpPr>
        <xdr:cNvPr id="629" name="Rectangle 628">
          <a:extLst>
            <a:ext uri="{FF2B5EF4-FFF2-40B4-BE49-F238E27FC236}">
              <a16:creationId xmlns:a16="http://schemas.microsoft.com/office/drawing/2014/main" id="{2DC73774-CE87-934F-8B80-92A77769170D}"/>
            </a:ext>
          </a:extLst>
        </xdr:cNvPr>
        <xdr:cNvSpPr>
          <a:spLocks noChangeAspect="1"/>
        </xdr:cNvSpPr>
      </xdr:nvSpPr>
      <xdr:spPr>
        <a:xfrm>
          <a:off x="18897491" y="5665465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468944</xdr:colOff>
      <xdr:row>35</xdr:row>
      <xdr:rowOff>102080</xdr:rowOff>
    </xdr:from>
    <xdr:to>
      <xdr:col>23</xdr:col>
      <xdr:colOff>444263</xdr:colOff>
      <xdr:row>37</xdr:row>
      <xdr:rowOff>55821</xdr:rowOff>
    </xdr:to>
    <xdr:sp macro="" textlink="MatchANALYSIS!H14">
      <xdr:nvSpPr>
        <xdr:cNvPr id="630" name="Rectangle 629">
          <a:extLst>
            <a:ext uri="{FF2B5EF4-FFF2-40B4-BE49-F238E27FC236}">
              <a16:creationId xmlns:a16="http://schemas.microsoft.com/office/drawing/2014/main" id="{FFC1E8ED-EC8A-3E45-B3AC-99562E2A557F}"/>
            </a:ext>
          </a:extLst>
        </xdr:cNvPr>
        <xdr:cNvSpPr>
          <a:spLocks noChangeAspect="1"/>
        </xdr:cNvSpPr>
      </xdr:nvSpPr>
      <xdr:spPr>
        <a:xfrm>
          <a:off x="18909344" y="6032980"/>
          <a:ext cx="813519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37</xdr:row>
      <xdr:rowOff>158333</xdr:rowOff>
    </xdr:from>
    <xdr:to>
      <xdr:col>23</xdr:col>
      <xdr:colOff>444263</xdr:colOff>
      <xdr:row>39</xdr:row>
      <xdr:rowOff>103207</xdr:rowOff>
    </xdr:to>
    <xdr:sp macro="" textlink="MatchANALYSIS!H9">
      <xdr:nvSpPr>
        <xdr:cNvPr id="631" name="Rectangle 630">
          <a:extLst>
            <a:ext uri="{FF2B5EF4-FFF2-40B4-BE49-F238E27FC236}">
              <a16:creationId xmlns:a16="http://schemas.microsoft.com/office/drawing/2014/main" id="{EE042BEA-09B4-B145-B978-EA75673F8AC0}"/>
            </a:ext>
          </a:extLst>
        </xdr:cNvPr>
        <xdr:cNvSpPr>
          <a:spLocks noChangeAspect="1"/>
        </xdr:cNvSpPr>
      </xdr:nvSpPr>
      <xdr:spPr>
        <a:xfrm>
          <a:off x="18897491" y="6444833"/>
          <a:ext cx="825372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40</xdr:row>
      <xdr:rowOff>21906</xdr:rowOff>
    </xdr:from>
    <xdr:to>
      <xdr:col>23</xdr:col>
      <xdr:colOff>444263</xdr:colOff>
      <xdr:row>41</xdr:row>
      <xdr:rowOff>132857</xdr:rowOff>
    </xdr:to>
    <xdr:sp macro="" textlink="MatchANALYSIS!H4">
      <xdr:nvSpPr>
        <xdr:cNvPr id="632" name="Rectangle 631">
          <a:extLst>
            <a:ext uri="{FF2B5EF4-FFF2-40B4-BE49-F238E27FC236}">
              <a16:creationId xmlns:a16="http://schemas.microsoft.com/office/drawing/2014/main" id="{ED8C5CB8-C494-8446-A66D-D83032E21C6D}"/>
            </a:ext>
          </a:extLst>
        </xdr:cNvPr>
        <xdr:cNvSpPr>
          <a:spLocks noChangeAspect="1"/>
        </xdr:cNvSpPr>
      </xdr:nvSpPr>
      <xdr:spPr>
        <a:xfrm>
          <a:off x="18897491" y="6829106"/>
          <a:ext cx="825372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42</xdr:row>
      <xdr:rowOff>71094</xdr:rowOff>
    </xdr:from>
    <xdr:to>
      <xdr:col>23</xdr:col>
      <xdr:colOff>434494</xdr:colOff>
      <xdr:row>44</xdr:row>
      <xdr:rowOff>15969</xdr:rowOff>
    </xdr:to>
    <xdr:sp macro="" textlink="MatchANALYSIS!H5">
      <xdr:nvSpPr>
        <xdr:cNvPr id="633" name="Rectangle 632">
          <a:extLst>
            <a:ext uri="{FF2B5EF4-FFF2-40B4-BE49-F238E27FC236}">
              <a16:creationId xmlns:a16="http://schemas.microsoft.com/office/drawing/2014/main" id="{65F238C3-2927-054B-9076-DB0E6BE60719}"/>
            </a:ext>
          </a:extLst>
        </xdr:cNvPr>
        <xdr:cNvSpPr>
          <a:spLocks noChangeAspect="1"/>
        </xdr:cNvSpPr>
      </xdr:nvSpPr>
      <xdr:spPr>
        <a:xfrm>
          <a:off x="18887722" y="7233894"/>
          <a:ext cx="825372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44</xdr:row>
      <xdr:rowOff>100743</xdr:rowOff>
    </xdr:from>
    <xdr:to>
      <xdr:col>23</xdr:col>
      <xdr:colOff>434494</xdr:colOff>
      <xdr:row>46</xdr:row>
      <xdr:rowOff>54485</xdr:rowOff>
    </xdr:to>
    <xdr:sp macro="" textlink="MatchANALYSIS!H6">
      <xdr:nvSpPr>
        <xdr:cNvPr id="634" name="Rectangle 633">
          <a:extLst>
            <a:ext uri="{FF2B5EF4-FFF2-40B4-BE49-F238E27FC236}">
              <a16:creationId xmlns:a16="http://schemas.microsoft.com/office/drawing/2014/main" id="{EA9E07AE-F58C-234A-BC77-FCC52D02AA00}"/>
            </a:ext>
          </a:extLst>
        </xdr:cNvPr>
        <xdr:cNvSpPr>
          <a:spLocks noChangeAspect="1"/>
        </xdr:cNvSpPr>
      </xdr:nvSpPr>
      <xdr:spPr>
        <a:xfrm>
          <a:off x="18887722" y="7619143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459175</xdr:colOff>
      <xdr:row>46</xdr:row>
      <xdr:rowOff>112657</xdr:rowOff>
    </xdr:from>
    <xdr:to>
      <xdr:col>23</xdr:col>
      <xdr:colOff>434494</xdr:colOff>
      <xdr:row>48</xdr:row>
      <xdr:rowOff>66399</xdr:rowOff>
    </xdr:to>
    <xdr:sp macro="" textlink="MatchANALYSIS!H7">
      <xdr:nvSpPr>
        <xdr:cNvPr id="635" name="Rectangle 634">
          <a:extLst>
            <a:ext uri="{FF2B5EF4-FFF2-40B4-BE49-F238E27FC236}">
              <a16:creationId xmlns:a16="http://schemas.microsoft.com/office/drawing/2014/main" id="{B8A3F6E1-B8BC-9D4E-9561-C29D75900223}"/>
            </a:ext>
          </a:extLst>
        </xdr:cNvPr>
        <xdr:cNvSpPr>
          <a:spLocks noChangeAspect="1"/>
        </xdr:cNvSpPr>
      </xdr:nvSpPr>
      <xdr:spPr>
        <a:xfrm>
          <a:off x="18899575" y="7986657"/>
          <a:ext cx="813519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48</xdr:row>
      <xdr:rowOff>142307</xdr:rowOff>
    </xdr:from>
    <xdr:to>
      <xdr:col>23</xdr:col>
      <xdr:colOff>434494</xdr:colOff>
      <xdr:row>50</xdr:row>
      <xdr:rowOff>96049</xdr:rowOff>
    </xdr:to>
    <xdr:sp macro="" textlink="MatchANALYSIS!H8">
      <xdr:nvSpPr>
        <xdr:cNvPr id="636" name="Rectangle 635">
          <a:extLst>
            <a:ext uri="{FF2B5EF4-FFF2-40B4-BE49-F238E27FC236}">
              <a16:creationId xmlns:a16="http://schemas.microsoft.com/office/drawing/2014/main" id="{2939C440-6E46-8640-B21B-5420712E9085}"/>
            </a:ext>
          </a:extLst>
        </xdr:cNvPr>
        <xdr:cNvSpPr>
          <a:spLocks noChangeAspect="1"/>
        </xdr:cNvSpPr>
      </xdr:nvSpPr>
      <xdr:spPr>
        <a:xfrm>
          <a:off x="18887722" y="8371907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6</xdr:row>
      <xdr:rowOff>129280</xdr:rowOff>
    </xdr:from>
    <xdr:to>
      <xdr:col>47</xdr:col>
      <xdr:colOff>351106</xdr:colOff>
      <xdr:row>8</xdr:row>
      <xdr:rowOff>58419</xdr:rowOff>
    </xdr:to>
    <xdr:sp macro="" textlink="MatchANALYSIS!G28">
      <xdr:nvSpPr>
        <xdr:cNvPr id="623" name="Rectangle 622">
          <a:extLst>
            <a:ext uri="{FF2B5EF4-FFF2-40B4-BE49-F238E27FC236}">
              <a16:creationId xmlns:a16="http://schemas.microsoft.com/office/drawing/2014/main" id="{775225EA-FC4E-244D-9100-0894D2C4E2DC}"/>
            </a:ext>
          </a:extLst>
        </xdr:cNvPr>
        <xdr:cNvSpPr>
          <a:spLocks noChangeAspect="1"/>
        </xdr:cNvSpPr>
      </xdr:nvSpPr>
      <xdr:spPr>
        <a:xfrm>
          <a:off x="38828133" y="1145280"/>
          <a:ext cx="818890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4</xdr:row>
      <xdr:rowOff>105841</xdr:rowOff>
    </xdr:from>
    <xdr:to>
      <xdr:col>47</xdr:col>
      <xdr:colOff>351106</xdr:colOff>
      <xdr:row>6</xdr:row>
      <xdr:rowOff>44751</xdr:rowOff>
    </xdr:to>
    <xdr:sp macro="" textlink="[1]Match!$B$1">
      <xdr:nvSpPr>
        <xdr:cNvPr id="624" name="Rectangle 623">
          <a:extLst>
            <a:ext uri="{FF2B5EF4-FFF2-40B4-BE49-F238E27FC236}">
              <a16:creationId xmlns:a16="http://schemas.microsoft.com/office/drawing/2014/main" id="{8C4DC2BA-7D76-0A4D-9570-CDBEEF7C11EE}"/>
            </a:ext>
          </a:extLst>
        </xdr:cNvPr>
        <xdr:cNvSpPr>
          <a:spLocks noChangeAspect="1"/>
        </xdr:cNvSpPr>
      </xdr:nvSpPr>
      <xdr:spPr>
        <a:xfrm>
          <a:off x="38828133" y="783174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8</xdr:row>
      <xdr:rowOff>129558</xdr:rowOff>
    </xdr:from>
    <xdr:to>
      <xdr:col>47</xdr:col>
      <xdr:colOff>351106</xdr:colOff>
      <xdr:row>10</xdr:row>
      <xdr:rowOff>58700</xdr:rowOff>
    </xdr:to>
    <xdr:sp macro="" textlink="MatchANALYSIS!G27">
      <xdr:nvSpPr>
        <xdr:cNvPr id="637" name="Rectangle 636">
          <a:extLst>
            <a:ext uri="{FF2B5EF4-FFF2-40B4-BE49-F238E27FC236}">
              <a16:creationId xmlns:a16="http://schemas.microsoft.com/office/drawing/2014/main" id="{475AF5B4-A912-D541-B019-37757C98B4C0}"/>
            </a:ext>
          </a:extLst>
        </xdr:cNvPr>
        <xdr:cNvSpPr>
          <a:spLocks noChangeAspect="1"/>
        </xdr:cNvSpPr>
      </xdr:nvSpPr>
      <xdr:spPr>
        <a:xfrm>
          <a:off x="38828133" y="1484225"/>
          <a:ext cx="818890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10</xdr:row>
      <xdr:rowOff>129838</xdr:rowOff>
    </xdr:from>
    <xdr:to>
      <xdr:col>47</xdr:col>
      <xdr:colOff>351106</xdr:colOff>
      <xdr:row>12</xdr:row>
      <xdr:rowOff>58978</xdr:rowOff>
    </xdr:to>
    <xdr:sp macro="" textlink="MatchANALYSIS!G25">
      <xdr:nvSpPr>
        <xdr:cNvPr id="638" name="Rectangle 637">
          <a:extLst>
            <a:ext uri="{FF2B5EF4-FFF2-40B4-BE49-F238E27FC236}">
              <a16:creationId xmlns:a16="http://schemas.microsoft.com/office/drawing/2014/main" id="{9E32045C-0940-824F-95D2-B22B3BEA166C}"/>
            </a:ext>
          </a:extLst>
        </xdr:cNvPr>
        <xdr:cNvSpPr>
          <a:spLocks noChangeAspect="1"/>
        </xdr:cNvSpPr>
      </xdr:nvSpPr>
      <xdr:spPr>
        <a:xfrm>
          <a:off x="38828133" y="1823171"/>
          <a:ext cx="818890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12</xdr:row>
      <xdr:rowOff>140701</xdr:rowOff>
    </xdr:from>
    <xdr:to>
      <xdr:col>47</xdr:col>
      <xdr:colOff>351106</xdr:colOff>
      <xdr:row>14</xdr:row>
      <xdr:rowOff>69842</xdr:rowOff>
    </xdr:to>
    <xdr:sp macro="" textlink="MatchANALYSIS!G26">
      <xdr:nvSpPr>
        <xdr:cNvPr id="639" name="Rectangle 638">
          <a:extLst>
            <a:ext uri="{FF2B5EF4-FFF2-40B4-BE49-F238E27FC236}">
              <a16:creationId xmlns:a16="http://schemas.microsoft.com/office/drawing/2014/main" id="{A02743FB-83B4-C440-B32F-7799ED84D1AA}"/>
            </a:ext>
          </a:extLst>
        </xdr:cNvPr>
        <xdr:cNvSpPr>
          <a:spLocks noChangeAspect="1"/>
        </xdr:cNvSpPr>
      </xdr:nvSpPr>
      <xdr:spPr>
        <a:xfrm>
          <a:off x="38828133" y="2172701"/>
          <a:ext cx="818890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47</xdr:col>
      <xdr:colOff>271018</xdr:colOff>
      <xdr:row>26</xdr:row>
      <xdr:rowOff>13687</xdr:rowOff>
    </xdr:from>
    <xdr:to>
      <xdr:col>47</xdr:col>
      <xdr:colOff>591293</xdr:colOff>
      <xdr:row>28</xdr:row>
      <xdr:rowOff>149546</xdr:rowOff>
    </xdr:to>
    <xdr:sp macro="" textlink="Location2ANALYSIS!$O$19">
      <xdr:nvSpPr>
        <xdr:cNvPr id="517" name="TextBox 516">
          <a:extLst>
            <a:ext uri="{FF2B5EF4-FFF2-40B4-BE49-F238E27FC236}">
              <a16:creationId xmlns:a16="http://schemas.microsoft.com/office/drawing/2014/main" id="{858EDAE0-0318-E94F-9806-E14F00CF94D2}"/>
            </a:ext>
          </a:extLst>
        </xdr:cNvPr>
        <xdr:cNvSpPr txBox="1"/>
      </xdr:nvSpPr>
      <xdr:spPr>
        <a:xfrm>
          <a:off x="39666418" y="43570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F6768BA-215C-2D47-B204-E20EDE1526BF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779018</xdr:colOff>
      <xdr:row>17</xdr:row>
      <xdr:rowOff>89887</xdr:rowOff>
    </xdr:from>
    <xdr:to>
      <xdr:col>47</xdr:col>
      <xdr:colOff>261093</xdr:colOff>
      <xdr:row>20</xdr:row>
      <xdr:rowOff>73346</xdr:rowOff>
    </xdr:to>
    <xdr:sp macro="" textlink="Location2ANALYSIS!$O$21">
      <xdr:nvSpPr>
        <xdr:cNvPr id="519" name="TextBox 518">
          <a:extLst>
            <a:ext uri="{FF2B5EF4-FFF2-40B4-BE49-F238E27FC236}">
              <a16:creationId xmlns:a16="http://schemas.microsoft.com/office/drawing/2014/main" id="{43805556-5A5C-F34A-859A-E0D3C44EE341}"/>
            </a:ext>
          </a:extLst>
        </xdr:cNvPr>
        <xdr:cNvSpPr txBox="1"/>
      </xdr:nvSpPr>
      <xdr:spPr>
        <a:xfrm>
          <a:off x="39336218" y="29473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74F6FE6-0BBA-7042-B3EB-193410877C5A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93218</xdr:colOff>
      <xdr:row>21</xdr:row>
      <xdr:rowOff>39087</xdr:rowOff>
    </xdr:from>
    <xdr:to>
      <xdr:col>47</xdr:col>
      <xdr:colOff>413493</xdr:colOff>
      <xdr:row>24</xdr:row>
      <xdr:rowOff>22546</xdr:rowOff>
    </xdr:to>
    <xdr:sp macro="" textlink="Location2ANALYSIS!$O$20">
      <xdr:nvSpPr>
        <xdr:cNvPr id="522" name="TextBox 521">
          <a:extLst>
            <a:ext uri="{FF2B5EF4-FFF2-40B4-BE49-F238E27FC236}">
              <a16:creationId xmlns:a16="http://schemas.microsoft.com/office/drawing/2014/main" id="{591DB898-C2F6-C24C-9912-A29B7573000E}"/>
            </a:ext>
          </a:extLst>
        </xdr:cNvPr>
        <xdr:cNvSpPr txBox="1"/>
      </xdr:nvSpPr>
      <xdr:spPr>
        <a:xfrm>
          <a:off x="39488618" y="35569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17C742-C74F-7446-9BB7-038EADD879C7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543703</xdr:colOff>
      <xdr:row>27</xdr:row>
      <xdr:rowOff>12494</xdr:rowOff>
    </xdr:from>
    <xdr:to>
      <xdr:col>34</xdr:col>
      <xdr:colOff>537957</xdr:colOff>
      <xdr:row>28</xdr:row>
      <xdr:rowOff>124136</xdr:rowOff>
    </xdr:to>
    <xdr:sp macro="" textlink="Location1ANALYSIS!L38">
      <xdr:nvSpPr>
        <xdr:cNvPr id="613" name="Rectangle 612">
          <a:extLst>
            <a:ext uri="{FF2B5EF4-FFF2-40B4-BE49-F238E27FC236}">
              <a16:creationId xmlns:a16="http://schemas.microsoft.com/office/drawing/2014/main" id="{E9A527CA-B759-DC42-8D3A-61D3F1DC9B38}"/>
            </a:ext>
          </a:extLst>
        </xdr:cNvPr>
        <xdr:cNvSpPr>
          <a:spLocks noChangeAspect="1"/>
        </xdr:cNvSpPr>
      </xdr:nvSpPr>
      <xdr:spPr>
        <a:xfrm>
          <a:off x="28204303" y="4520994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E76B344-0E3D-4243-8970-D098E269F1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422623</xdr:colOff>
      <xdr:row>47</xdr:row>
      <xdr:rowOff>47086</xdr:rowOff>
    </xdr:from>
    <xdr:to>
      <xdr:col>15</xdr:col>
      <xdr:colOff>416054</xdr:colOff>
      <xdr:row>48</xdr:row>
      <xdr:rowOff>168535</xdr:rowOff>
    </xdr:to>
    <xdr:sp macro="" textlink="Location2ANALYSIS!F30">
      <xdr:nvSpPr>
        <xdr:cNvPr id="614" name="Rectangle 613">
          <a:extLst>
            <a:ext uri="{FF2B5EF4-FFF2-40B4-BE49-F238E27FC236}">
              <a16:creationId xmlns:a16="http://schemas.microsoft.com/office/drawing/2014/main" id="{C9D9DD9C-CF61-D241-BC48-C9B133A8D7A7}"/>
            </a:ext>
          </a:extLst>
        </xdr:cNvPr>
        <xdr:cNvSpPr>
          <a:spLocks noChangeAspect="1"/>
        </xdr:cNvSpPr>
      </xdr:nvSpPr>
      <xdr:spPr>
        <a:xfrm>
          <a:off x="12157423" y="8098886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583B223-BB9F-5944-BB9E-D8DF9EC28CB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49</xdr:col>
      <xdr:colOff>179917</xdr:colOff>
      <xdr:row>2</xdr:row>
      <xdr:rowOff>12700</xdr:rowOff>
    </xdr:from>
    <xdr:to>
      <xdr:col>55</xdr:col>
      <xdr:colOff>772584</xdr:colOff>
      <xdr:row>51</xdr:row>
      <xdr:rowOff>127000</xdr:rowOff>
    </xdr:to>
    <xdr:graphicFrame macro="">
      <xdr:nvGraphicFramePr>
        <xdr:cNvPr id="558" name="Chart 557">
          <a:extLst>
            <a:ext uri="{FF2B5EF4-FFF2-40B4-BE49-F238E27FC236}">
              <a16:creationId xmlns:a16="http://schemas.microsoft.com/office/drawing/2014/main" id="{A6E117E4-9C3E-9D44-AB3E-3ADC9D93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28</xdr:col>
      <xdr:colOff>144099</xdr:colOff>
      <xdr:row>28</xdr:row>
      <xdr:rowOff>61057</xdr:rowOff>
    </xdr:from>
    <xdr:to>
      <xdr:col>35</xdr:col>
      <xdr:colOff>129160</xdr:colOff>
      <xdr:row>52</xdr:row>
      <xdr:rowOff>80595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8E6C12FF-D55B-164C-BDC2-D8E91F803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54432" y="4855307"/>
          <a:ext cx="5837645" cy="4326955"/>
        </a:xfrm>
        <a:prstGeom prst="rect">
          <a:avLst/>
        </a:prstGeom>
      </xdr:spPr>
    </xdr:pic>
    <xdr:clientData/>
  </xdr:twoCellAnchor>
  <xdr:twoCellAnchor>
    <xdr:from>
      <xdr:col>28</xdr:col>
      <xdr:colOff>638255</xdr:colOff>
      <xdr:row>33</xdr:row>
      <xdr:rowOff>108864</xdr:rowOff>
    </xdr:from>
    <xdr:to>
      <xdr:col>29</xdr:col>
      <xdr:colOff>281810</xdr:colOff>
      <xdr:row>36</xdr:row>
      <xdr:rowOff>14067</xdr:rowOff>
    </xdr:to>
    <xdr:sp macro="" textlink="Location2ANALYSIS!L25">
      <xdr:nvSpPr>
        <xdr:cNvPr id="724" name="Rectangle 723">
          <a:extLst>
            <a:ext uri="{FF2B5EF4-FFF2-40B4-BE49-F238E27FC236}">
              <a16:creationId xmlns:a16="http://schemas.microsoft.com/office/drawing/2014/main" id="{0702614C-4B89-F540-9BB0-904A5F3EF6C1}"/>
            </a:ext>
          </a:extLst>
        </xdr:cNvPr>
        <xdr:cNvSpPr>
          <a:spLocks noChangeAspect="1"/>
        </xdr:cNvSpPr>
      </xdr:nvSpPr>
      <xdr:spPr>
        <a:xfrm>
          <a:off x="24048588" y="5802697"/>
          <a:ext cx="479639" cy="444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9A5A9CB-091F-5A45-BB88-D695DD1E4E1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394023</xdr:colOff>
      <xdr:row>37</xdr:row>
      <xdr:rowOff>161676</xdr:rowOff>
    </xdr:from>
    <xdr:to>
      <xdr:col>29</xdr:col>
      <xdr:colOff>100264</xdr:colOff>
      <xdr:row>40</xdr:row>
      <xdr:rowOff>138162</xdr:rowOff>
    </xdr:to>
    <xdr:sp macro="" textlink="Location2ANALYSIS!L26">
      <xdr:nvSpPr>
        <xdr:cNvPr id="725" name="Rectangle 724">
          <a:extLst>
            <a:ext uri="{FF2B5EF4-FFF2-40B4-BE49-F238E27FC236}">
              <a16:creationId xmlns:a16="http://schemas.microsoft.com/office/drawing/2014/main" id="{419D146B-D55F-7A46-9439-07972FDEAA9F}"/>
            </a:ext>
          </a:extLst>
        </xdr:cNvPr>
        <xdr:cNvSpPr>
          <a:spLocks noChangeAspect="1"/>
        </xdr:cNvSpPr>
      </xdr:nvSpPr>
      <xdr:spPr>
        <a:xfrm>
          <a:off x="23804356" y="6575176"/>
          <a:ext cx="542325" cy="5056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66D48C0-073E-B449-8484-BA418E0869C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79%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28</xdr:col>
      <xdr:colOff>95251</xdr:colOff>
      <xdr:row>43</xdr:row>
      <xdr:rowOff>83681</xdr:rowOff>
    </xdr:from>
    <xdr:to>
      <xdr:col>28</xdr:col>
      <xdr:colOff>604197</xdr:colOff>
      <xdr:row>46</xdr:row>
      <xdr:rowOff>37439</xdr:rowOff>
    </xdr:to>
    <xdr:sp macro="" textlink="Location2ANALYSIS!L27">
      <xdr:nvSpPr>
        <xdr:cNvPr id="726" name="Rectangle 725">
          <a:extLst>
            <a:ext uri="{FF2B5EF4-FFF2-40B4-BE49-F238E27FC236}">
              <a16:creationId xmlns:a16="http://schemas.microsoft.com/office/drawing/2014/main" id="{93A12CE6-5D1F-3647-8123-F61DA366F8E1}"/>
            </a:ext>
          </a:extLst>
        </xdr:cNvPr>
        <xdr:cNvSpPr>
          <a:spLocks noChangeAspect="1"/>
        </xdr:cNvSpPr>
      </xdr:nvSpPr>
      <xdr:spPr>
        <a:xfrm>
          <a:off x="23505584" y="7566098"/>
          <a:ext cx="508946" cy="4935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251201D-C1B5-2846-A74C-690028F0177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73%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345126</xdr:colOff>
      <xdr:row>33</xdr:row>
      <xdr:rowOff>102971</xdr:rowOff>
    </xdr:from>
    <xdr:to>
      <xdr:col>32</xdr:col>
      <xdr:colOff>637634</xdr:colOff>
      <xdr:row>36</xdr:row>
      <xdr:rowOff>81165</xdr:rowOff>
    </xdr:to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B7486AED-0CA6-614C-98A8-F4012DE653E9}"/>
            </a:ext>
          </a:extLst>
        </xdr:cNvPr>
        <xdr:cNvSpPr txBox="1"/>
      </xdr:nvSpPr>
      <xdr:spPr>
        <a:xfrm>
          <a:off x="27099793" y="5796804"/>
          <a:ext cx="292508" cy="517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334773</xdr:colOff>
      <xdr:row>40</xdr:row>
      <xdr:rowOff>30699</xdr:rowOff>
    </xdr:from>
    <xdr:to>
      <xdr:col>32</xdr:col>
      <xdr:colOff>627281</xdr:colOff>
      <xdr:row>43</xdr:row>
      <xdr:rowOff>17784</xdr:rowOff>
    </xdr:to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B1074F82-F46E-134A-BA15-CBFB1349C39A}"/>
            </a:ext>
          </a:extLst>
        </xdr:cNvPr>
        <xdr:cNvSpPr txBox="1"/>
      </xdr:nvSpPr>
      <xdr:spPr>
        <a:xfrm>
          <a:off x="27089440" y="6973366"/>
          <a:ext cx="292508" cy="526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341674</xdr:colOff>
      <xdr:row>46</xdr:row>
      <xdr:rowOff>107793</xdr:rowOff>
    </xdr:from>
    <xdr:to>
      <xdr:col>31</xdr:col>
      <xdr:colOff>634182</xdr:colOff>
      <xdr:row>49</xdr:row>
      <xdr:rowOff>94876</xdr:rowOff>
    </xdr:to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74BCC3FD-A4E8-944B-8C36-795A8D692336}"/>
            </a:ext>
          </a:extLst>
        </xdr:cNvPr>
        <xdr:cNvSpPr txBox="1"/>
      </xdr:nvSpPr>
      <xdr:spPr>
        <a:xfrm>
          <a:off x="26260257" y="8129960"/>
          <a:ext cx="292508" cy="5268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535651</xdr:colOff>
      <xdr:row>48</xdr:row>
      <xdr:rowOff>128118</xdr:rowOff>
    </xdr:from>
    <xdr:to>
      <xdr:col>29</xdr:col>
      <xdr:colOff>529906</xdr:colOff>
      <xdr:row>50</xdr:row>
      <xdr:rowOff>82573</xdr:rowOff>
    </xdr:to>
    <xdr:sp macro="" textlink="Location2ANALYSIS!L30">
      <xdr:nvSpPr>
        <xdr:cNvPr id="730" name="Rectangle 729">
          <a:extLst>
            <a:ext uri="{FF2B5EF4-FFF2-40B4-BE49-F238E27FC236}">
              <a16:creationId xmlns:a16="http://schemas.microsoft.com/office/drawing/2014/main" id="{81F34D8C-5943-5A4B-876D-03510EB874F7}"/>
            </a:ext>
          </a:extLst>
        </xdr:cNvPr>
        <xdr:cNvSpPr>
          <a:spLocks noChangeAspect="1"/>
        </xdr:cNvSpPr>
      </xdr:nvSpPr>
      <xdr:spPr>
        <a:xfrm>
          <a:off x="23945984" y="8510118"/>
          <a:ext cx="830339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D37C7C86-0337-2C41-9715-B5498DEA74D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29</xdr:col>
      <xdr:colOff>639322</xdr:colOff>
      <xdr:row>48</xdr:row>
      <xdr:rowOff>128118</xdr:rowOff>
    </xdr:from>
    <xdr:to>
      <xdr:col>30</xdr:col>
      <xdr:colOff>633577</xdr:colOff>
      <xdr:row>50</xdr:row>
      <xdr:rowOff>82573</xdr:rowOff>
    </xdr:to>
    <xdr:sp macro="" textlink="Location2ANALYSIS!L31">
      <xdr:nvSpPr>
        <xdr:cNvPr id="731" name="Rectangle 730">
          <a:extLst>
            <a:ext uri="{FF2B5EF4-FFF2-40B4-BE49-F238E27FC236}">
              <a16:creationId xmlns:a16="http://schemas.microsoft.com/office/drawing/2014/main" id="{1284875C-0C60-CA4B-9CA6-ADD9E1C2086A}"/>
            </a:ext>
          </a:extLst>
        </xdr:cNvPr>
        <xdr:cNvSpPr>
          <a:spLocks noChangeAspect="1"/>
        </xdr:cNvSpPr>
      </xdr:nvSpPr>
      <xdr:spPr>
        <a:xfrm>
          <a:off x="24885739" y="8510118"/>
          <a:ext cx="830338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A8781BB-ECE2-354D-891B-4E7FD45CD55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606469</xdr:colOff>
      <xdr:row>48</xdr:row>
      <xdr:rowOff>128118</xdr:rowOff>
    </xdr:from>
    <xdr:to>
      <xdr:col>31</xdr:col>
      <xdr:colOff>600723</xdr:colOff>
      <xdr:row>50</xdr:row>
      <xdr:rowOff>82573</xdr:rowOff>
    </xdr:to>
    <xdr:sp macro="" textlink="Location2ANALYSIS!L32">
      <xdr:nvSpPr>
        <xdr:cNvPr id="732" name="Rectangle 731">
          <a:extLst>
            <a:ext uri="{FF2B5EF4-FFF2-40B4-BE49-F238E27FC236}">
              <a16:creationId xmlns:a16="http://schemas.microsoft.com/office/drawing/2014/main" id="{99443B96-8975-DF4D-B0BE-8EE446EA710A}"/>
            </a:ext>
          </a:extLst>
        </xdr:cNvPr>
        <xdr:cNvSpPr>
          <a:spLocks noChangeAspect="1"/>
        </xdr:cNvSpPr>
      </xdr:nvSpPr>
      <xdr:spPr>
        <a:xfrm>
          <a:off x="25688969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93C6F0F-9582-8844-B00A-9D95E0703CA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40%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428728</xdr:colOff>
      <xdr:row>48</xdr:row>
      <xdr:rowOff>128118</xdr:rowOff>
    </xdr:from>
    <xdr:to>
      <xdr:col>32</xdr:col>
      <xdr:colOff>422983</xdr:colOff>
      <xdr:row>50</xdr:row>
      <xdr:rowOff>82573</xdr:rowOff>
    </xdr:to>
    <xdr:sp macro="" textlink="Location2ANALYSIS!L33">
      <xdr:nvSpPr>
        <xdr:cNvPr id="733" name="Rectangle 732">
          <a:extLst>
            <a:ext uri="{FF2B5EF4-FFF2-40B4-BE49-F238E27FC236}">
              <a16:creationId xmlns:a16="http://schemas.microsoft.com/office/drawing/2014/main" id="{053DFEFA-1D5B-6644-908D-EF11E79F636C}"/>
            </a:ext>
          </a:extLst>
        </xdr:cNvPr>
        <xdr:cNvSpPr>
          <a:spLocks noChangeAspect="1"/>
        </xdr:cNvSpPr>
      </xdr:nvSpPr>
      <xdr:spPr>
        <a:xfrm>
          <a:off x="26347311" y="8510118"/>
          <a:ext cx="830339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F41F17B-7A61-C34B-B522-C158C9C7FD2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412882</xdr:colOff>
      <xdr:row>48</xdr:row>
      <xdr:rowOff>128118</xdr:rowOff>
    </xdr:from>
    <xdr:to>
      <xdr:col>33</xdr:col>
      <xdr:colOff>407136</xdr:colOff>
      <xdr:row>50</xdr:row>
      <xdr:rowOff>82573</xdr:rowOff>
    </xdr:to>
    <xdr:sp macro="" textlink="Location2ANALYSIS!L34">
      <xdr:nvSpPr>
        <xdr:cNvPr id="734" name="Rectangle 733">
          <a:extLst>
            <a:ext uri="{FF2B5EF4-FFF2-40B4-BE49-F238E27FC236}">
              <a16:creationId xmlns:a16="http://schemas.microsoft.com/office/drawing/2014/main" id="{D38BE5C4-C7BB-CE4C-AC95-A1208FFBC70A}"/>
            </a:ext>
          </a:extLst>
        </xdr:cNvPr>
        <xdr:cNvSpPr>
          <a:spLocks noChangeAspect="1"/>
        </xdr:cNvSpPr>
      </xdr:nvSpPr>
      <xdr:spPr>
        <a:xfrm>
          <a:off x="27167549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D06AC53-DD6C-4B48-B291-4447DC44B431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152106</xdr:colOff>
      <xdr:row>29</xdr:row>
      <xdr:rowOff>116416</xdr:rowOff>
    </xdr:from>
    <xdr:to>
      <xdr:col>32</xdr:col>
      <xdr:colOff>150430</xdr:colOff>
      <xdr:row>31</xdr:row>
      <xdr:rowOff>70871</xdr:rowOff>
    </xdr:to>
    <xdr:sp macro="" textlink="">
      <xdr:nvSpPr>
        <xdr:cNvPr id="735" name="Rectangle 734">
          <a:extLst>
            <a:ext uri="{FF2B5EF4-FFF2-40B4-BE49-F238E27FC236}">
              <a16:creationId xmlns:a16="http://schemas.microsoft.com/office/drawing/2014/main" id="{863C5B9C-1709-404F-AE6F-D54826B957D0}"/>
            </a:ext>
          </a:extLst>
        </xdr:cNvPr>
        <xdr:cNvSpPr>
          <a:spLocks noChangeAspect="1"/>
        </xdr:cNvSpPr>
      </xdr:nvSpPr>
      <xdr:spPr>
        <a:xfrm>
          <a:off x="26070689" y="5090583"/>
          <a:ext cx="834408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621369</xdr:colOff>
      <xdr:row>43</xdr:row>
      <xdr:rowOff>78484</xdr:rowOff>
    </xdr:from>
    <xdr:to>
      <xdr:col>29</xdr:col>
      <xdr:colOff>477438</xdr:colOff>
      <xdr:row>46</xdr:row>
      <xdr:rowOff>51728</xdr:rowOff>
    </xdr:to>
    <xdr:grpSp>
      <xdr:nvGrpSpPr>
        <xdr:cNvPr id="736" name="Group 735">
          <a:extLst>
            <a:ext uri="{FF2B5EF4-FFF2-40B4-BE49-F238E27FC236}">
              <a16:creationId xmlns:a16="http://schemas.microsoft.com/office/drawing/2014/main" id="{97A00944-19F5-0646-9ADE-75392C01A4E2}"/>
            </a:ext>
          </a:extLst>
        </xdr:cNvPr>
        <xdr:cNvGrpSpPr/>
      </xdr:nvGrpSpPr>
      <xdr:grpSpPr>
        <a:xfrm>
          <a:off x="24031702" y="7560901"/>
          <a:ext cx="692153" cy="512994"/>
          <a:chOff x="24098328" y="7960854"/>
          <a:chExt cx="696223" cy="485314"/>
        </a:xfrm>
      </xdr:grpSpPr>
      <xdr:sp macro="" textlink="Location2ANALYSIS!J4">
        <xdr:nvSpPr>
          <xdr:cNvPr id="737" name="TextBox 736">
            <a:extLst>
              <a:ext uri="{FF2B5EF4-FFF2-40B4-BE49-F238E27FC236}">
                <a16:creationId xmlns:a16="http://schemas.microsoft.com/office/drawing/2014/main" id="{767B2859-CBAD-A34A-BB49-00352E3BDBF9}"/>
              </a:ext>
            </a:extLst>
          </xdr:cNvPr>
          <xdr:cNvSpPr txBox="1"/>
        </xdr:nvSpPr>
        <xdr:spPr>
          <a:xfrm>
            <a:off x="24098328" y="796085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B07BF62-3ABE-EF4D-AAB1-87DD56ED2D1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38" name="TextBox 737">
            <a:extLst>
              <a:ext uri="{FF2B5EF4-FFF2-40B4-BE49-F238E27FC236}">
                <a16:creationId xmlns:a16="http://schemas.microsoft.com/office/drawing/2014/main" id="{276335C4-7985-7943-B23F-11B3E361A782}"/>
              </a:ext>
            </a:extLst>
          </xdr:cNvPr>
          <xdr:cNvSpPr txBox="1"/>
        </xdr:nvSpPr>
        <xdr:spPr>
          <a:xfrm>
            <a:off x="2450204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39" name="TextBox 738">
            <a:extLst>
              <a:ext uri="{FF2B5EF4-FFF2-40B4-BE49-F238E27FC236}">
                <a16:creationId xmlns:a16="http://schemas.microsoft.com/office/drawing/2014/main" id="{B8DB31E9-3211-CA49-B327-29023E991827}"/>
              </a:ext>
            </a:extLst>
          </xdr:cNvPr>
          <xdr:cNvSpPr txBox="1"/>
        </xdr:nvSpPr>
        <xdr:spPr>
          <a:xfrm>
            <a:off x="24270837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4">
        <xdr:nvSpPr>
          <xdr:cNvPr id="740" name="TextBox 739">
            <a:extLst>
              <a:ext uri="{FF2B5EF4-FFF2-40B4-BE49-F238E27FC236}">
                <a16:creationId xmlns:a16="http://schemas.microsoft.com/office/drawing/2014/main" id="{6967EEBD-5511-F543-A2AD-7FC27E647CD1}"/>
              </a:ext>
            </a:extLst>
          </xdr:cNvPr>
          <xdr:cNvSpPr txBox="1"/>
        </xdr:nvSpPr>
        <xdr:spPr>
          <a:xfrm>
            <a:off x="24405551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C2906B-BD65-844D-8E7A-A2BA8E76E4A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746199</xdr:colOff>
      <xdr:row>43</xdr:row>
      <xdr:rowOff>78484</xdr:rowOff>
    </xdr:from>
    <xdr:to>
      <xdr:col>30</xdr:col>
      <xdr:colOff>481671</xdr:colOff>
      <xdr:row>46</xdr:row>
      <xdr:rowOff>51728</xdr:rowOff>
    </xdr:to>
    <xdr:grpSp>
      <xdr:nvGrpSpPr>
        <xdr:cNvPr id="741" name="Group 740">
          <a:extLst>
            <a:ext uri="{FF2B5EF4-FFF2-40B4-BE49-F238E27FC236}">
              <a16:creationId xmlns:a16="http://schemas.microsoft.com/office/drawing/2014/main" id="{84C32637-256B-8E40-BCD7-9FFD0A9BFEE1}"/>
            </a:ext>
          </a:extLst>
        </xdr:cNvPr>
        <xdr:cNvGrpSpPr/>
      </xdr:nvGrpSpPr>
      <xdr:grpSpPr>
        <a:xfrm>
          <a:off x="24992616" y="7560901"/>
          <a:ext cx="571555" cy="512994"/>
          <a:chOff x="25053542" y="7960854"/>
          <a:chExt cx="575624" cy="485314"/>
        </a:xfrm>
      </xdr:grpSpPr>
      <xdr:sp macro="" textlink="Location2ANALYSIS!J7">
        <xdr:nvSpPr>
          <xdr:cNvPr id="742" name="TextBox 741">
            <a:extLst>
              <a:ext uri="{FF2B5EF4-FFF2-40B4-BE49-F238E27FC236}">
                <a16:creationId xmlns:a16="http://schemas.microsoft.com/office/drawing/2014/main" id="{936B51EE-9951-DB40-8831-03E4911F9253}"/>
              </a:ext>
            </a:extLst>
          </xdr:cNvPr>
          <xdr:cNvSpPr txBox="1"/>
        </xdr:nvSpPr>
        <xdr:spPr>
          <a:xfrm>
            <a:off x="25053542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BBC2FFA-5E31-C743-AD70-377B90C636E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43" name="TextBox 742">
            <a:extLst>
              <a:ext uri="{FF2B5EF4-FFF2-40B4-BE49-F238E27FC236}">
                <a16:creationId xmlns:a16="http://schemas.microsoft.com/office/drawing/2014/main" id="{B52A470D-C718-0D4B-BF34-F5A77600A3F7}"/>
              </a:ext>
            </a:extLst>
          </xdr:cNvPr>
          <xdr:cNvSpPr txBox="1"/>
        </xdr:nvSpPr>
        <xdr:spPr>
          <a:xfrm>
            <a:off x="2521636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44" name="TextBox 743">
            <a:extLst>
              <a:ext uri="{FF2B5EF4-FFF2-40B4-BE49-F238E27FC236}">
                <a16:creationId xmlns:a16="http://schemas.microsoft.com/office/drawing/2014/main" id="{87BA294E-9E7C-AA46-8F8A-5331BC61EB3E}"/>
              </a:ext>
            </a:extLst>
          </xdr:cNvPr>
          <xdr:cNvSpPr txBox="1"/>
        </xdr:nvSpPr>
        <xdr:spPr>
          <a:xfrm>
            <a:off x="25209463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7">
        <xdr:nvSpPr>
          <xdr:cNvPr id="745" name="TextBox 744">
            <a:extLst>
              <a:ext uri="{FF2B5EF4-FFF2-40B4-BE49-F238E27FC236}">
                <a16:creationId xmlns:a16="http://schemas.microsoft.com/office/drawing/2014/main" id="{ADB9737E-0C8F-3D43-A59E-3BD7D313A7D7}"/>
              </a:ext>
            </a:extLst>
          </xdr:cNvPr>
          <xdr:cNvSpPr txBox="1"/>
        </xdr:nvSpPr>
        <xdr:spPr>
          <a:xfrm>
            <a:off x="25336658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D8CDAF-4B20-2D49-A91C-5061CF73DA0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637478</xdr:colOff>
      <xdr:row>43</xdr:row>
      <xdr:rowOff>78484</xdr:rowOff>
    </xdr:from>
    <xdr:to>
      <xdr:col>31</xdr:col>
      <xdr:colOff>391852</xdr:colOff>
      <xdr:row>46</xdr:row>
      <xdr:rowOff>51728</xdr:rowOff>
    </xdr:to>
    <xdr:grpSp>
      <xdr:nvGrpSpPr>
        <xdr:cNvPr id="746" name="Group 745">
          <a:extLst>
            <a:ext uri="{FF2B5EF4-FFF2-40B4-BE49-F238E27FC236}">
              <a16:creationId xmlns:a16="http://schemas.microsoft.com/office/drawing/2014/main" id="{D0EEFFA0-A4AB-F740-811D-318BC3B667CD}"/>
            </a:ext>
          </a:extLst>
        </xdr:cNvPr>
        <xdr:cNvGrpSpPr/>
      </xdr:nvGrpSpPr>
      <xdr:grpSpPr>
        <a:xfrm>
          <a:off x="25719978" y="7560901"/>
          <a:ext cx="590457" cy="512994"/>
          <a:chOff x="26283204" y="7960854"/>
          <a:chExt cx="594529" cy="485314"/>
        </a:xfrm>
      </xdr:grpSpPr>
      <xdr:sp macro="" textlink="Location2ANALYSIS!J10">
        <xdr:nvSpPr>
          <xdr:cNvPr id="747" name="TextBox 746">
            <a:extLst>
              <a:ext uri="{FF2B5EF4-FFF2-40B4-BE49-F238E27FC236}">
                <a16:creationId xmlns:a16="http://schemas.microsoft.com/office/drawing/2014/main" id="{F87B3A4F-0F9D-DD49-B878-F6593EA47872}"/>
              </a:ext>
            </a:extLst>
          </xdr:cNvPr>
          <xdr:cNvSpPr txBox="1"/>
        </xdr:nvSpPr>
        <xdr:spPr>
          <a:xfrm>
            <a:off x="2628320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845835-E6FE-3C40-AD1F-CDB0C49913E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48" name="TextBox 747">
            <a:extLst>
              <a:ext uri="{FF2B5EF4-FFF2-40B4-BE49-F238E27FC236}">
                <a16:creationId xmlns:a16="http://schemas.microsoft.com/office/drawing/2014/main" id="{D516C943-EA1C-1C4A-8936-238EFDB8EB3B}"/>
              </a:ext>
            </a:extLst>
          </xdr:cNvPr>
          <xdr:cNvSpPr txBox="1"/>
        </xdr:nvSpPr>
        <xdr:spPr>
          <a:xfrm>
            <a:off x="26458662" y="796085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749" name="TextBox 748">
            <a:extLst>
              <a:ext uri="{FF2B5EF4-FFF2-40B4-BE49-F238E27FC236}">
                <a16:creationId xmlns:a16="http://schemas.microsoft.com/office/drawing/2014/main" id="{CE20BF3F-CEB8-4449-BE28-B89F9F866785}"/>
              </a:ext>
            </a:extLst>
          </xdr:cNvPr>
          <xdr:cNvSpPr txBox="1"/>
        </xdr:nvSpPr>
        <xdr:spPr>
          <a:xfrm>
            <a:off x="26585225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3901E95-43DA-774B-8C6B-81B3F3608E4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664888</xdr:colOff>
      <xdr:row>43</xdr:row>
      <xdr:rowOff>78484</xdr:rowOff>
    </xdr:from>
    <xdr:to>
      <xdr:col>32</xdr:col>
      <xdr:colOff>639528</xdr:colOff>
      <xdr:row>46</xdr:row>
      <xdr:rowOff>51728</xdr:rowOff>
    </xdr:to>
    <xdr:grpSp>
      <xdr:nvGrpSpPr>
        <xdr:cNvPr id="750" name="Group 749">
          <a:extLst>
            <a:ext uri="{FF2B5EF4-FFF2-40B4-BE49-F238E27FC236}">
              <a16:creationId xmlns:a16="http://schemas.microsoft.com/office/drawing/2014/main" id="{0D3D6D15-825F-F24A-B916-ADCBA4DA4066}"/>
            </a:ext>
          </a:extLst>
        </xdr:cNvPr>
        <xdr:cNvGrpSpPr/>
      </xdr:nvGrpSpPr>
      <xdr:grpSpPr>
        <a:xfrm>
          <a:off x="26583471" y="7560901"/>
          <a:ext cx="810724" cy="512994"/>
          <a:chOff x="27492693" y="7960854"/>
          <a:chExt cx="814794" cy="485314"/>
        </a:xfrm>
      </xdr:grpSpPr>
      <xdr:sp macro="" textlink="Location2ANALYSIS!J13">
        <xdr:nvSpPr>
          <xdr:cNvPr id="751" name="TextBox 750">
            <a:extLst>
              <a:ext uri="{FF2B5EF4-FFF2-40B4-BE49-F238E27FC236}">
                <a16:creationId xmlns:a16="http://schemas.microsoft.com/office/drawing/2014/main" id="{90B114D1-C5D2-C94D-BA41-F77C321279B7}"/>
              </a:ext>
            </a:extLst>
          </xdr:cNvPr>
          <xdr:cNvSpPr txBox="1"/>
        </xdr:nvSpPr>
        <xdr:spPr>
          <a:xfrm>
            <a:off x="2749269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7F8216D-F18C-7441-B606-3D376C5611C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52" name="TextBox 751">
            <a:extLst>
              <a:ext uri="{FF2B5EF4-FFF2-40B4-BE49-F238E27FC236}">
                <a16:creationId xmlns:a16="http://schemas.microsoft.com/office/drawing/2014/main" id="{36D8BBCF-C152-D148-93C6-548AD4FE0384}"/>
              </a:ext>
            </a:extLst>
          </xdr:cNvPr>
          <xdr:cNvSpPr txBox="1"/>
        </xdr:nvSpPr>
        <xdr:spPr>
          <a:xfrm>
            <a:off x="27638844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53" name="TextBox 752">
            <a:extLst>
              <a:ext uri="{FF2B5EF4-FFF2-40B4-BE49-F238E27FC236}">
                <a16:creationId xmlns:a16="http://schemas.microsoft.com/office/drawing/2014/main" id="{7D335154-B6A9-D14E-9D27-A8EF812DCFBF}"/>
              </a:ext>
            </a:extLst>
          </xdr:cNvPr>
          <xdr:cNvSpPr txBox="1"/>
        </xdr:nvSpPr>
        <xdr:spPr>
          <a:xfrm>
            <a:off x="28014979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3">
        <xdr:nvSpPr>
          <xdr:cNvPr id="754" name="TextBox 753">
            <a:extLst>
              <a:ext uri="{FF2B5EF4-FFF2-40B4-BE49-F238E27FC236}">
                <a16:creationId xmlns:a16="http://schemas.microsoft.com/office/drawing/2014/main" id="{D16AE470-B056-304F-BBD4-A5C91EE63B04}"/>
              </a:ext>
            </a:extLst>
          </xdr:cNvPr>
          <xdr:cNvSpPr txBox="1"/>
        </xdr:nvSpPr>
        <xdr:spPr>
          <a:xfrm>
            <a:off x="27765407" y="796085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05126FA-4FBF-B24F-94C0-7FC006B53C3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3077</xdr:colOff>
      <xdr:row>38</xdr:row>
      <xdr:rowOff>1392</xdr:rowOff>
    </xdr:from>
    <xdr:to>
      <xdr:col>29</xdr:col>
      <xdr:colOff>695229</xdr:colOff>
      <xdr:row>40</xdr:row>
      <xdr:rowOff>168392</xdr:rowOff>
    </xdr:to>
    <xdr:grpSp>
      <xdr:nvGrpSpPr>
        <xdr:cNvPr id="755" name="Group 754">
          <a:extLst>
            <a:ext uri="{FF2B5EF4-FFF2-40B4-BE49-F238E27FC236}">
              <a16:creationId xmlns:a16="http://schemas.microsoft.com/office/drawing/2014/main" id="{6086CD9B-0844-764A-A42A-D4C4AE27ABA9}"/>
            </a:ext>
          </a:extLst>
        </xdr:cNvPr>
        <xdr:cNvGrpSpPr/>
      </xdr:nvGrpSpPr>
      <xdr:grpSpPr>
        <a:xfrm>
          <a:off x="24249494" y="6594809"/>
          <a:ext cx="692152" cy="516250"/>
          <a:chOff x="24091427" y="6901138"/>
          <a:chExt cx="696222" cy="485315"/>
        </a:xfrm>
      </xdr:grpSpPr>
      <xdr:sp macro="" textlink="Location2ANALYSIS!J5">
        <xdr:nvSpPr>
          <xdr:cNvPr id="756" name="TextBox 755">
            <a:extLst>
              <a:ext uri="{FF2B5EF4-FFF2-40B4-BE49-F238E27FC236}">
                <a16:creationId xmlns:a16="http://schemas.microsoft.com/office/drawing/2014/main" id="{D18AAC49-C8F0-C54D-A987-3000076D1EA7}"/>
              </a:ext>
            </a:extLst>
          </xdr:cNvPr>
          <xdr:cNvSpPr txBox="1"/>
        </xdr:nvSpPr>
        <xdr:spPr>
          <a:xfrm>
            <a:off x="2409142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562B20-A9F3-494E-AE80-9AE3358C45D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57" name="TextBox 756">
            <a:extLst>
              <a:ext uri="{FF2B5EF4-FFF2-40B4-BE49-F238E27FC236}">
                <a16:creationId xmlns:a16="http://schemas.microsoft.com/office/drawing/2014/main" id="{33423CBB-597F-F943-B6F7-C13B2C7700F5}"/>
              </a:ext>
            </a:extLst>
          </xdr:cNvPr>
          <xdr:cNvSpPr txBox="1"/>
        </xdr:nvSpPr>
        <xdr:spPr>
          <a:xfrm>
            <a:off x="24495141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58" name="TextBox 757">
            <a:extLst>
              <a:ext uri="{FF2B5EF4-FFF2-40B4-BE49-F238E27FC236}">
                <a16:creationId xmlns:a16="http://schemas.microsoft.com/office/drawing/2014/main" id="{D9AD66FC-17AA-AB47-94D4-E3F1BC42CF6E}"/>
              </a:ext>
            </a:extLst>
          </xdr:cNvPr>
          <xdr:cNvSpPr txBox="1"/>
        </xdr:nvSpPr>
        <xdr:spPr>
          <a:xfrm>
            <a:off x="24263936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5">
        <xdr:nvSpPr>
          <xdr:cNvPr id="759" name="TextBox 758">
            <a:extLst>
              <a:ext uri="{FF2B5EF4-FFF2-40B4-BE49-F238E27FC236}">
                <a16:creationId xmlns:a16="http://schemas.microsoft.com/office/drawing/2014/main" id="{AE28B40E-D81A-D34B-BDD7-A3D72B8BE2E5}"/>
              </a:ext>
            </a:extLst>
          </xdr:cNvPr>
          <xdr:cNvSpPr txBox="1"/>
        </xdr:nvSpPr>
        <xdr:spPr>
          <a:xfrm>
            <a:off x="2440265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54DCB78-E136-5B47-8AAE-BF7FC11F55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59522</xdr:colOff>
      <xdr:row>38</xdr:row>
      <xdr:rowOff>1392</xdr:rowOff>
    </xdr:from>
    <xdr:to>
      <xdr:col>30</xdr:col>
      <xdr:colOff>608087</xdr:colOff>
      <xdr:row>40</xdr:row>
      <xdr:rowOff>168392</xdr:rowOff>
    </xdr:to>
    <xdr:grpSp>
      <xdr:nvGrpSpPr>
        <xdr:cNvPr id="760" name="Group 759">
          <a:extLst>
            <a:ext uri="{FF2B5EF4-FFF2-40B4-BE49-F238E27FC236}">
              <a16:creationId xmlns:a16="http://schemas.microsoft.com/office/drawing/2014/main" id="{50565355-E9A3-6341-9CF5-84B1B24EA8AA}"/>
            </a:ext>
          </a:extLst>
        </xdr:cNvPr>
        <xdr:cNvGrpSpPr/>
      </xdr:nvGrpSpPr>
      <xdr:grpSpPr>
        <a:xfrm>
          <a:off x="25142022" y="6594809"/>
          <a:ext cx="548565" cy="516250"/>
          <a:chOff x="25075948" y="6901138"/>
          <a:chExt cx="552635" cy="485315"/>
        </a:xfrm>
      </xdr:grpSpPr>
      <xdr:sp macro="" textlink="Location2ANALYSIS!J8">
        <xdr:nvSpPr>
          <xdr:cNvPr id="761" name="TextBox 760">
            <a:extLst>
              <a:ext uri="{FF2B5EF4-FFF2-40B4-BE49-F238E27FC236}">
                <a16:creationId xmlns:a16="http://schemas.microsoft.com/office/drawing/2014/main" id="{093DD62E-FECA-2D48-B8E9-FF3FD7C6F4AC}"/>
              </a:ext>
            </a:extLst>
          </xdr:cNvPr>
          <xdr:cNvSpPr txBox="1"/>
        </xdr:nvSpPr>
        <xdr:spPr>
          <a:xfrm>
            <a:off x="2507594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6AA57B2-D19B-D149-9414-1FB4BF02B1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62" name="TextBox 761">
            <a:extLst>
              <a:ext uri="{FF2B5EF4-FFF2-40B4-BE49-F238E27FC236}">
                <a16:creationId xmlns:a16="http://schemas.microsoft.com/office/drawing/2014/main" id="{95FAB101-6767-E14D-BEE5-198621F1C516}"/>
              </a:ext>
            </a:extLst>
          </xdr:cNvPr>
          <xdr:cNvSpPr txBox="1"/>
        </xdr:nvSpPr>
        <xdr:spPr>
          <a:xfrm>
            <a:off x="25209462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63" name="TextBox 762">
            <a:extLst>
              <a:ext uri="{FF2B5EF4-FFF2-40B4-BE49-F238E27FC236}">
                <a16:creationId xmlns:a16="http://schemas.microsoft.com/office/drawing/2014/main" id="{DF531D7A-13F5-5B49-BC0E-94BD391752C9}"/>
              </a:ext>
            </a:extLst>
          </xdr:cNvPr>
          <xdr:cNvSpPr txBox="1"/>
        </xdr:nvSpPr>
        <xdr:spPr>
          <a:xfrm>
            <a:off x="25202561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8">
        <xdr:nvSpPr>
          <xdr:cNvPr id="764" name="TextBox 763">
            <a:extLst>
              <a:ext uri="{FF2B5EF4-FFF2-40B4-BE49-F238E27FC236}">
                <a16:creationId xmlns:a16="http://schemas.microsoft.com/office/drawing/2014/main" id="{BF6E22A1-0CCD-DC42-9ED9-7D866B805FE1}"/>
              </a:ext>
            </a:extLst>
          </xdr:cNvPr>
          <xdr:cNvSpPr txBox="1"/>
        </xdr:nvSpPr>
        <xdr:spPr>
          <a:xfrm>
            <a:off x="2533607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D74D17-3383-6B4D-A73C-716F06D674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669652</xdr:colOff>
      <xdr:row>38</xdr:row>
      <xdr:rowOff>1392</xdr:rowOff>
    </xdr:from>
    <xdr:to>
      <xdr:col>31</xdr:col>
      <xdr:colOff>420576</xdr:colOff>
      <xdr:row>40</xdr:row>
      <xdr:rowOff>168392</xdr:rowOff>
    </xdr:to>
    <xdr:grpSp>
      <xdr:nvGrpSpPr>
        <xdr:cNvPr id="765" name="Group 764">
          <a:extLst>
            <a:ext uri="{FF2B5EF4-FFF2-40B4-BE49-F238E27FC236}">
              <a16:creationId xmlns:a16="http://schemas.microsoft.com/office/drawing/2014/main" id="{C5113BB8-AD27-AD48-B8AE-7BC68AC1551D}"/>
            </a:ext>
          </a:extLst>
        </xdr:cNvPr>
        <xdr:cNvGrpSpPr/>
      </xdr:nvGrpSpPr>
      <xdr:grpSpPr>
        <a:xfrm>
          <a:off x="25752152" y="6594809"/>
          <a:ext cx="587007" cy="516250"/>
          <a:chOff x="26286072" y="6901138"/>
          <a:chExt cx="591078" cy="485315"/>
        </a:xfrm>
      </xdr:grpSpPr>
      <xdr:sp macro="" textlink="Location2ANALYSIS!J11">
        <xdr:nvSpPr>
          <xdr:cNvPr id="766" name="TextBox 765">
            <a:extLst>
              <a:ext uri="{FF2B5EF4-FFF2-40B4-BE49-F238E27FC236}">
                <a16:creationId xmlns:a16="http://schemas.microsoft.com/office/drawing/2014/main" id="{DF9FEE5B-DCFF-7445-8462-518E80C12A3E}"/>
              </a:ext>
            </a:extLst>
          </xdr:cNvPr>
          <xdr:cNvSpPr txBox="1"/>
        </xdr:nvSpPr>
        <xdr:spPr>
          <a:xfrm>
            <a:off x="2628607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5E5F6F-2C95-B245-86ED-6FFB3CB9D34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67" name="TextBox 766">
            <a:extLst>
              <a:ext uri="{FF2B5EF4-FFF2-40B4-BE49-F238E27FC236}">
                <a16:creationId xmlns:a16="http://schemas.microsoft.com/office/drawing/2014/main" id="{ADC80DC7-B875-6545-ADEC-407F4F13DFFB}"/>
              </a:ext>
            </a:extLst>
          </xdr:cNvPr>
          <xdr:cNvSpPr txBox="1"/>
        </xdr:nvSpPr>
        <xdr:spPr>
          <a:xfrm>
            <a:off x="26451761" y="6901138"/>
            <a:ext cx="292508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768" name="TextBox 767">
            <a:extLst>
              <a:ext uri="{FF2B5EF4-FFF2-40B4-BE49-F238E27FC236}">
                <a16:creationId xmlns:a16="http://schemas.microsoft.com/office/drawing/2014/main" id="{2FF1A093-ED4E-EE4D-B188-72268732F878}"/>
              </a:ext>
            </a:extLst>
          </xdr:cNvPr>
          <xdr:cNvSpPr txBox="1"/>
        </xdr:nvSpPr>
        <xdr:spPr>
          <a:xfrm>
            <a:off x="2658464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1B1044A-4D82-B04A-8E15-C4451B32D86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648219</xdr:colOff>
      <xdr:row>38</xdr:row>
      <xdr:rowOff>1392</xdr:rowOff>
    </xdr:from>
    <xdr:to>
      <xdr:col>32</xdr:col>
      <xdr:colOff>652165</xdr:colOff>
      <xdr:row>40</xdr:row>
      <xdr:rowOff>168392</xdr:rowOff>
    </xdr:to>
    <xdr:grpSp>
      <xdr:nvGrpSpPr>
        <xdr:cNvPr id="769" name="Group 768">
          <a:extLst>
            <a:ext uri="{FF2B5EF4-FFF2-40B4-BE49-F238E27FC236}">
              <a16:creationId xmlns:a16="http://schemas.microsoft.com/office/drawing/2014/main" id="{571CC00E-B5AF-1D4B-9792-55F4D8CB6560}"/>
            </a:ext>
          </a:extLst>
        </xdr:cNvPr>
        <xdr:cNvGrpSpPr/>
      </xdr:nvGrpSpPr>
      <xdr:grpSpPr>
        <a:xfrm>
          <a:off x="26566802" y="6594809"/>
          <a:ext cx="840030" cy="516250"/>
          <a:chOff x="27456485" y="6901138"/>
          <a:chExt cx="844100" cy="485315"/>
        </a:xfrm>
      </xdr:grpSpPr>
      <xdr:sp macro="" textlink="Location2ANALYSIS!J14">
        <xdr:nvSpPr>
          <xdr:cNvPr id="770" name="TextBox 769">
            <a:extLst>
              <a:ext uri="{FF2B5EF4-FFF2-40B4-BE49-F238E27FC236}">
                <a16:creationId xmlns:a16="http://schemas.microsoft.com/office/drawing/2014/main" id="{30AD58CD-78E3-BD48-9265-9D11EFE2C32B}"/>
              </a:ext>
            </a:extLst>
          </xdr:cNvPr>
          <xdr:cNvSpPr txBox="1"/>
        </xdr:nvSpPr>
        <xdr:spPr>
          <a:xfrm>
            <a:off x="2745648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DBBF15-6C50-664E-88DE-84AFB8FF7CA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71" name="TextBox 770">
            <a:extLst>
              <a:ext uri="{FF2B5EF4-FFF2-40B4-BE49-F238E27FC236}">
                <a16:creationId xmlns:a16="http://schemas.microsoft.com/office/drawing/2014/main" id="{C5C042CD-D2FF-0D46-96A8-D99EC2C601D3}"/>
              </a:ext>
            </a:extLst>
          </xdr:cNvPr>
          <xdr:cNvSpPr txBox="1"/>
        </xdr:nvSpPr>
        <xdr:spPr>
          <a:xfrm>
            <a:off x="27631943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72" name="TextBox 771">
            <a:extLst>
              <a:ext uri="{FF2B5EF4-FFF2-40B4-BE49-F238E27FC236}">
                <a16:creationId xmlns:a16="http://schemas.microsoft.com/office/drawing/2014/main" id="{42996112-267C-964C-A2E2-323C9B4A21A0}"/>
              </a:ext>
            </a:extLst>
          </xdr:cNvPr>
          <xdr:cNvSpPr txBox="1"/>
        </xdr:nvSpPr>
        <xdr:spPr>
          <a:xfrm>
            <a:off x="2800807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773" name="TextBox 772">
            <a:extLst>
              <a:ext uri="{FF2B5EF4-FFF2-40B4-BE49-F238E27FC236}">
                <a16:creationId xmlns:a16="http://schemas.microsoft.com/office/drawing/2014/main" id="{04E4C55C-4CDB-C34C-8F7E-C63396B528D8}"/>
              </a:ext>
            </a:extLst>
          </xdr:cNvPr>
          <xdr:cNvSpPr txBox="1"/>
        </xdr:nvSpPr>
        <xdr:spPr>
          <a:xfrm>
            <a:off x="27764823" y="6901138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28F6A0B-3E22-0742-A7B4-56596266234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461096</xdr:colOff>
      <xdr:row>38</xdr:row>
      <xdr:rowOff>1392</xdr:rowOff>
    </xdr:from>
    <xdr:to>
      <xdr:col>33</xdr:col>
      <xdr:colOff>217221</xdr:colOff>
      <xdr:row>40</xdr:row>
      <xdr:rowOff>168392</xdr:rowOff>
    </xdr:to>
    <xdr:grpSp>
      <xdr:nvGrpSpPr>
        <xdr:cNvPr id="774" name="Group 773">
          <a:extLst>
            <a:ext uri="{FF2B5EF4-FFF2-40B4-BE49-F238E27FC236}">
              <a16:creationId xmlns:a16="http://schemas.microsoft.com/office/drawing/2014/main" id="{F889B708-C394-CE40-B683-0CF419F580C4}"/>
            </a:ext>
          </a:extLst>
        </xdr:cNvPr>
        <xdr:cNvGrpSpPr/>
      </xdr:nvGrpSpPr>
      <xdr:grpSpPr>
        <a:xfrm>
          <a:off x="27215763" y="6594809"/>
          <a:ext cx="592208" cy="516250"/>
          <a:chOff x="28422131" y="6901138"/>
          <a:chExt cx="596279" cy="485315"/>
        </a:xfrm>
      </xdr:grpSpPr>
      <xdr:sp macro="" textlink="Location2ANALYSIS!J17">
        <xdr:nvSpPr>
          <xdr:cNvPr id="775" name="TextBox 774">
            <a:extLst>
              <a:ext uri="{FF2B5EF4-FFF2-40B4-BE49-F238E27FC236}">
                <a16:creationId xmlns:a16="http://schemas.microsoft.com/office/drawing/2014/main" id="{6BBE454A-710C-4F4A-B214-91A715AB8F60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4322A8C-E247-3045-85E6-544EE6398BD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76" name="TextBox 775">
            <a:extLst>
              <a:ext uri="{FF2B5EF4-FFF2-40B4-BE49-F238E27FC236}">
                <a16:creationId xmlns:a16="http://schemas.microsoft.com/office/drawing/2014/main" id="{1315BDD8-0CF0-A442-9933-436FB03B492C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7">
        <xdr:nvSpPr>
          <xdr:cNvPr id="777" name="TextBox 776">
            <a:extLst>
              <a:ext uri="{FF2B5EF4-FFF2-40B4-BE49-F238E27FC236}">
                <a16:creationId xmlns:a16="http://schemas.microsoft.com/office/drawing/2014/main" id="{8448273D-5717-2243-B64F-60F42DD3BCAB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472436B-4387-964D-8FD3-4E16BC7B7F2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155897</xdr:colOff>
      <xdr:row>33</xdr:row>
      <xdr:rowOff>122509</xdr:rowOff>
    </xdr:from>
    <xdr:to>
      <xdr:col>30</xdr:col>
      <xdr:colOff>16037</xdr:colOff>
      <xdr:row>36</xdr:row>
      <xdr:rowOff>109593</xdr:rowOff>
    </xdr:to>
    <xdr:grpSp>
      <xdr:nvGrpSpPr>
        <xdr:cNvPr id="778" name="Group 777">
          <a:extLst>
            <a:ext uri="{FF2B5EF4-FFF2-40B4-BE49-F238E27FC236}">
              <a16:creationId xmlns:a16="http://schemas.microsoft.com/office/drawing/2014/main" id="{60690785-BA60-D445-8F4B-719B3A130B52}"/>
            </a:ext>
          </a:extLst>
        </xdr:cNvPr>
        <xdr:cNvGrpSpPr/>
      </xdr:nvGrpSpPr>
      <xdr:grpSpPr>
        <a:xfrm>
          <a:off x="24402314" y="5816342"/>
          <a:ext cx="696223" cy="526834"/>
          <a:chOff x="24101779" y="5797031"/>
          <a:chExt cx="696223" cy="485315"/>
        </a:xfrm>
      </xdr:grpSpPr>
      <xdr:sp macro="" textlink="Location2ANALYSIS!J6">
        <xdr:nvSpPr>
          <xdr:cNvPr id="779" name="TextBox 778">
            <a:extLst>
              <a:ext uri="{FF2B5EF4-FFF2-40B4-BE49-F238E27FC236}">
                <a16:creationId xmlns:a16="http://schemas.microsoft.com/office/drawing/2014/main" id="{63873D79-A3EA-2B4D-A5E4-A87B5D4C590E}"/>
              </a:ext>
            </a:extLst>
          </xdr:cNvPr>
          <xdr:cNvSpPr txBox="1"/>
        </xdr:nvSpPr>
        <xdr:spPr>
          <a:xfrm>
            <a:off x="24101779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E7537DC-ADAC-AB48-88B5-3D36A0CDE09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0" name="TextBox 779">
            <a:extLst>
              <a:ext uri="{FF2B5EF4-FFF2-40B4-BE49-F238E27FC236}">
                <a16:creationId xmlns:a16="http://schemas.microsoft.com/office/drawing/2014/main" id="{6CEE25F4-E501-7F45-94F4-6E83B1B87E35}"/>
              </a:ext>
            </a:extLst>
          </xdr:cNvPr>
          <xdr:cNvSpPr txBox="1"/>
        </xdr:nvSpPr>
        <xdr:spPr>
          <a:xfrm>
            <a:off x="24505494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1" name="TextBox 780">
            <a:extLst>
              <a:ext uri="{FF2B5EF4-FFF2-40B4-BE49-F238E27FC236}">
                <a16:creationId xmlns:a16="http://schemas.microsoft.com/office/drawing/2014/main" id="{D3083B21-3914-AC4F-9423-F1CC2037257C}"/>
              </a:ext>
            </a:extLst>
          </xdr:cNvPr>
          <xdr:cNvSpPr txBox="1"/>
        </xdr:nvSpPr>
        <xdr:spPr>
          <a:xfrm>
            <a:off x="24274288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2ANALYSIS!K6">
        <xdr:nvSpPr>
          <xdr:cNvPr id="782" name="TextBox 781">
            <a:extLst>
              <a:ext uri="{FF2B5EF4-FFF2-40B4-BE49-F238E27FC236}">
                <a16:creationId xmlns:a16="http://schemas.microsoft.com/office/drawing/2014/main" id="{DF3F49B9-ABFA-D240-B587-915D5E1B3BA9}"/>
              </a:ext>
            </a:extLst>
          </xdr:cNvPr>
          <xdr:cNvSpPr txBox="1"/>
        </xdr:nvSpPr>
        <xdr:spPr>
          <a:xfrm>
            <a:off x="24411868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12B37FF-46CF-5246-84DB-CD883C6C694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79645</xdr:colOff>
      <xdr:row>33</xdr:row>
      <xdr:rowOff>122509</xdr:rowOff>
    </xdr:from>
    <xdr:to>
      <xdr:col>30</xdr:col>
      <xdr:colOff>663834</xdr:colOff>
      <xdr:row>36</xdr:row>
      <xdr:rowOff>109593</xdr:rowOff>
    </xdr:to>
    <xdr:grpSp>
      <xdr:nvGrpSpPr>
        <xdr:cNvPr id="783" name="Group 782">
          <a:extLst>
            <a:ext uri="{FF2B5EF4-FFF2-40B4-BE49-F238E27FC236}">
              <a16:creationId xmlns:a16="http://schemas.microsoft.com/office/drawing/2014/main" id="{6F588132-C1F5-E444-A21B-CFAD585EFC34}"/>
            </a:ext>
          </a:extLst>
        </xdr:cNvPr>
        <xdr:cNvGrpSpPr/>
      </xdr:nvGrpSpPr>
      <xdr:grpSpPr>
        <a:xfrm>
          <a:off x="25162145" y="5816342"/>
          <a:ext cx="584189" cy="526834"/>
          <a:chOff x="25056994" y="5797031"/>
          <a:chExt cx="588259" cy="485315"/>
        </a:xfrm>
      </xdr:grpSpPr>
      <xdr:sp macro="" textlink="Location2ANALYSIS!J9">
        <xdr:nvSpPr>
          <xdr:cNvPr id="784" name="TextBox 783">
            <a:extLst>
              <a:ext uri="{FF2B5EF4-FFF2-40B4-BE49-F238E27FC236}">
                <a16:creationId xmlns:a16="http://schemas.microsoft.com/office/drawing/2014/main" id="{AA49ADB9-A36C-0F47-899B-10A2FF2EBBB6}"/>
              </a:ext>
            </a:extLst>
          </xdr:cNvPr>
          <xdr:cNvSpPr txBox="1"/>
        </xdr:nvSpPr>
        <xdr:spPr>
          <a:xfrm>
            <a:off x="2505699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363CE95-69A2-7E43-B2D3-8F6F124148A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5" name="TextBox 784">
            <a:extLst>
              <a:ext uri="{FF2B5EF4-FFF2-40B4-BE49-F238E27FC236}">
                <a16:creationId xmlns:a16="http://schemas.microsoft.com/office/drawing/2014/main" id="{B5D3F717-DDBE-374C-8ADF-61F9B4A56301}"/>
              </a:ext>
            </a:extLst>
          </xdr:cNvPr>
          <xdr:cNvSpPr txBox="1"/>
        </xdr:nvSpPr>
        <xdr:spPr>
          <a:xfrm>
            <a:off x="2521981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86" name="TextBox 785">
            <a:extLst>
              <a:ext uri="{FF2B5EF4-FFF2-40B4-BE49-F238E27FC236}">
                <a16:creationId xmlns:a16="http://schemas.microsoft.com/office/drawing/2014/main" id="{59747669-C993-7E46-BBF1-B2A0C9012273}"/>
              </a:ext>
            </a:extLst>
          </xdr:cNvPr>
          <xdr:cNvSpPr txBox="1"/>
        </xdr:nvSpPr>
        <xdr:spPr>
          <a:xfrm>
            <a:off x="25212914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787" name="TextBox 786">
            <a:extLst>
              <a:ext uri="{FF2B5EF4-FFF2-40B4-BE49-F238E27FC236}">
                <a16:creationId xmlns:a16="http://schemas.microsoft.com/office/drawing/2014/main" id="{4DEAE108-51B9-B340-A70B-B09CA6E5DAB7}"/>
              </a:ext>
            </a:extLst>
          </xdr:cNvPr>
          <xdr:cNvSpPr txBox="1"/>
        </xdr:nvSpPr>
        <xdr:spPr>
          <a:xfrm>
            <a:off x="25352745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26B9FD1-4265-8146-8BE9-0187B7FB33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680005</xdr:colOff>
      <xdr:row>33</xdr:row>
      <xdr:rowOff>122509</xdr:rowOff>
    </xdr:from>
    <xdr:to>
      <xdr:col>31</xdr:col>
      <xdr:colOff>437247</xdr:colOff>
      <xdr:row>36</xdr:row>
      <xdr:rowOff>109593</xdr:rowOff>
    </xdr:to>
    <xdr:grpSp>
      <xdr:nvGrpSpPr>
        <xdr:cNvPr id="788" name="Group 787">
          <a:extLst>
            <a:ext uri="{FF2B5EF4-FFF2-40B4-BE49-F238E27FC236}">
              <a16:creationId xmlns:a16="http://schemas.microsoft.com/office/drawing/2014/main" id="{AD964226-9573-1F4C-AAE8-C45E9DF78710}"/>
            </a:ext>
          </a:extLst>
        </xdr:cNvPr>
        <xdr:cNvGrpSpPr/>
      </xdr:nvGrpSpPr>
      <xdr:grpSpPr>
        <a:xfrm>
          <a:off x="25762505" y="5816342"/>
          <a:ext cx="593325" cy="526834"/>
          <a:chOff x="26286655" y="5797031"/>
          <a:chExt cx="597396" cy="485315"/>
        </a:xfrm>
      </xdr:grpSpPr>
      <xdr:sp macro="" textlink="Location2ANALYSIS!J12">
        <xdr:nvSpPr>
          <xdr:cNvPr id="789" name="TextBox 788">
            <a:extLst>
              <a:ext uri="{FF2B5EF4-FFF2-40B4-BE49-F238E27FC236}">
                <a16:creationId xmlns:a16="http://schemas.microsoft.com/office/drawing/2014/main" id="{68B65474-94B6-1943-A548-40A090342539}"/>
              </a:ext>
            </a:extLst>
          </xdr:cNvPr>
          <xdr:cNvSpPr txBox="1"/>
        </xdr:nvSpPr>
        <xdr:spPr>
          <a:xfrm>
            <a:off x="26286655" y="5797031"/>
            <a:ext cx="28043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34BC49-2A1A-194D-BD6D-22AE34A5CE8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0" name="TextBox 789">
            <a:extLst>
              <a:ext uri="{FF2B5EF4-FFF2-40B4-BE49-F238E27FC236}">
                <a16:creationId xmlns:a16="http://schemas.microsoft.com/office/drawing/2014/main" id="{EE1B132D-BAF5-E846-8394-7F738270CBA2}"/>
              </a:ext>
            </a:extLst>
          </xdr:cNvPr>
          <xdr:cNvSpPr txBox="1"/>
        </xdr:nvSpPr>
        <xdr:spPr>
          <a:xfrm>
            <a:off x="26462114" y="5797031"/>
            <a:ext cx="292508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791" name="TextBox 790">
            <a:extLst>
              <a:ext uri="{FF2B5EF4-FFF2-40B4-BE49-F238E27FC236}">
                <a16:creationId xmlns:a16="http://schemas.microsoft.com/office/drawing/2014/main" id="{DDBF8C9C-10A5-FE4B-AB9A-D3CF2D5B9833}"/>
              </a:ext>
            </a:extLst>
          </xdr:cNvPr>
          <xdr:cNvSpPr txBox="1"/>
        </xdr:nvSpPr>
        <xdr:spPr>
          <a:xfrm>
            <a:off x="2659154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E8BA01D-6F5A-1F46-8009-AC60A7ABB9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629263</xdr:colOff>
      <xdr:row>33</xdr:row>
      <xdr:rowOff>122509</xdr:rowOff>
    </xdr:from>
    <xdr:to>
      <xdr:col>32</xdr:col>
      <xdr:colOff>613672</xdr:colOff>
      <xdr:row>36</xdr:row>
      <xdr:rowOff>109593</xdr:rowOff>
    </xdr:to>
    <xdr:grpSp>
      <xdr:nvGrpSpPr>
        <xdr:cNvPr id="792" name="Group 791">
          <a:extLst>
            <a:ext uri="{FF2B5EF4-FFF2-40B4-BE49-F238E27FC236}">
              <a16:creationId xmlns:a16="http://schemas.microsoft.com/office/drawing/2014/main" id="{BAFEB046-6A2A-D84A-A334-BAE5D5B61D26}"/>
            </a:ext>
          </a:extLst>
        </xdr:cNvPr>
        <xdr:cNvGrpSpPr/>
      </xdr:nvGrpSpPr>
      <xdr:grpSpPr>
        <a:xfrm>
          <a:off x="26547846" y="5816342"/>
          <a:ext cx="820493" cy="526834"/>
          <a:chOff x="27486375" y="5797031"/>
          <a:chExt cx="824563" cy="485315"/>
        </a:xfrm>
      </xdr:grpSpPr>
      <xdr:sp macro="" textlink="Location2ANALYSIS!J15">
        <xdr:nvSpPr>
          <xdr:cNvPr id="793" name="TextBox 792">
            <a:extLst>
              <a:ext uri="{FF2B5EF4-FFF2-40B4-BE49-F238E27FC236}">
                <a16:creationId xmlns:a16="http://schemas.microsoft.com/office/drawing/2014/main" id="{D77B4FFD-5A4F-274B-8DAA-C77B10366E39}"/>
              </a:ext>
            </a:extLst>
          </xdr:cNvPr>
          <xdr:cNvSpPr txBox="1"/>
        </xdr:nvSpPr>
        <xdr:spPr>
          <a:xfrm>
            <a:off x="27486375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11618D-C8D2-F04F-942D-082612F7F4C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4" name="TextBox 793">
            <a:extLst>
              <a:ext uri="{FF2B5EF4-FFF2-40B4-BE49-F238E27FC236}">
                <a16:creationId xmlns:a16="http://schemas.microsoft.com/office/drawing/2014/main" id="{BA611257-E452-9047-9478-BDEE75E684C3}"/>
              </a:ext>
            </a:extLst>
          </xdr:cNvPr>
          <xdr:cNvSpPr txBox="1"/>
        </xdr:nvSpPr>
        <xdr:spPr>
          <a:xfrm>
            <a:off x="27642295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95" name="TextBox 794">
            <a:extLst>
              <a:ext uri="{FF2B5EF4-FFF2-40B4-BE49-F238E27FC236}">
                <a16:creationId xmlns:a16="http://schemas.microsoft.com/office/drawing/2014/main" id="{0279F307-4F98-4E46-B23D-CEEB60CEB61A}"/>
              </a:ext>
            </a:extLst>
          </xdr:cNvPr>
          <xdr:cNvSpPr txBox="1"/>
        </xdr:nvSpPr>
        <xdr:spPr>
          <a:xfrm>
            <a:off x="28018430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796" name="TextBox 795">
            <a:extLst>
              <a:ext uri="{FF2B5EF4-FFF2-40B4-BE49-F238E27FC236}">
                <a16:creationId xmlns:a16="http://schemas.microsoft.com/office/drawing/2014/main" id="{B6EE5B10-75EC-0449-B625-39835290E875}"/>
              </a:ext>
            </a:extLst>
          </xdr:cNvPr>
          <xdr:cNvSpPr txBox="1"/>
        </xdr:nvSpPr>
        <xdr:spPr>
          <a:xfrm>
            <a:off x="27771725" y="5797031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4C6DEE-5FAB-BA43-BE91-BFC24A588B5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383526</xdr:colOff>
      <xdr:row>33</xdr:row>
      <xdr:rowOff>122509</xdr:rowOff>
    </xdr:from>
    <xdr:to>
      <xdr:col>33</xdr:col>
      <xdr:colOff>126430</xdr:colOff>
      <xdr:row>36</xdr:row>
      <xdr:rowOff>109593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46023B94-EA28-1B4E-95CC-B0B1A6949FEE}"/>
            </a:ext>
          </a:extLst>
        </xdr:cNvPr>
        <xdr:cNvGrpSpPr/>
      </xdr:nvGrpSpPr>
      <xdr:grpSpPr>
        <a:xfrm>
          <a:off x="27138193" y="5816342"/>
          <a:ext cx="578987" cy="526834"/>
          <a:chOff x="28442253" y="5797031"/>
          <a:chExt cx="583058" cy="485315"/>
        </a:xfrm>
      </xdr:grpSpPr>
      <xdr:sp macro="" textlink="Location2ANALYSIS!J18">
        <xdr:nvSpPr>
          <xdr:cNvPr id="798" name="TextBox 797">
            <a:extLst>
              <a:ext uri="{FF2B5EF4-FFF2-40B4-BE49-F238E27FC236}">
                <a16:creationId xmlns:a16="http://schemas.microsoft.com/office/drawing/2014/main" id="{0668EDF5-0CBF-5B4E-A5D0-F9CA6D6EA5B1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C59D4-2122-5440-83DC-EA1C1C5CA4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9" name="TextBox 798">
            <a:extLst>
              <a:ext uri="{FF2B5EF4-FFF2-40B4-BE49-F238E27FC236}">
                <a16:creationId xmlns:a16="http://schemas.microsoft.com/office/drawing/2014/main" id="{EB2FDF46-83CD-6542-8C85-BBF37E499FFF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8">
        <xdr:nvSpPr>
          <xdr:cNvPr id="800" name="TextBox 799">
            <a:extLst>
              <a:ext uri="{FF2B5EF4-FFF2-40B4-BE49-F238E27FC236}">
                <a16:creationId xmlns:a16="http://schemas.microsoft.com/office/drawing/2014/main" id="{914AAA07-4947-004F-9252-57CEB0B88FA9}"/>
              </a:ext>
            </a:extLst>
          </xdr:cNvPr>
          <xdr:cNvSpPr txBox="1"/>
        </xdr:nvSpPr>
        <xdr:spPr>
          <a:xfrm>
            <a:off x="2873280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202233-E6BC-BD44-8A1B-EF34AC05B68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575460</xdr:colOff>
      <xdr:row>43</xdr:row>
      <xdr:rowOff>78484</xdr:rowOff>
    </xdr:from>
    <xdr:to>
      <xdr:col>33</xdr:col>
      <xdr:colOff>320065</xdr:colOff>
      <xdr:row>46</xdr:row>
      <xdr:rowOff>51728</xdr:rowOff>
    </xdr:to>
    <xdr:grpSp>
      <xdr:nvGrpSpPr>
        <xdr:cNvPr id="801" name="Group 800">
          <a:extLst>
            <a:ext uri="{FF2B5EF4-FFF2-40B4-BE49-F238E27FC236}">
              <a16:creationId xmlns:a16="http://schemas.microsoft.com/office/drawing/2014/main" id="{F49AAB3F-148F-FF40-9844-319EE060B639}"/>
            </a:ext>
          </a:extLst>
        </xdr:cNvPr>
        <xdr:cNvGrpSpPr/>
      </xdr:nvGrpSpPr>
      <xdr:grpSpPr>
        <a:xfrm>
          <a:off x="27330127" y="7560901"/>
          <a:ext cx="580688" cy="512994"/>
          <a:chOff x="28429033" y="7960854"/>
          <a:chExt cx="584759" cy="485314"/>
        </a:xfrm>
      </xdr:grpSpPr>
      <xdr:sp macro="" textlink="Location2ANALYSIS!J16">
        <xdr:nvSpPr>
          <xdr:cNvPr id="802" name="TextBox 801">
            <a:extLst>
              <a:ext uri="{FF2B5EF4-FFF2-40B4-BE49-F238E27FC236}">
                <a16:creationId xmlns:a16="http://schemas.microsoft.com/office/drawing/2014/main" id="{F1B702B7-D444-D246-BFEF-0749FE229294}"/>
              </a:ext>
            </a:extLst>
          </xdr:cNvPr>
          <xdr:cNvSpPr txBox="1"/>
        </xdr:nvSpPr>
        <xdr:spPr>
          <a:xfrm>
            <a:off x="2842903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44A7C-2624-C148-8A66-B52122EBA85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03" name="TextBox 802">
            <a:extLst>
              <a:ext uri="{FF2B5EF4-FFF2-40B4-BE49-F238E27FC236}">
                <a16:creationId xmlns:a16="http://schemas.microsoft.com/office/drawing/2014/main" id="{8F021377-35E4-A743-9BE1-8110B23FB71C}"/>
              </a:ext>
            </a:extLst>
          </xdr:cNvPr>
          <xdr:cNvSpPr txBox="1"/>
        </xdr:nvSpPr>
        <xdr:spPr>
          <a:xfrm>
            <a:off x="28594722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804" name="TextBox 803">
            <a:extLst>
              <a:ext uri="{FF2B5EF4-FFF2-40B4-BE49-F238E27FC236}">
                <a16:creationId xmlns:a16="http://schemas.microsoft.com/office/drawing/2014/main" id="{F2BDB3DC-1904-0243-BFEC-824E0CD36007}"/>
              </a:ext>
            </a:extLst>
          </xdr:cNvPr>
          <xdr:cNvSpPr txBox="1"/>
        </xdr:nvSpPr>
        <xdr:spPr>
          <a:xfrm>
            <a:off x="2872128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3814E9-7023-814D-85DC-850693E8DCF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281919</xdr:colOff>
      <xdr:row>33</xdr:row>
      <xdr:rowOff>128373</xdr:rowOff>
    </xdr:from>
    <xdr:to>
      <xdr:col>33</xdr:col>
      <xdr:colOff>782109</xdr:colOff>
      <xdr:row>36</xdr:row>
      <xdr:rowOff>105923</xdr:rowOff>
    </xdr:to>
    <xdr:grpSp>
      <xdr:nvGrpSpPr>
        <xdr:cNvPr id="805" name="Group 804">
          <a:extLst>
            <a:ext uri="{FF2B5EF4-FFF2-40B4-BE49-F238E27FC236}">
              <a16:creationId xmlns:a16="http://schemas.microsoft.com/office/drawing/2014/main" id="{CCF15755-A34F-C04C-A914-2A367F963B0D}"/>
            </a:ext>
          </a:extLst>
        </xdr:cNvPr>
        <xdr:cNvGrpSpPr/>
      </xdr:nvGrpSpPr>
      <xdr:grpSpPr>
        <a:xfrm>
          <a:off x="27872669" y="5822206"/>
          <a:ext cx="500190" cy="517300"/>
          <a:chOff x="28442253" y="5797031"/>
          <a:chExt cx="500190" cy="476425"/>
        </a:xfrm>
      </xdr:grpSpPr>
      <xdr:sp macro="" textlink="Location2ANALYSIS!J21">
        <xdr:nvSpPr>
          <xdr:cNvPr id="806" name="TextBox 805">
            <a:extLst>
              <a:ext uri="{FF2B5EF4-FFF2-40B4-BE49-F238E27FC236}">
                <a16:creationId xmlns:a16="http://schemas.microsoft.com/office/drawing/2014/main" id="{3B30BA05-E648-C14B-B816-D534649C924E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7C442B-B268-2642-82BE-571F281B5767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07" name="TextBox 806">
            <a:extLst>
              <a:ext uri="{FF2B5EF4-FFF2-40B4-BE49-F238E27FC236}">
                <a16:creationId xmlns:a16="http://schemas.microsoft.com/office/drawing/2014/main" id="{73C019B0-3510-6349-BC64-8B6EBD1BD484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457189</xdr:colOff>
      <xdr:row>37</xdr:row>
      <xdr:rowOff>167632</xdr:rowOff>
    </xdr:from>
    <xdr:to>
      <xdr:col>34</xdr:col>
      <xdr:colOff>213314</xdr:colOff>
      <xdr:row>40</xdr:row>
      <xdr:rowOff>154715</xdr:rowOff>
    </xdr:to>
    <xdr:grpSp>
      <xdr:nvGrpSpPr>
        <xdr:cNvPr id="808" name="Group 807">
          <a:extLst>
            <a:ext uri="{FF2B5EF4-FFF2-40B4-BE49-F238E27FC236}">
              <a16:creationId xmlns:a16="http://schemas.microsoft.com/office/drawing/2014/main" id="{AB8043B0-75A6-4442-83C4-C4DE3A83926E}"/>
            </a:ext>
          </a:extLst>
        </xdr:cNvPr>
        <xdr:cNvGrpSpPr/>
      </xdr:nvGrpSpPr>
      <xdr:grpSpPr>
        <a:xfrm>
          <a:off x="28047939" y="6581132"/>
          <a:ext cx="592208" cy="516250"/>
          <a:chOff x="28422131" y="6901138"/>
          <a:chExt cx="596279" cy="485315"/>
        </a:xfrm>
      </xdr:grpSpPr>
      <xdr:sp macro="" textlink="Location2ANALYSIS!J20">
        <xdr:nvSpPr>
          <xdr:cNvPr id="809" name="TextBox 808">
            <a:extLst>
              <a:ext uri="{FF2B5EF4-FFF2-40B4-BE49-F238E27FC236}">
                <a16:creationId xmlns:a16="http://schemas.microsoft.com/office/drawing/2014/main" id="{72C23FB6-4179-9C40-9C2B-BCF69D394EF0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0EB87F-9F51-9845-8D33-9D6E6B14016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10" name="TextBox 809">
            <a:extLst>
              <a:ext uri="{FF2B5EF4-FFF2-40B4-BE49-F238E27FC236}">
                <a16:creationId xmlns:a16="http://schemas.microsoft.com/office/drawing/2014/main" id="{F7C90F69-C1A6-DA46-8AEE-4414C6AA9D47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20">
        <xdr:nvSpPr>
          <xdr:cNvPr id="811" name="TextBox 810">
            <a:extLst>
              <a:ext uri="{FF2B5EF4-FFF2-40B4-BE49-F238E27FC236}">
                <a16:creationId xmlns:a16="http://schemas.microsoft.com/office/drawing/2014/main" id="{DE5548F3-82D0-6849-926A-55F4C3AA73F7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B9091B9-1D0B-5641-ADB4-A79813BE4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677974</xdr:colOff>
      <xdr:row>43</xdr:row>
      <xdr:rowOff>42423</xdr:rowOff>
    </xdr:from>
    <xdr:to>
      <xdr:col>34</xdr:col>
      <xdr:colOff>434099</xdr:colOff>
      <xdr:row>46</xdr:row>
      <xdr:rowOff>19737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03D9A64A-9865-5F4F-B942-CF49BE30488E}"/>
            </a:ext>
          </a:extLst>
        </xdr:cNvPr>
        <xdr:cNvGrpSpPr/>
      </xdr:nvGrpSpPr>
      <xdr:grpSpPr>
        <a:xfrm>
          <a:off x="28268724" y="7524840"/>
          <a:ext cx="592208" cy="517064"/>
          <a:chOff x="28422131" y="6901138"/>
          <a:chExt cx="596279" cy="485315"/>
        </a:xfrm>
      </xdr:grpSpPr>
      <xdr:sp macro="" textlink="Location2ANALYSIS!J19">
        <xdr:nvSpPr>
          <xdr:cNvPr id="813" name="TextBox 812">
            <a:extLst>
              <a:ext uri="{FF2B5EF4-FFF2-40B4-BE49-F238E27FC236}">
                <a16:creationId xmlns:a16="http://schemas.microsoft.com/office/drawing/2014/main" id="{4681018D-F98B-E346-A386-46A13359FDAF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BD7D47-5E26-2B45-B6EE-7E72E866B5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14" name="TextBox 813">
            <a:extLst>
              <a:ext uri="{FF2B5EF4-FFF2-40B4-BE49-F238E27FC236}">
                <a16:creationId xmlns:a16="http://schemas.microsoft.com/office/drawing/2014/main" id="{78A72F20-1531-A54D-96D3-1BBE4817F40A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9">
        <xdr:nvSpPr>
          <xdr:cNvPr id="815" name="TextBox 814">
            <a:extLst>
              <a:ext uri="{FF2B5EF4-FFF2-40B4-BE49-F238E27FC236}">
                <a16:creationId xmlns:a16="http://schemas.microsoft.com/office/drawing/2014/main" id="{4C21370F-2985-E548-B606-7C008601A0E1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4CC6210-94AF-F243-A1F7-FBBD3190113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577005</xdr:colOff>
      <xdr:row>48</xdr:row>
      <xdr:rowOff>128118</xdr:rowOff>
    </xdr:from>
    <xdr:to>
      <xdr:col>34</xdr:col>
      <xdr:colOff>571259</xdr:colOff>
      <xdr:row>50</xdr:row>
      <xdr:rowOff>82573</xdr:rowOff>
    </xdr:to>
    <xdr:sp macro="" textlink="Location2ANALYSIS!L35">
      <xdr:nvSpPr>
        <xdr:cNvPr id="816" name="Rectangle 815">
          <a:extLst>
            <a:ext uri="{FF2B5EF4-FFF2-40B4-BE49-F238E27FC236}">
              <a16:creationId xmlns:a16="http://schemas.microsoft.com/office/drawing/2014/main" id="{4872F354-6EEA-1741-9166-6DD8C68C2644}"/>
            </a:ext>
          </a:extLst>
        </xdr:cNvPr>
        <xdr:cNvSpPr>
          <a:spLocks noChangeAspect="1"/>
        </xdr:cNvSpPr>
      </xdr:nvSpPr>
      <xdr:spPr>
        <a:xfrm>
          <a:off x="28167755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5A07361-5BE7-3B43-94DF-DF5BE3E5690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574019</xdr:colOff>
      <xdr:row>33</xdr:row>
      <xdr:rowOff>128373</xdr:rowOff>
    </xdr:from>
    <xdr:to>
      <xdr:col>34</xdr:col>
      <xdr:colOff>82206</xdr:colOff>
      <xdr:row>36</xdr:row>
      <xdr:rowOff>105923</xdr:rowOff>
    </xdr:to>
    <xdr:sp macro="" textlink="Location2ANALYSIS!K21">
      <xdr:nvSpPr>
        <xdr:cNvPr id="817" name="TextBox 816">
          <a:extLst>
            <a:ext uri="{FF2B5EF4-FFF2-40B4-BE49-F238E27FC236}">
              <a16:creationId xmlns:a16="http://schemas.microsoft.com/office/drawing/2014/main" id="{96B19446-AE92-B242-9230-7EA44FC8C0B3}"/>
            </a:ext>
          </a:extLst>
        </xdr:cNvPr>
        <xdr:cNvSpPr txBox="1"/>
      </xdr:nvSpPr>
      <xdr:spPr>
        <a:xfrm>
          <a:off x="28164769" y="5822206"/>
          <a:ext cx="344270" cy="517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C751554-3C94-794C-9129-B2F9B58E8B72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313193</xdr:colOff>
      <xdr:row>27</xdr:row>
      <xdr:rowOff>10540</xdr:rowOff>
    </xdr:from>
    <xdr:to>
      <xdr:col>33</xdr:col>
      <xdr:colOff>307449</xdr:colOff>
      <xdr:row>28</xdr:row>
      <xdr:rowOff>122182</xdr:rowOff>
    </xdr:to>
    <xdr:sp macro="" textlink="Location1ANALYSIS!L34">
      <xdr:nvSpPr>
        <xdr:cNvPr id="818" name="Rectangle 817">
          <a:extLst>
            <a:ext uri="{FF2B5EF4-FFF2-40B4-BE49-F238E27FC236}">
              <a16:creationId xmlns:a16="http://schemas.microsoft.com/office/drawing/2014/main" id="{25137104-866B-694C-992B-98932F9B79ED}"/>
            </a:ext>
          </a:extLst>
        </xdr:cNvPr>
        <xdr:cNvSpPr>
          <a:spLocks noChangeAspect="1"/>
        </xdr:cNvSpPr>
      </xdr:nvSpPr>
      <xdr:spPr>
        <a:xfrm>
          <a:off x="27067860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7ABAD6C2-D73F-764B-A69D-5B73660BDF7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33</xdr:col>
      <xdr:colOff>476176</xdr:colOff>
      <xdr:row>27</xdr:row>
      <xdr:rowOff>10540</xdr:rowOff>
    </xdr:from>
    <xdr:to>
      <xdr:col>34</xdr:col>
      <xdr:colOff>470432</xdr:colOff>
      <xdr:row>28</xdr:row>
      <xdr:rowOff>122182</xdr:rowOff>
    </xdr:to>
    <xdr:sp macro="" textlink="Location1ANALYSIS!L35">
      <xdr:nvSpPr>
        <xdr:cNvPr id="819" name="Rectangle 818">
          <a:extLst>
            <a:ext uri="{FF2B5EF4-FFF2-40B4-BE49-F238E27FC236}">
              <a16:creationId xmlns:a16="http://schemas.microsoft.com/office/drawing/2014/main" id="{6D0AFEFC-0B83-BF4B-822C-9317AB6E46DD}"/>
            </a:ext>
          </a:extLst>
        </xdr:cNvPr>
        <xdr:cNvSpPr>
          <a:spLocks noChangeAspect="1"/>
        </xdr:cNvSpPr>
      </xdr:nvSpPr>
      <xdr:spPr>
        <a:xfrm>
          <a:off x="28066926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A5D50B6-5031-9E43-8C43-D4CC953F52A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45</xdr:col>
      <xdr:colOff>15636</xdr:colOff>
      <xdr:row>15</xdr:row>
      <xdr:rowOff>84829</xdr:rowOff>
    </xdr:from>
    <xdr:to>
      <xdr:col>45</xdr:col>
      <xdr:colOff>834526</xdr:colOff>
      <xdr:row>17</xdr:row>
      <xdr:rowOff>2573</xdr:rowOff>
    </xdr:to>
    <xdr:sp macro="" textlink="[1]Match!$C$1">
      <xdr:nvSpPr>
        <xdr:cNvPr id="820" name="Rectangle 819">
          <a:extLst>
            <a:ext uri="{FF2B5EF4-FFF2-40B4-BE49-F238E27FC236}">
              <a16:creationId xmlns:a16="http://schemas.microsoft.com/office/drawing/2014/main" id="{BE1B55C2-14E2-BF4C-A2D7-4D8E3EDC7CD5}"/>
            </a:ext>
          </a:extLst>
        </xdr:cNvPr>
        <xdr:cNvSpPr>
          <a:spLocks noChangeAspect="1"/>
        </xdr:cNvSpPr>
      </xdr:nvSpPr>
      <xdr:spPr>
        <a:xfrm>
          <a:off x="37639386" y="2645996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439269</xdr:colOff>
      <xdr:row>25</xdr:row>
      <xdr:rowOff>35955</xdr:rowOff>
    </xdr:from>
    <xdr:to>
      <xdr:col>20</xdr:col>
      <xdr:colOff>432698</xdr:colOff>
      <xdr:row>26</xdr:row>
      <xdr:rowOff>147635</xdr:rowOff>
    </xdr:to>
    <xdr:sp macro="" textlink="Location1ANALYSIS!F35">
      <xdr:nvSpPr>
        <xdr:cNvPr id="525" name="Rectangle 524">
          <a:extLst>
            <a:ext uri="{FF2B5EF4-FFF2-40B4-BE49-F238E27FC236}">
              <a16:creationId xmlns:a16="http://schemas.microsoft.com/office/drawing/2014/main" id="{8927A902-4B69-8E4C-8E72-45D3BB1F40F7}"/>
            </a:ext>
          </a:extLst>
        </xdr:cNvPr>
        <xdr:cNvSpPr>
          <a:spLocks noChangeAspect="1"/>
        </xdr:cNvSpPr>
      </xdr:nvSpPr>
      <xdr:spPr>
        <a:xfrm>
          <a:off x="16324852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DFDF649-DF8A-E74B-81A1-A562F661D58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51</xdr:col>
      <xdr:colOff>508001</xdr:colOff>
      <xdr:row>4</xdr:row>
      <xdr:rowOff>42334</xdr:rowOff>
    </xdr:from>
    <xdr:to>
      <xdr:col>52</xdr:col>
      <xdr:colOff>490808</xdr:colOff>
      <xdr:row>5</xdr:row>
      <xdr:rowOff>150577</xdr:rowOff>
    </xdr:to>
    <xdr:sp macro="" textlink="'P&amp;T'!B25">
      <xdr:nvSpPr>
        <xdr:cNvPr id="556" name="Rectangle 555">
          <a:extLst>
            <a:ext uri="{FF2B5EF4-FFF2-40B4-BE49-F238E27FC236}">
              <a16:creationId xmlns:a16="http://schemas.microsoft.com/office/drawing/2014/main" id="{0A191A78-9EC2-7541-8505-8C2E4D5830A0}"/>
            </a:ext>
          </a:extLst>
        </xdr:cNvPr>
        <xdr:cNvSpPr>
          <a:spLocks noChangeAspect="1"/>
        </xdr:cNvSpPr>
      </xdr:nvSpPr>
      <xdr:spPr>
        <a:xfrm>
          <a:off x="43148251" y="719667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35A3AA2-7F16-124C-8B00-AA1B9AA741C8}" type="TxLink">
            <a:rPr lang="en-US" sz="1000" b="1" i="0" u="none" strike="noStrike">
              <a:solidFill>
                <a:srgbClr val="008080"/>
              </a:solidFill>
              <a:latin typeface="+mn-lt"/>
              <a:ea typeface="Verdana"/>
              <a:cs typeface="Verdana"/>
            </a:rPr>
            <a:t>69</a:t>
          </a:fld>
          <a:endParaRPr lang="en-US" sz="10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52</xdr:col>
      <xdr:colOff>618068</xdr:colOff>
      <xdr:row>4</xdr:row>
      <xdr:rowOff>57151</xdr:rowOff>
    </xdr:from>
    <xdr:to>
      <xdr:col>53</xdr:col>
      <xdr:colOff>600874</xdr:colOff>
      <xdr:row>5</xdr:row>
      <xdr:rowOff>165394</xdr:rowOff>
    </xdr:to>
    <xdr:sp macro="" textlink="'P&amp;T'!C25">
      <xdr:nvSpPr>
        <xdr:cNvPr id="557" name="Rectangle 556">
          <a:extLst>
            <a:ext uri="{FF2B5EF4-FFF2-40B4-BE49-F238E27FC236}">
              <a16:creationId xmlns:a16="http://schemas.microsoft.com/office/drawing/2014/main" id="{0062EAC2-7072-234C-992B-0EA3CA7FA747}"/>
            </a:ext>
          </a:extLst>
        </xdr:cNvPr>
        <xdr:cNvSpPr>
          <a:spLocks noChangeAspect="1"/>
        </xdr:cNvSpPr>
      </xdr:nvSpPr>
      <xdr:spPr>
        <a:xfrm>
          <a:off x="44094401" y="734484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DCDFC3-C662-4149-A024-1691FB35F3E0}" type="TxLink">
            <a:rPr lang="en-US" sz="1000" b="1" i="0" u="none" strike="noStrike">
              <a:solidFill>
                <a:srgbClr val="800000"/>
              </a:solidFill>
              <a:latin typeface="+mn-lt"/>
              <a:ea typeface="Verdana"/>
              <a:cs typeface="Verdana"/>
            </a:rPr>
            <a:t>38</a:t>
          </a:fld>
          <a:endParaRPr lang="en-US" sz="10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yniha/PycharmProjects/matchreporter/matchreporter/match-analysis-report_away_home_13-06-2019/sportscode-scorecard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atch"/>
      <sheetName val="Players1"/>
      <sheetName val="Players2"/>
      <sheetName val="Halves"/>
      <sheetName val="Sectors"/>
      <sheetName val="Sectors1"/>
      <sheetName val="Sectors2"/>
      <sheetName val="Location1"/>
      <sheetName val="Location2"/>
      <sheetName val="Possessions"/>
      <sheetName val="Tackles"/>
    </sheetNames>
    <sheetDataSet>
      <sheetData sheetId="0"/>
      <sheetData sheetId="1">
        <row r="1">
          <cell r="A1" t="str">
            <v>kpi</v>
          </cell>
          <cell r="B1" t="str">
            <v>away</v>
          </cell>
          <cell r="C1" t="str">
            <v>home</v>
          </cell>
        </row>
        <row r="2">
          <cell r="A2" t="str">
            <v>attack</v>
          </cell>
          <cell r="B2">
            <v>0</v>
          </cell>
          <cell r="C2">
            <v>40</v>
          </cell>
        </row>
        <row r="3">
          <cell r="A3" t="str">
            <v>clock</v>
          </cell>
          <cell r="B3">
            <v>0</v>
          </cell>
          <cell r="C3">
            <v>1</v>
          </cell>
        </row>
        <row r="4">
          <cell r="A4" t="str">
            <v>free against</v>
          </cell>
          <cell r="B4">
            <v>0</v>
          </cell>
          <cell r="C4">
            <v>12</v>
          </cell>
        </row>
        <row r="5">
          <cell r="A5" t="str">
            <v>goal from play</v>
          </cell>
          <cell r="B5">
            <v>0</v>
          </cell>
          <cell r="C5">
            <v>2</v>
          </cell>
        </row>
        <row r="6">
          <cell r="A6" t="str">
            <v>opp attack</v>
          </cell>
          <cell r="B6">
            <v>46</v>
          </cell>
          <cell r="C6">
            <v>0</v>
          </cell>
        </row>
        <row r="7">
          <cell r="A7" t="str">
            <v>opp attack sideline</v>
          </cell>
          <cell r="B7">
            <v>1</v>
          </cell>
          <cell r="C7">
            <v>0</v>
          </cell>
        </row>
        <row r="8">
          <cell r="A8" t="str">
            <v>opp free against</v>
          </cell>
          <cell r="B8">
            <v>13</v>
          </cell>
          <cell r="C8">
            <v>0</v>
          </cell>
        </row>
        <row r="9">
          <cell r="A9" t="str">
            <v>opp free against sideline</v>
          </cell>
          <cell r="B9">
            <v>1</v>
          </cell>
          <cell r="C9">
            <v>0</v>
          </cell>
        </row>
        <row r="10">
          <cell r="A10" t="str">
            <v>opp goal</v>
          </cell>
          <cell r="B10">
            <v>1</v>
          </cell>
          <cell r="C10">
            <v>0</v>
          </cell>
        </row>
        <row r="11">
          <cell r="A11" t="str">
            <v>opp po lost</v>
          </cell>
          <cell r="B11">
            <v>10</v>
          </cell>
          <cell r="C11">
            <v>0</v>
          </cell>
        </row>
        <row r="12">
          <cell r="A12" t="str">
            <v>opp po won</v>
          </cell>
          <cell r="B12">
            <v>13</v>
          </cell>
          <cell r="C12">
            <v>0</v>
          </cell>
        </row>
        <row r="13">
          <cell r="A13" t="str">
            <v>opp point 65</v>
          </cell>
          <cell r="B13">
            <v>1</v>
          </cell>
          <cell r="C13">
            <v>0</v>
          </cell>
        </row>
        <row r="14">
          <cell r="A14" t="str">
            <v>opp point from placed</v>
          </cell>
          <cell r="B14">
            <v>4</v>
          </cell>
          <cell r="C14">
            <v>0</v>
          </cell>
        </row>
        <row r="15">
          <cell r="A15" t="str">
            <v>opp point from play</v>
          </cell>
          <cell r="B15">
            <v>13</v>
          </cell>
          <cell r="C15">
            <v>0</v>
          </cell>
        </row>
        <row r="16">
          <cell r="A16" t="str">
            <v>opp possession</v>
          </cell>
          <cell r="B16">
            <v>10</v>
          </cell>
          <cell r="C16">
            <v>0</v>
          </cell>
        </row>
        <row r="17">
          <cell r="A17" t="str">
            <v>opp possession sideline</v>
          </cell>
          <cell r="B17">
            <v>2</v>
          </cell>
          <cell r="C17">
            <v>0</v>
          </cell>
        </row>
        <row r="18">
          <cell r="A18" t="str">
            <v>opp save</v>
          </cell>
          <cell r="B18">
            <v>3</v>
          </cell>
          <cell r="C18">
            <v>0</v>
          </cell>
        </row>
        <row r="19">
          <cell r="A19" t="str">
            <v>opp short from play</v>
          </cell>
          <cell r="B19">
            <v>1</v>
          </cell>
          <cell r="C19">
            <v>0</v>
          </cell>
        </row>
        <row r="20">
          <cell r="A20" t="str">
            <v>opp wide</v>
          </cell>
          <cell r="B20">
            <v>2</v>
          </cell>
          <cell r="C20">
            <v>0</v>
          </cell>
        </row>
        <row r="21">
          <cell r="A21" t="str">
            <v>opp wide from placed</v>
          </cell>
          <cell r="B21">
            <v>2</v>
          </cell>
          <cell r="C21">
            <v>0</v>
          </cell>
        </row>
        <row r="22">
          <cell r="A22" t="str">
            <v>opp wide from play</v>
          </cell>
          <cell r="B22">
            <v>6</v>
          </cell>
          <cell r="C22">
            <v>0</v>
          </cell>
        </row>
        <row r="23">
          <cell r="A23" t="str">
            <v>own po lost</v>
          </cell>
          <cell r="B23">
            <v>0</v>
          </cell>
          <cell r="C23">
            <v>13</v>
          </cell>
        </row>
        <row r="24">
          <cell r="A24" t="str">
            <v>own po lost sideline</v>
          </cell>
          <cell r="B24">
            <v>0</v>
          </cell>
          <cell r="C24">
            <v>2</v>
          </cell>
        </row>
        <row r="25">
          <cell r="A25" t="str">
            <v>own po won</v>
          </cell>
          <cell r="B25">
            <v>0</v>
          </cell>
          <cell r="C25">
            <v>15</v>
          </cell>
        </row>
        <row r="26">
          <cell r="A26" t="str">
            <v>point from placed</v>
          </cell>
          <cell r="B26">
            <v>0</v>
          </cell>
          <cell r="C26">
            <v>7</v>
          </cell>
        </row>
        <row r="27">
          <cell r="A27" t="str">
            <v>point from play</v>
          </cell>
          <cell r="B27">
            <v>0</v>
          </cell>
          <cell r="C27">
            <v>15</v>
          </cell>
        </row>
        <row r="28">
          <cell r="A28" t="str">
            <v>possession</v>
          </cell>
          <cell r="B28">
            <v>0</v>
          </cell>
          <cell r="C28">
            <v>70</v>
          </cell>
        </row>
        <row r="29">
          <cell r="A29" t="str">
            <v>possession from play</v>
          </cell>
          <cell r="B29">
            <v>0</v>
          </cell>
          <cell r="C29">
            <v>1</v>
          </cell>
        </row>
        <row r="30">
          <cell r="A30" t="str">
            <v>possession lost</v>
          </cell>
          <cell r="B30">
            <v>0</v>
          </cell>
          <cell r="C30">
            <v>43</v>
          </cell>
        </row>
        <row r="31">
          <cell r="A31" t="str">
            <v>possession sideline</v>
          </cell>
          <cell r="B31">
            <v>0</v>
          </cell>
          <cell r="C31">
            <v>6</v>
          </cell>
        </row>
        <row r="32">
          <cell r="A32" t="str">
            <v>posts</v>
          </cell>
          <cell r="B32">
            <v>0</v>
          </cell>
          <cell r="C32">
            <v>1</v>
          </cell>
        </row>
        <row r="33">
          <cell r="A33" t="str">
            <v>posts from placed</v>
          </cell>
          <cell r="B33">
            <v>0</v>
          </cell>
          <cell r="C33">
            <v>1</v>
          </cell>
        </row>
        <row r="34">
          <cell r="A34" t="str">
            <v>short from play</v>
          </cell>
          <cell r="B34">
            <v>0</v>
          </cell>
          <cell r="C34">
            <v>2</v>
          </cell>
        </row>
        <row r="35">
          <cell r="A35" t="str">
            <v>tackle</v>
          </cell>
          <cell r="B35">
            <v>0</v>
          </cell>
          <cell r="C35">
            <v>41</v>
          </cell>
        </row>
        <row r="36">
          <cell r="A36" t="str">
            <v>to won</v>
          </cell>
          <cell r="B36">
            <v>0</v>
          </cell>
          <cell r="C36">
            <v>35</v>
          </cell>
        </row>
        <row r="37">
          <cell r="A37" t="str">
            <v>wide from placed</v>
          </cell>
          <cell r="B37">
            <v>0</v>
          </cell>
          <cell r="C37">
            <v>2</v>
          </cell>
        </row>
        <row r="38">
          <cell r="A38" t="str">
            <v>wide from play</v>
          </cell>
          <cell r="B38">
            <v>0</v>
          </cell>
          <cell r="C38">
            <v>2</v>
          </cell>
        </row>
        <row r="39">
          <cell r="A39" t="str">
            <v>All</v>
          </cell>
          <cell r="B39">
            <v>129</v>
          </cell>
          <cell r="C39">
            <v>311</v>
          </cell>
        </row>
      </sheetData>
      <sheetData sheetId="2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13</v>
          </cell>
          <cell r="E1" t="str">
            <v>14</v>
          </cell>
          <cell r="F1" t="str">
            <v>19</v>
          </cell>
          <cell r="G1" t="str">
            <v>2</v>
          </cell>
          <cell r="H1" t="str">
            <v>20</v>
          </cell>
          <cell r="I1" t="str">
            <v>6</v>
          </cell>
          <cell r="J1" t="str">
            <v>9</v>
          </cell>
          <cell r="K1" t="str">
            <v>All</v>
          </cell>
        </row>
        <row r="2">
          <cell r="A2" t="str">
            <v>opp attack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</row>
        <row r="3">
          <cell r="A3" t="str">
            <v>opp free against sideline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</row>
        <row r="4">
          <cell r="A4" t="str">
            <v>opp goal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1</v>
          </cell>
        </row>
        <row r="5">
          <cell r="A5" t="str">
            <v>opp point from placed</v>
          </cell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1</v>
          </cell>
          <cell r="J5">
            <v>0</v>
          </cell>
          <cell r="K5">
            <v>2</v>
          </cell>
        </row>
        <row r="6">
          <cell r="A6" t="str">
            <v>opp point from play</v>
          </cell>
          <cell r="B6">
            <v>0</v>
          </cell>
          <cell r="C6">
            <v>0</v>
          </cell>
          <cell r="D6">
            <v>5</v>
          </cell>
          <cell r="E6">
            <v>1</v>
          </cell>
          <cell r="F6">
            <v>1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9</v>
          </cell>
        </row>
        <row r="7">
          <cell r="A7" t="str">
            <v>opp possession</v>
          </cell>
          <cell r="B7">
            <v>2</v>
          </cell>
          <cell r="C7">
            <v>3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9</v>
          </cell>
        </row>
        <row r="8">
          <cell r="A8" t="str">
            <v>opp save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</row>
        <row r="9">
          <cell r="A9" t="str">
            <v>opp short from play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</row>
        <row r="10">
          <cell r="A10" t="str">
            <v>opp wide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</row>
        <row r="11">
          <cell r="A11" t="str">
            <v>opp wide from placed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</row>
        <row r="12">
          <cell r="A12" t="str">
            <v>opp wide from play</v>
          </cell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3</v>
          </cell>
        </row>
        <row r="13">
          <cell r="A13" t="str">
            <v>All</v>
          </cell>
          <cell r="B13">
            <v>4</v>
          </cell>
          <cell r="C13">
            <v>6</v>
          </cell>
          <cell r="D13">
            <v>8</v>
          </cell>
          <cell r="E13">
            <v>2</v>
          </cell>
          <cell r="F13">
            <v>1</v>
          </cell>
          <cell r="G13">
            <v>1</v>
          </cell>
          <cell r="H13">
            <v>1</v>
          </cell>
          <cell r="I13">
            <v>3</v>
          </cell>
          <cell r="J13">
            <v>5</v>
          </cell>
          <cell r="K13">
            <v>31</v>
          </cell>
        </row>
      </sheetData>
      <sheetData sheetId="3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12</v>
          </cell>
          <cell r="E1" t="str">
            <v>13</v>
          </cell>
          <cell r="F1" t="str">
            <v>14</v>
          </cell>
          <cell r="G1" t="str">
            <v>15</v>
          </cell>
          <cell r="H1" t="str">
            <v>16</v>
          </cell>
          <cell r="I1" t="str">
            <v>18</v>
          </cell>
          <cell r="J1" t="str">
            <v>2</v>
          </cell>
          <cell r="K1" t="str">
            <v>20</v>
          </cell>
          <cell r="L1" t="str">
            <v>3</v>
          </cell>
          <cell r="M1" t="str">
            <v>4</v>
          </cell>
          <cell r="N1" t="str">
            <v>5</v>
          </cell>
          <cell r="O1" t="str">
            <v>6</v>
          </cell>
          <cell r="P1" t="str">
            <v>7</v>
          </cell>
          <cell r="Q1" t="str">
            <v>8</v>
          </cell>
          <cell r="R1" t="str">
            <v>9</v>
          </cell>
          <cell r="S1" t="str">
            <v>All</v>
          </cell>
        </row>
        <row r="2">
          <cell r="A2" t="str">
            <v>attack</v>
          </cell>
          <cell r="B2">
            <v>0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2</v>
          </cell>
        </row>
        <row r="3">
          <cell r="A3" t="str">
            <v>free against</v>
          </cell>
          <cell r="B3">
            <v>0</v>
          </cell>
          <cell r="C3">
            <v>2</v>
          </cell>
          <cell r="D3">
            <v>0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</v>
          </cell>
          <cell r="S3">
            <v>6</v>
          </cell>
        </row>
        <row r="4">
          <cell r="A4" t="str">
            <v>goal from play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</row>
        <row r="5">
          <cell r="A5" t="str">
            <v>own po won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</row>
        <row r="6">
          <cell r="A6" t="str">
            <v>point from placed</v>
          </cell>
          <cell r="B6">
            <v>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5</v>
          </cell>
        </row>
        <row r="7">
          <cell r="A7" t="str">
            <v>point from play</v>
          </cell>
          <cell r="B7">
            <v>3</v>
          </cell>
          <cell r="C7">
            <v>3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13</v>
          </cell>
        </row>
        <row r="8">
          <cell r="A8" t="str">
            <v>possession</v>
          </cell>
          <cell r="B8">
            <v>12</v>
          </cell>
          <cell r="C8">
            <v>11</v>
          </cell>
          <cell r="D8">
            <v>1</v>
          </cell>
          <cell r="E8">
            <v>2</v>
          </cell>
          <cell r="F8">
            <v>3</v>
          </cell>
          <cell r="G8">
            <v>8</v>
          </cell>
          <cell r="H8">
            <v>1</v>
          </cell>
          <cell r="I8">
            <v>4</v>
          </cell>
          <cell r="J8">
            <v>0</v>
          </cell>
          <cell r="K8">
            <v>1</v>
          </cell>
          <cell r="L8">
            <v>0</v>
          </cell>
          <cell r="M8">
            <v>4</v>
          </cell>
          <cell r="N8">
            <v>3</v>
          </cell>
          <cell r="O8">
            <v>7</v>
          </cell>
          <cell r="P8">
            <v>6</v>
          </cell>
          <cell r="Q8">
            <v>0</v>
          </cell>
          <cell r="R8">
            <v>6</v>
          </cell>
          <cell r="S8">
            <v>69</v>
          </cell>
        </row>
        <row r="9">
          <cell r="A9" t="str">
            <v>possession from play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</row>
        <row r="10">
          <cell r="A10" t="str">
            <v>possession lost</v>
          </cell>
          <cell r="B10">
            <v>0</v>
          </cell>
          <cell r="C10">
            <v>1</v>
          </cell>
          <cell r="D10">
            <v>0</v>
          </cell>
          <cell r="E10">
            <v>2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4</v>
          </cell>
          <cell r="Q10">
            <v>0</v>
          </cell>
          <cell r="R10">
            <v>0</v>
          </cell>
          <cell r="S10">
            <v>15</v>
          </cell>
        </row>
        <row r="11">
          <cell r="A11" t="str">
            <v>possession sideline</v>
          </cell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5</v>
          </cell>
        </row>
        <row r="12">
          <cell r="A12" t="str">
            <v>posts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</row>
        <row r="13">
          <cell r="A13" t="str">
            <v>posts from placed</v>
          </cell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</row>
        <row r="14">
          <cell r="A14" t="str">
            <v>short from play</v>
          </cell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 t="str">
            <v>tackle</v>
          </cell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  <cell r="G15">
            <v>2</v>
          </cell>
          <cell r="H15">
            <v>1</v>
          </cell>
          <cell r="I15">
            <v>4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6</v>
          </cell>
          <cell r="O15">
            <v>1</v>
          </cell>
          <cell r="P15">
            <v>2</v>
          </cell>
          <cell r="Q15">
            <v>4</v>
          </cell>
          <cell r="R15">
            <v>4</v>
          </cell>
          <cell r="S15">
            <v>38</v>
          </cell>
        </row>
      </sheetData>
      <sheetData sheetId="4"/>
      <sheetData sheetId="5">
        <row r="1">
          <cell r="A1" t="str">
            <v>team</v>
          </cell>
          <cell r="B1" t="str">
            <v>away</v>
          </cell>
          <cell r="H1" t="str">
            <v>home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8</v>
          </cell>
          <cell r="I5">
            <v>8</v>
          </cell>
          <cell r="J5">
            <v>5</v>
          </cell>
          <cell r="K5">
            <v>7</v>
          </cell>
          <cell r="L5">
            <v>5</v>
          </cell>
          <cell r="M5">
            <v>7</v>
          </cell>
        </row>
        <row r="6">
          <cell r="A6" t="str">
            <v>clock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</row>
        <row r="7">
          <cell r="A7" t="str">
            <v>free against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2</v>
          </cell>
          <cell r="J7">
            <v>3</v>
          </cell>
          <cell r="K7">
            <v>1</v>
          </cell>
          <cell r="L7">
            <v>1</v>
          </cell>
          <cell r="M7">
            <v>2</v>
          </cell>
        </row>
        <row r="8">
          <cell r="A8" t="str">
            <v>goal from play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</row>
        <row r="9">
          <cell r="A9" t="str">
            <v>opp attack</v>
          </cell>
          <cell r="B9">
            <v>10</v>
          </cell>
          <cell r="C9">
            <v>8</v>
          </cell>
          <cell r="D9">
            <v>5</v>
          </cell>
          <cell r="E9">
            <v>7</v>
          </cell>
          <cell r="F9">
            <v>7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opp attack sideline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opp free against</v>
          </cell>
          <cell r="B11">
            <v>1</v>
          </cell>
          <cell r="C11">
            <v>1</v>
          </cell>
          <cell r="D11">
            <v>2</v>
          </cell>
          <cell r="E11">
            <v>0</v>
          </cell>
          <cell r="F11">
            <v>5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opp free against sideline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opp goal</v>
          </cell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opp po lost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opp po won</v>
          </cell>
          <cell r="B15">
            <v>2</v>
          </cell>
          <cell r="C15">
            <v>2</v>
          </cell>
          <cell r="D15">
            <v>2</v>
          </cell>
          <cell r="E15">
            <v>4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opp point 65</v>
          </cell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opp point from placed</v>
          </cell>
          <cell r="B17">
            <v>1</v>
          </cell>
          <cell r="C17">
            <v>1</v>
          </cell>
          <cell r="D17">
            <v>1</v>
          </cell>
          <cell r="E17">
            <v>0</v>
          </cell>
          <cell r="F17">
            <v>1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opp point from play</v>
          </cell>
          <cell r="B18">
            <v>2</v>
          </cell>
          <cell r="C18">
            <v>3</v>
          </cell>
          <cell r="D18">
            <v>2</v>
          </cell>
          <cell r="E18">
            <v>2</v>
          </cell>
          <cell r="F18">
            <v>3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opp possession</v>
          </cell>
          <cell r="B19">
            <v>0</v>
          </cell>
          <cell r="C19">
            <v>7</v>
          </cell>
          <cell r="D19">
            <v>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opp possession sideline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opp save</v>
          </cell>
          <cell r="B21">
            <v>0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opp short from play</v>
          </cell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opp wide</v>
          </cell>
          <cell r="B23">
            <v>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opp wide from placed</v>
          </cell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opp wide from play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own po lost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3</v>
          </cell>
          <cell r="I26">
            <v>3</v>
          </cell>
          <cell r="J26">
            <v>1</v>
          </cell>
          <cell r="K26">
            <v>1</v>
          </cell>
          <cell r="L26">
            <v>2</v>
          </cell>
          <cell r="M26">
            <v>3</v>
          </cell>
        </row>
        <row r="27">
          <cell r="A27" t="str">
            <v>own po lost sideline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own po won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</v>
          </cell>
          <cell r="I28">
            <v>3</v>
          </cell>
          <cell r="J28">
            <v>2</v>
          </cell>
          <cell r="K28">
            <v>2</v>
          </cell>
          <cell r="L28">
            <v>3</v>
          </cell>
          <cell r="M28">
            <v>2</v>
          </cell>
        </row>
        <row r="29">
          <cell r="A29" t="str">
            <v>point from placed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</v>
          </cell>
          <cell r="I29">
            <v>0</v>
          </cell>
          <cell r="J29">
            <v>0</v>
          </cell>
          <cell r="K29">
            <v>1</v>
          </cell>
          <cell r="L29">
            <v>1</v>
          </cell>
          <cell r="M29">
            <v>4</v>
          </cell>
        </row>
        <row r="30">
          <cell r="A30" t="str">
            <v>point from play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3</v>
          </cell>
          <cell r="I30">
            <v>2</v>
          </cell>
          <cell r="J30">
            <v>2</v>
          </cell>
          <cell r="K30">
            <v>5</v>
          </cell>
          <cell r="L30">
            <v>0</v>
          </cell>
          <cell r="M30">
            <v>3</v>
          </cell>
        </row>
        <row r="31">
          <cell r="A31" t="str">
            <v>possession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14</v>
          </cell>
          <cell r="I31">
            <v>17</v>
          </cell>
          <cell r="J31">
            <v>14</v>
          </cell>
          <cell r="K31">
            <v>17</v>
          </cell>
          <cell r="L31">
            <v>5</v>
          </cell>
          <cell r="M31">
            <v>3</v>
          </cell>
        </row>
        <row r="32">
          <cell r="A32" t="str">
            <v>possession from play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possession lost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12</v>
          </cell>
          <cell r="I33">
            <v>6</v>
          </cell>
          <cell r="J33">
            <v>6</v>
          </cell>
          <cell r="K33">
            <v>8</v>
          </cell>
          <cell r="L33">
            <v>7</v>
          </cell>
          <cell r="M33">
            <v>4</v>
          </cell>
        </row>
        <row r="34">
          <cell r="A34" t="str">
            <v>possession sideline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1</v>
          </cell>
          <cell r="K34">
            <v>1</v>
          </cell>
          <cell r="L34">
            <v>0</v>
          </cell>
          <cell r="M34">
            <v>3</v>
          </cell>
        </row>
        <row r="35">
          <cell r="A35" t="str">
            <v>posts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posts from placed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short from play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0</v>
          </cell>
          <cell r="K37">
            <v>1</v>
          </cell>
          <cell r="L37">
            <v>0</v>
          </cell>
          <cell r="M37">
            <v>0</v>
          </cell>
        </row>
        <row r="38">
          <cell r="A38" t="str">
            <v>tackle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7</v>
          </cell>
          <cell r="I38">
            <v>5</v>
          </cell>
          <cell r="J38">
            <v>9</v>
          </cell>
          <cell r="K38">
            <v>11</v>
          </cell>
          <cell r="L38">
            <v>7</v>
          </cell>
          <cell r="M38">
            <v>2</v>
          </cell>
        </row>
        <row r="39">
          <cell r="A39" t="str">
            <v>to won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9</v>
          </cell>
          <cell r="I39">
            <v>5</v>
          </cell>
          <cell r="J39">
            <v>5</v>
          </cell>
          <cell r="K39">
            <v>9</v>
          </cell>
          <cell r="L39">
            <v>4</v>
          </cell>
          <cell r="M39">
            <v>3</v>
          </cell>
        </row>
        <row r="40">
          <cell r="A40" t="str">
            <v>wide from placed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1</v>
          </cell>
          <cell r="M40">
            <v>1</v>
          </cell>
        </row>
        <row r="41">
          <cell r="A41" t="str">
            <v>wide from play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1</v>
          </cell>
        </row>
        <row r="42">
          <cell r="A42" t="str">
            <v>All</v>
          </cell>
          <cell r="B42">
            <v>23</v>
          </cell>
          <cell r="C42">
            <v>27</v>
          </cell>
          <cell r="D42">
            <v>18</v>
          </cell>
          <cell r="E42">
            <v>16</v>
          </cell>
          <cell r="F42">
            <v>22</v>
          </cell>
          <cell r="G42">
            <v>23</v>
          </cell>
          <cell r="H42">
            <v>65</v>
          </cell>
          <cell r="I42">
            <v>56</v>
          </cell>
          <cell r="J42">
            <v>50</v>
          </cell>
          <cell r="K42">
            <v>64</v>
          </cell>
          <cell r="L42">
            <v>36</v>
          </cell>
          <cell r="M42">
            <v>40</v>
          </cell>
        </row>
      </sheetData>
      <sheetData sheetId="6">
        <row r="1">
          <cell r="A1" t="str">
            <v>team</v>
          </cell>
          <cell r="B1" t="str">
            <v>away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opp attack</v>
          </cell>
          <cell r="B5">
            <v>10</v>
          </cell>
          <cell r="C5">
            <v>8</v>
          </cell>
          <cell r="D5">
            <v>5</v>
          </cell>
          <cell r="E5">
            <v>7</v>
          </cell>
          <cell r="F5">
            <v>7</v>
          </cell>
          <cell r="G5">
            <v>9</v>
          </cell>
        </row>
        <row r="6">
          <cell r="A6" t="str">
            <v>opp attack sideline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opp free against</v>
          </cell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5</v>
          </cell>
          <cell r="G7">
            <v>4</v>
          </cell>
        </row>
        <row r="8">
          <cell r="A8" t="str">
            <v>opp free against sideline</v>
          </cell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opp goal</v>
          </cell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opp po lost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5</v>
          </cell>
        </row>
        <row r="11">
          <cell r="A11" t="str">
            <v>opp po won</v>
          </cell>
          <cell r="B11">
            <v>2</v>
          </cell>
          <cell r="C11">
            <v>2</v>
          </cell>
          <cell r="D11">
            <v>2</v>
          </cell>
          <cell r="E11">
            <v>4</v>
          </cell>
          <cell r="F11">
            <v>1</v>
          </cell>
          <cell r="G11">
            <v>2</v>
          </cell>
        </row>
        <row r="12">
          <cell r="A12" t="str">
            <v>opp point 65</v>
          </cell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</row>
        <row r="13">
          <cell r="A13" t="str">
            <v>opp point from placed</v>
          </cell>
          <cell r="B13">
            <v>1</v>
          </cell>
          <cell r="C13">
            <v>1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</row>
        <row r="14">
          <cell r="A14" t="str">
            <v>opp point from play</v>
          </cell>
          <cell r="B14">
            <v>2</v>
          </cell>
          <cell r="C14">
            <v>3</v>
          </cell>
          <cell r="D14">
            <v>2</v>
          </cell>
          <cell r="E14">
            <v>2</v>
          </cell>
          <cell r="F14">
            <v>3</v>
          </cell>
          <cell r="G14">
            <v>1</v>
          </cell>
        </row>
        <row r="15">
          <cell r="A15" t="str">
            <v>opp possession</v>
          </cell>
          <cell r="B15">
            <v>0</v>
          </cell>
          <cell r="C15">
            <v>7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opp possession sideline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</row>
        <row r="17">
          <cell r="A17" t="str">
            <v>opp save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0</v>
          </cell>
        </row>
        <row r="18">
          <cell r="A18" t="str">
            <v>opp short from play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 t="str">
            <v>opp wide</v>
          </cell>
          <cell r="B19">
            <v>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opp wide from placed</v>
          </cell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1</v>
          </cell>
          <cell r="G20">
            <v>0</v>
          </cell>
        </row>
        <row r="21">
          <cell r="A21" t="str">
            <v>opp wide from play</v>
          </cell>
          <cell r="B21">
            <v>2</v>
          </cell>
          <cell r="C21">
            <v>1</v>
          </cell>
          <cell r="D21">
            <v>0</v>
          </cell>
          <cell r="E21">
            <v>0</v>
          </cell>
          <cell r="F21">
            <v>1</v>
          </cell>
          <cell r="G21">
            <v>2</v>
          </cell>
        </row>
        <row r="22">
          <cell r="A22" t="str">
            <v>All</v>
          </cell>
          <cell r="B22">
            <v>23</v>
          </cell>
          <cell r="C22">
            <v>27</v>
          </cell>
          <cell r="D22">
            <v>18</v>
          </cell>
          <cell r="E22">
            <v>16</v>
          </cell>
          <cell r="F22">
            <v>22</v>
          </cell>
          <cell r="G22">
            <v>23</v>
          </cell>
        </row>
      </sheetData>
      <sheetData sheetId="7">
        <row r="1">
          <cell r="A1" t="str">
            <v>team</v>
          </cell>
          <cell r="B1" t="str">
            <v>home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8</v>
          </cell>
          <cell r="C5">
            <v>8</v>
          </cell>
          <cell r="D5">
            <v>5</v>
          </cell>
          <cell r="E5">
            <v>7</v>
          </cell>
          <cell r="F5">
            <v>5</v>
          </cell>
          <cell r="G5">
            <v>7</v>
          </cell>
        </row>
        <row r="6">
          <cell r="A6" t="str">
            <v>clock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</row>
        <row r="7">
          <cell r="A7" t="str">
            <v>free against</v>
          </cell>
          <cell r="B7">
            <v>3</v>
          </cell>
          <cell r="C7">
            <v>2</v>
          </cell>
          <cell r="D7">
            <v>3</v>
          </cell>
          <cell r="E7">
            <v>1</v>
          </cell>
          <cell r="F7">
            <v>1</v>
          </cell>
          <cell r="G7">
            <v>2</v>
          </cell>
        </row>
        <row r="8">
          <cell r="A8" t="str">
            <v>goal from play</v>
          </cell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</row>
        <row r="9">
          <cell r="A9" t="str">
            <v>own po lost</v>
          </cell>
          <cell r="B9">
            <v>3</v>
          </cell>
          <cell r="C9">
            <v>3</v>
          </cell>
          <cell r="D9">
            <v>1</v>
          </cell>
          <cell r="E9">
            <v>1</v>
          </cell>
          <cell r="F9">
            <v>2</v>
          </cell>
          <cell r="G9">
            <v>3</v>
          </cell>
        </row>
        <row r="10">
          <cell r="A10" t="str">
            <v>own po lost sideline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own po won</v>
          </cell>
          <cell r="B11">
            <v>3</v>
          </cell>
          <cell r="C11">
            <v>3</v>
          </cell>
          <cell r="D11">
            <v>2</v>
          </cell>
          <cell r="E11">
            <v>2</v>
          </cell>
          <cell r="F11">
            <v>3</v>
          </cell>
          <cell r="G11">
            <v>2</v>
          </cell>
        </row>
        <row r="12">
          <cell r="A12" t="str">
            <v>point from placed</v>
          </cell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4</v>
          </cell>
        </row>
        <row r="13">
          <cell r="A13" t="str">
            <v>point from play</v>
          </cell>
          <cell r="B13">
            <v>3</v>
          </cell>
          <cell r="C13">
            <v>2</v>
          </cell>
          <cell r="D13">
            <v>2</v>
          </cell>
          <cell r="E13">
            <v>5</v>
          </cell>
          <cell r="F13">
            <v>0</v>
          </cell>
          <cell r="G13">
            <v>3</v>
          </cell>
        </row>
        <row r="14">
          <cell r="A14" t="str">
            <v>possession</v>
          </cell>
          <cell r="B14">
            <v>14</v>
          </cell>
          <cell r="C14">
            <v>17</v>
          </cell>
          <cell r="D14">
            <v>14</v>
          </cell>
          <cell r="E14">
            <v>17</v>
          </cell>
          <cell r="F14">
            <v>5</v>
          </cell>
          <cell r="G14">
            <v>3</v>
          </cell>
        </row>
        <row r="15">
          <cell r="A15" t="str">
            <v>possession from play</v>
          </cell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possession lost</v>
          </cell>
          <cell r="B16">
            <v>12</v>
          </cell>
          <cell r="C16">
            <v>6</v>
          </cell>
          <cell r="D16">
            <v>6</v>
          </cell>
          <cell r="E16">
            <v>8</v>
          </cell>
          <cell r="F16">
            <v>7</v>
          </cell>
          <cell r="G16">
            <v>4</v>
          </cell>
        </row>
        <row r="17">
          <cell r="A17" t="str">
            <v>possession sideline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3</v>
          </cell>
        </row>
        <row r="18">
          <cell r="A18" t="str">
            <v>posts</v>
          </cell>
          <cell r="B18">
            <v>0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 t="str">
            <v>posts from placed</v>
          </cell>
          <cell r="B19">
            <v>0</v>
          </cell>
          <cell r="C19">
            <v>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short from play</v>
          </cell>
          <cell r="B20">
            <v>0</v>
          </cell>
          <cell r="C20">
            <v>1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</row>
        <row r="21">
          <cell r="A21" t="str">
            <v>tackle</v>
          </cell>
          <cell r="B21">
            <v>7</v>
          </cell>
          <cell r="C21">
            <v>5</v>
          </cell>
          <cell r="D21">
            <v>9</v>
          </cell>
          <cell r="E21">
            <v>11</v>
          </cell>
          <cell r="F21">
            <v>7</v>
          </cell>
          <cell r="G21">
            <v>2</v>
          </cell>
        </row>
        <row r="22">
          <cell r="A22" t="str">
            <v>to won</v>
          </cell>
          <cell r="B22">
            <v>9</v>
          </cell>
          <cell r="C22">
            <v>5</v>
          </cell>
          <cell r="D22">
            <v>5</v>
          </cell>
          <cell r="E22">
            <v>9</v>
          </cell>
          <cell r="F22">
            <v>4</v>
          </cell>
          <cell r="G22">
            <v>3</v>
          </cell>
        </row>
        <row r="23">
          <cell r="A23" t="str">
            <v>wide from placed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1</v>
          </cell>
        </row>
        <row r="24">
          <cell r="A24" t="str">
            <v>wide from play</v>
          </cell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1</v>
          </cell>
        </row>
        <row r="25">
          <cell r="A25" t="str">
            <v>All</v>
          </cell>
          <cell r="B25">
            <v>65</v>
          </cell>
          <cell r="C25">
            <v>56</v>
          </cell>
          <cell r="D25">
            <v>50</v>
          </cell>
          <cell r="E25">
            <v>64</v>
          </cell>
          <cell r="F25">
            <v>36</v>
          </cell>
          <cell r="G25">
            <v>40</v>
          </cell>
        </row>
      </sheetData>
      <sheetData sheetId="8">
        <row r="1">
          <cell r="A1" t="str">
            <v>team</v>
          </cell>
          <cell r="B1" t="str">
            <v>away</v>
          </cell>
          <cell r="R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2a</v>
          </cell>
          <cell r="F2" t="str">
            <v>2b</v>
          </cell>
          <cell r="G2" t="str">
            <v>2c</v>
          </cell>
          <cell r="H2" t="str">
            <v>3a</v>
          </cell>
          <cell r="I2" t="str">
            <v>3b</v>
          </cell>
          <cell r="J2" t="str">
            <v>3c</v>
          </cell>
          <cell r="K2" t="str">
            <v>4a</v>
          </cell>
          <cell r="L2" t="str">
            <v>4b</v>
          </cell>
          <cell r="M2" t="str">
            <v>4c</v>
          </cell>
          <cell r="N2" t="str">
            <v>5a</v>
          </cell>
          <cell r="O2" t="str">
            <v>5b</v>
          </cell>
          <cell r="P2" t="str">
            <v>5c</v>
          </cell>
          <cell r="Q2" t="str">
            <v>6b</v>
          </cell>
        </row>
        <row r="3">
          <cell r="A3" t="str">
            <v>kpi</v>
          </cell>
        </row>
        <row r="4">
          <cell r="A4" t="str">
            <v>opp free against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3</v>
          </cell>
          <cell r="I4">
            <v>1</v>
          </cell>
          <cell r="J4">
            <v>1</v>
          </cell>
          <cell r="K4">
            <v>0</v>
          </cell>
          <cell r="L4">
            <v>1</v>
          </cell>
          <cell r="M4">
            <v>1</v>
          </cell>
          <cell r="N4">
            <v>2</v>
          </cell>
          <cell r="O4">
            <v>1</v>
          </cell>
          <cell r="P4">
            <v>0</v>
          </cell>
          <cell r="Q4">
            <v>1</v>
          </cell>
          <cell r="R4">
            <v>13</v>
          </cell>
        </row>
        <row r="5">
          <cell r="A5" t="str">
            <v>opp free against sideline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1</v>
          </cell>
        </row>
        <row r="6">
          <cell r="A6" t="str">
            <v>opp goal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</v>
          </cell>
        </row>
        <row r="7">
          <cell r="A7" t="str">
            <v>opp po lost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10</v>
          </cell>
        </row>
        <row r="8">
          <cell r="A8" t="str">
            <v>opp po won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2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0</v>
          </cell>
          <cell r="R8">
            <v>13</v>
          </cell>
        </row>
        <row r="9">
          <cell r="A9" t="str">
            <v>opp point 65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</row>
        <row r="10">
          <cell r="A10" t="str">
            <v>opp point from placed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4</v>
          </cell>
        </row>
        <row r="11">
          <cell r="A11" t="str">
            <v>opp point from play</v>
          </cell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1</v>
          </cell>
          <cell r="G11">
            <v>3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1</v>
          </cell>
          <cell r="N11">
            <v>1</v>
          </cell>
          <cell r="O11">
            <v>1</v>
          </cell>
          <cell r="P11">
            <v>0</v>
          </cell>
          <cell r="Q11">
            <v>1</v>
          </cell>
          <cell r="R11">
            <v>13</v>
          </cell>
        </row>
        <row r="12">
          <cell r="A12" t="str">
            <v>opp save</v>
          </cell>
          <cell r="B12">
            <v>0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</row>
        <row r="13">
          <cell r="A13" t="str">
            <v>opp short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</row>
        <row r="14">
          <cell r="A14" t="str">
            <v>opp wide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opp wide from placed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opp wide from play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2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6</v>
          </cell>
        </row>
        <row r="17">
          <cell r="A17" t="str">
            <v>All</v>
          </cell>
          <cell r="B17">
            <v>1</v>
          </cell>
          <cell r="C17">
            <v>3</v>
          </cell>
          <cell r="D17">
            <v>1</v>
          </cell>
          <cell r="E17">
            <v>3</v>
          </cell>
          <cell r="F17">
            <v>3</v>
          </cell>
          <cell r="G17">
            <v>9</v>
          </cell>
          <cell r="H17">
            <v>6</v>
          </cell>
          <cell r="I17">
            <v>2</v>
          </cell>
          <cell r="J17">
            <v>4</v>
          </cell>
          <cell r="K17">
            <v>9</v>
          </cell>
          <cell r="L17">
            <v>7</v>
          </cell>
          <cell r="M17">
            <v>7</v>
          </cell>
          <cell r="N17">
            <v>5</v>
          </cell>
          <cell r="O17">
            <v>3</v>
          </cell>
          <cell r="P17">
            <v>4</v>
          </cell>
          <cell r="Q17">
            <v>2</v>
          </cell>
          <cell r="R17">
            <v>69</v>
          </cell>
        </row>
      </sheetData>
      <sheetData sheetId="9">
        <row r="1">
          <cell r="A1" t="str">
            <v>team</v>
          </cell>
          <cell r="B1" t="str">
            <v>home</v>
          </cell>
          <cell r="R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2a</v>
          </cell>
          <cell r="E2" t="str">
            <v>2b</v>
          </cell>
          <cell r="F2" t="str">
            <v>2c</v>
          </cell>
          <cell r="G2" t="str">
            <v>3a</v>
          </cell>
          <cell r="H2" t="str">
            <v>3b</v>
          </cell>
          <cell r="I2" t="str">
            <v>3c</v>
          </cell>
          <cell r="J2" t="str">
            <v>4a</v>
          </cell>
          <cell r="K2" t="str">
            <v>4b</v>
          </cell>
          <cell r="L2" t="str">
            <v>4c</v>
          </cell>
          <cell r="M2" t="str">
            <v>5a</v>
          </cell>
          <cell r="N2" t="str">
            <v>5b</v>
          </cell>
          <cell r="O2" t="str">
            <v>6a</v>
          </cell>
          <cell r="P2" t="str">
            <v>6b</v>
          </cell>
          <cell r="Q2" t="str">
            <v>6c</v>
          </cell>
        </row>
        <row r="3">
          <cell r="A3" t="str">
            <v>kpi</v>
          </cell>
        </row>
        <row r="4">
          <cell r="A4" t="str">
            <v>free against</v>
          </cell>
          <cell r="B4">
            <v>0</v>
          </cell>
          <cell r="C4">
            <v>1</v>
          </cell>
          <cell r="D4">
            <v>0</v>
          </cell>
          <cell r="E4">
            <v>2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2</v>
          </cell>
          <cell r="K4">
            <v>1</v>
          </cell>
          <cell r="L4">
            <v>3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12</v>
          </cell>
        </row>
        <row r="5">
          <cell r="A5" t="str">
            <v>goal from play</v>
          </cell>
          <cell r="B5">
            <v>0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2</v>
          </cell>
        </row>
        <row r="6">
          <cell r="A6" t="str">
            <v>own po lost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3</v>
          </cell>
          <cell r="H6">
            <v>0</v>
          </cell>
          <cell r="I6">
            <v>3</v>
          </cell>
          <cell r="J6">
            <v>2</v>
          </cell>
          <cell r="K6">
            <v>0</v>
          </cell>
          <cell r="L6">
            <v>3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13</v>
          </cell>
        </row>
        <row r="7">
          <cell r="A7" t="str">
            <v>own po lost sideline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</row>
        <row r="8">
          <cell r="A8" t="str">
            <v>own po won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4</v>
          </cell>
          <cell r="H8">
            <v>0</v>
          </cell>
          <cell r="I8">
            <v>2</v>
          </cell>
          <cell r="J8">
            <v>2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15</v>
          </cell>
        </row>
        <row r="9">
          <cell r="A9" t="str">
            <v>point from placed</v>
          </cell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7</v>
          </cell>
        </row>
        <row r="10">
          <cell r="A10" t="str">
            <v>point from play</v>
          </cell>
          <cell r="B10">
            <v>0</v>
          </cell>
          <cell r="C10">
            <v>1</v>
          </cell>
          <cell r="D10">
            <v>1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2</v>
          </cell>
          <cell r="M10">
            <v>2</v>
          </cell>
          <cell r="N10">
            <v>0</v>
          </cell>
          <cell r="O10">
            <v>2</v>
          </cell>
          <cell r="P10">
            <v>0</v>
          </cell>
          <cell r="Q10">
            <v>0</v>
          </cell>
          <cell r="R10">
            <v>14</v>
          </cell>
        </row>
        <row r="11">
          <cell r="A11" t="str">
            <v>posts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</row>
        <row r="12">
          <cell r="A12" t="str">
            <v>posts from placed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</row>
        <row r="13">
          <cell r="A13" t="str">
            <v>short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</row>
        <row r="14">
          <cell r="A14" t="str">
            <v>wide from placed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wide from play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All</v>
          </cell>
          <cell r="B16">
            <v>1</v>
          </cell>
          <cell r="C16">
            <v>3</v>
          </cell>
          <cell r="D16">
            <v>1</v>
          </cell>
          <cell r="E16">
            <v>10</v>
          </cell>
          <cell r="F16">
            <v>1</v>
          </cell>
          <cell r="G16">
            <v>10</v>
          </cell>
          <cell r="H16">
            <v>2</v>
          </cell>
          <cell r="I16">
            <v>6</v>
          </cell>
          <cell r="J16">
            <v>7</v>
          </cell>
          <cell r="K16">
            <v>5</v>
          </cell>
          <cell r="L16">
            <v>16</v>
          </cell>
          <cell r="M16">
            <v>4</v>
          </cell>
          <cell r="N16">
            <v>3</v>
          </cell>
          <cell r="O16">
            <v>2</v>
          </cell>
          <cell r="P16">
            <v>1</v>
          </cell>
          <cell r="Q16">
            <v>1</v>
          </cell>
          <cell r="R16">
            <v>73</v>
          </cell>
        </row>
      </sheetData>
      <sheetData sheetId="10">
        <row r="1">
          <cell r="A1" t="str">
            <v>player</v>
          </cell>
          <cell r="B1" t="str">
            <v>home</v>
          </cell>
        </row>
        <row r="2">
          <cell r="A2">
            <v>10</v>
          </cell>
          <cell r="B2">
            <v>12</v>
          </cell>
        </row>
        <row r="3">
          <cell r="A3">
            <v>11</v>
          </cell>
          <cell r="B3">
            <v>11</v>
          </cell>
        </row>
        <row r="4">
          <cell r="A4">
            <v>12</v>
          </cell>
          <cell r="B4">
            <v>1</v>
          </cell>
        </row>
        <row r="5">
          <cell r="A5">
            <v>13</v>
          </cell>
          <cell r="B5">
            <v>2</v>
          </cell>
        </row>
        <row r="6">
          <cell r="A6">
            <v>14</v>
          </cell>
          <cell r="B6">
            <v>3</v>
          </cell>
        </row>
        <row r="7">
          <cell r="A7">
            <v>15</v>
          </cell>
          <cell r="B7">
            <v>8</v>
          </cell>
        </row>
        <row r="8">
          <cell r="A8">
            <v>16</v>
          </cell>
          <cell r="B8">
            <v>1</v>
          </cell>
        </row>
        <row r="9">
          <cell r="A9">
            <v>18</v>
          </cell>
          <cell r="B9">
            <v>4</v>
          </cell>
        </row>
        <row r="10">
          <cell r="A10">
            <v>20</v>
          </cell>
          <cell r="B10">
            <v>1</v>
          </cell>
        </row>
        <row r="11">
          <cell r="A11">
            <v>4</v>
          </cell>
          <cell r="B11">
            <v>4</v>
          </cell>
        </row>
        <row r="12">
          <cell r="A12">
            <v>5</v>
          </cell>
          <cell r="B12">
            <v>3</v>
          </cell>
        </row>
        <row r="13">
          <cell r="A13">
            <v>6</v>
          </cell>
          <cell r="B13">
            <v>7</v>
          </cell>
        </row>
        <row r="14">
          <cell r="A14">
            <v>7</v>
          </cell>
          <cell r="B14">
            <v>6</v>
          </cell>
        </row>
        <row r="15">
          <cell r="A15">
            <v>9</v>
          </cell>
          <cell r="B15">
            <v>6</v>
          </cell>
        </row>
      </sheetData>
      <sheetData sheetId="11">
        <row r="1">
          <cell r="A1" t="str">
            <v>player</v>
          </cell>
          <cell r="B1" t="str">
            <v>home</v>
          </cell>
        </row>
        <row r="2">
          <cell r="A2">
            <v>10</v>
          </cell>
          <cell r="B2">
            <v>1</v>
          </cell>
        </row>
        <row r="3">
          <cell r="A3">
            <v>11</v>
          </cell>
          <cell r="B3">
            <v>4</v>
          </cell>
        </row>
        <row r="4">
          <cell r="A4">
            <v>14</v>
          </cell>
          <cell r="B4">
            <v>4</v>
          </cell>
        </row>
        <row r="5">
          <cell r="A5">
            <v>15</v>
          </cell>
          <cell r="B5">
            <v>2</v>
          </cell>
        </row>
        <row r="6">
          <cell r="A6">
            <v>16</v>
          </cell>
          <cell r="B6">
            <v>1</v>
          </cell>
        </row>
        <row r="7">
          <cell r="A7">
            <v>18</v>
          </cell>
          <cell r="B7">
            <v>4</v>
          </cell>
        </row>
        <row r="8">
          <cell r="A8">
            <v>2</v>
          </cell>
          <cell r="B8">
            <v>2</v>
          </cell>
        </row>
        <row r="9">
          <cell r="A9">
            <v>3</v>
          </cell>
          <cell r="B9">
            <v>2</v>
          </cell>
        </row>
        <row r="10">
          <cell r="A10">
            <v>4</v>
          </cell>
          <cell r="B10">
            <v>1</v>
          </cell>
        </row>
        <row r="11">
          <cell r="A11">
            <v>5</v>
          </cell>
          <cell r="B11">
            <v>6</v>
          </cell>
        </row>
        <row r="12">
          <cell r="A12">
            <v>6</v>
          </cell>
          <cell r="B12">
            <v>1</v>
          </cell>
        </row>
        <row r="13">
          <cell r="A13">
            <v>7</v>
          </cell>
          <cell r="B13">
            <v>2</v>
          </cell>
        </row>
        <row r="14">
          <cell r="A14">
            <v>8</v>
          </cell>
          <cell r="B14">
            <v>4</v>
          </cell>
        </row>
        <row r="15">
          <cell r="A15">
            <v>9</v>
          </cell>
          <cell r="B1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G28" sqref="G28"/>
    </sheetView>
  </sheetViews>
  <sheetFormatPr baseColWidth="10" defaultColWidth="11" defaultRowHeight="13" x14ac:dyDescent="0.15"/>
  <cols>
    <col min="6" max="6" width="14.1640625" bestFit="1" customWidth="1"/>
  </cols>
  <sheetData>
    <row r="2" spans="2:10" ht="15" x14ac:dyDescent="0.2">
      <c r="B2" s="2" t="s">
        <v>14</v>
      </c>
      <c r="C2" s="1"/>
      <c r="D2" s="1"/>
      <c r="E2" s="1"/>
      <c r="F2" s="2" t="s">
        <v>20</v>
      </c>
      <c r="G2" s="1"/>
      <c r="H2" s="1"/>
    </row>
    <row r="3" spans="2:10" ht="15" x14ac:dyDescent="0.2">
      <c r="B3" s="1"/>
      <c r="C3" s="1" t="str">
        <f>[1]Match!$B1</f>
        <v>away</v>
      </c>
      <c r="D3" s="1" t="str">
        <f>[1]Match!$C1</f>
        <v>home</v>
      </c>
      <c r="E3" s="1"/>
      <c r="F3" s="1"/>
      <c r="G3" s="1" t="str">
        <f>[1]Match!$B1</f>
        <v>away</v>
      </c>
      <c r="H3" s="1" t="str">
        <f>[1]Match!$C1</f>
        <v>home</v>
      </c>
    </row>
    <row r="4" spans="2:10" ht="15" x14ac:dyDescent="0.2">
      <c r="B4" s="1" t="s">
        <v>18</v>
      </c>
      <c r="C4" s="1">
        <f>SUMIF([1]Match!A:A, "opp goal*", [1]Match!B:B)</f>
        <v>1</v>
      </c>
      <c r="D4" s="1">
        <f>SUMIF([1]Match!A:A, "goal*", [1]Match!C:C)</f>
        <v>2</v>
      </c>
      <c r="E4" s="1"/>
      <c r="F4" s="1" t="s">
        <v>22</v>
      </c>
      <c r="G4" s="1">
        <f>SUMIF([1]Match!A:A, "opp wide*", [1]Match!B:B)</f>
        <v>10</v>
      </c>
      <c r="H4" s="1">
        <f>SUMIF([1]Match!A:A, "wide*", [1]Match!C:C)</f>
        <v>4</v>
      </c>
    </row>
    <row r="5" spans="2:10" ht="15" x14ac:dyDescent="0.2">
      <c r="B5" s="1" t="s">
        <v>19</v>
      </c>
      <c r="C5" s="1">
        <f>SUMIF([1]Match!A:A, "opp point*", [1]Match!B:B)</f>
        <v>18</v>
      </c>
      <c r="D5" s="1">
        <f>SUMIF([1]Match!A:A, "point*", [1]Match!C:C)</f>
        <v>22</v>
      </c>
      <c r="E5" s="1"/>
      <c r="F5" s="1" t="s">
        <v>2</v>
      </c>
      <c r="G5" s="1">
        <f>SUMIF([1]Match!A:A, "opp short*", [1]Match!B:B)</f>
        <v>1</v>
      </c>
      <c r="H5" s="1">
        <f>SUMIF([1]Match!A:A, "short*", [1]Match!C:C)</f>
        <v>2</v>
      </c>
    </row>
    <row r="6" spans="2:10" ht="15" x14ac:dyDescent="0.2">
      <c r="B6" s="1" t="s">
        <v>1</v>
      </c>
      <c r="C6" s="1">
        <f>SUM(C4:C5)</f>
        <v>19</v>
      </c>
      <c r="D6" s="1">
        <f>SUM(D4:D5)</f>
        <v>24</v>
      </c>
      <c r="E6" s="1"/>
      <c r="F6" s="1" t="s">
        <v>23</v>
      </c>
      <c r="G6" s="1">
        <f>SUMIF([1]Match!A:A, "opp post*", [1]Match!B:B)</f>
        <v>0</v>
      </c>
      <c r="H6" s="1">
        <f>SUMIF([1]Match!A:A, "post*", [1]Match!C:C)</f>
        <v>2</v>
      </c>
    </row>
    <row r="7" spans="2:10" ht="15" x14ac:dyDescent="0.2">
      <c r="B7" s="1" t="s">
        <v>0</v>
      </c>
      <c r="C7" s="1">
        <f>C5+(C4*3)</f>
        <v>21</v>
      </c>
      <c r="D7" s="1">
        <f>D5+(D4*3)</f>
        <v>28</v>
      </c>
      <c r="E7" s="1"/>
      <c r="F7" s="1" t="s">
        <v>24</v>
      </c>
      <c r="G7" s="1">
        <f>SUMIF([1]Match!A:A, "opp save*", [1]Match!B:B)</f>
        <v>3</v>
      </c>
      <c r="H7" s="1">
        <f>SUMIF([1]Match!A:A, "save*", [1]Match!C:C)</f>
        <v>0</v>
      </c>
    </row>
    <row r="8" spans="2:10" ht="15" x14ac:dyDescent="0.2">
      <c r="B8" s="1"/>
      <c r="C8" s="1"/>
      <c r="D8" s="1"/>
      <c r="E8" s="1"/>
      <c r="F8" s="1" t="s">
        <v>3</v>
      </c>
      <c r="G8" s="1">
        <f>SUMIF([1]Match!A:A, "opp 65*", [1]Match!B:B)</f>
        <v>0</v>
      </c>
      <c r="H8" s="1">
        <f>SUMIF([1]Match!A:A, "65*", [1]Match!C:C)</f>
        <v>0</v>
      </c>
    </row>
    <row r="9" spans="2:10" ht="15" x14ac:dyDescent="0.2">
      <c r="B9" s="1"/>
      <c r="C9" s="1"/>
      <c r="D9" s="1"/>
      <c r="E9" s="1"/>
      <c r="F9" s="1" t="s">
        <v>18</v>
      </c>
      <c r="G9" s="1">
        <f>SUMIF([1]Match!A:A, "opp goal*", [1]Match!B:B)</f>
        <v>1</v>
      </c>
      <c r="H9" s="1">
        <f>SUMIF([1]Match!A:A, "goal*", [1]Match!C:C)</f>
        <v>2</v>
      </c>
    </row>
    <row r="10" spans="2:10" ht="15" x14ac:dyDescent="0.2">
      <c r="B10" s="2" t="s">
        <v>42</v>
      </c>
      <c r="C10" s="1"/>
      <c r="D10" s="1"/>
      <c r="E10" s="1"/>
      <c r="F10" s="1" t="s">
        <v>25</v>
      </c>
      <c r="G10" s="1">
        <f>SUMIF([1]Match!A:A, "opp goal*play", [1]Match!B:B)</f>
        <v>0</v>
      </c>
      <c r="H10" s="1">
        <f>SUMIF([1]Match!A:A, "goal*play", [1]Match!C:C)</f>
        <v>2</v>
      </c>
    </row>
    <row r="11" spans="2:10" ht="15" x14ac:dyDescent="0.2">
      <c r="B11" s="1"/>
      <c r="C11" s="1" t="str">
        <f>[1]Match!$B1</f>
        <v>away</v>
      </c>
      <c r="D11" s="1" t="str">
        <f>[1]Match!$C1</f>
        <v>home</v>
      </c>
      <c r="E11" s="1"/>
      <c r="F11" s="1" t="s">
        <v>26</v>
      </c>
      <c r="G11" s="1">
        <f>SUMIF([1]Match!A:A, "opp goal*placed", [1]Match!B:B) + SUMIF([1]Match!A:A, "goal*65", [1]Match!B:B)</f>
        <v>0</v>
      </c>
      <c r="H11" s="1">
        <f>SUMIF([1]Match!A:A, "goal*placed", [1]Match!C:C) + SUMIF([1]Match!A:A, "goal*65", [1]Match!C:C)</f>
        <v>0</v>
      </c>
    </row>
    <row r="12" spans="2:10" ht="15" x14ac:dyDescent="0.2">
      <c r="B12" s="1" t="s">
        <v>0</v>
      </c>
      <c r="C12" s="1">
        <f>SUM(C13:C14)</f>
        <v>23</v>
      </c>
      <c r="D12" s="1">
        <f>SUM(D13:D14)</f>
        <v>28</v>
      </c>
      <c r="E12" s="1"/>
      <c r="F12" s="1" t="s">
        <v>19</v>
      </c>
      <c r="G12" s="1">
        <f>SUMIF([1]Match!A:A, "opp point*", [1]Match!B:B)</f>
        <v>18</v>
      </c>
      <c r="H12" s="1">
        <f>SUMIF([1]Match!A:A, "point*", [1]Match!C:C)</f>
        <v>22</v>
      </c>
    </row>
    <row r="13" spans="2:10" ht="15" x14ac:dyDescent="0.2">
      <c r="B13" s="1" t="s">
        <v>16</v>
      </c>
      <c r="C13" s="1">
        <f>SUMIF([1]Match!A:A, "opp po*won*", [1]Match!B:B)</f>
        <v>13</v>
      </c>
      <c r="D13" s="1">
        <f>SUMIF([1]Match!A:A, "own*won", [1]Match!C:C)</f>
        <v>15</v>
      </c>
      <c r="E13" s="1"/>
      <c r="F13" s="1" t="s">
        <v>27</v>
      </c>
      <c r="G13" s="1">
        <f>SUMIF([1]Match!A:A, "opp point*play", [1]Match!B:B)</f>
        <v>13</v>
      </c>
      <c r="H13" s="1">
        <f>SUMIF([1]Match!A:A, "point*play", [1]Match!C:C)</f>
        <v>15</v>
      </c>
    </row>
    <row r="14" spans="2:10" ht="15" x14ac:dyDescent="0.2">
      <c r="B14" s="1" t="s">
        <v>17</v>
      </c>
      <c r="C14" s="1">
        <f>SUMIF([1]Match!A:A, "opp po*lost*", [1]Match!B:B)</f>
        <v>10</v>
      </c>
      <c r="D14" s="1">
        <f>SUMIF([1]Match!A:A, "own*lost", [1]Match!C:C)</f>
        <v>13</v>
      </c>
      <c r="E14" s="1"/>
      <c r="F14" s="1" t="s">
        <v>28</v>
      </c>
      <c r="G14" s="1">
        <f>SUMIF([1]Match!A:A, "opp point*placed", [1]Match!B:B) + SUMIF([1]Match!A:A, "point*65", [1]Match!B:B)</f>
        <v>4</v>
      </c>
      <c r="H14" s="1">
        <f>SUMIF([1]Match!A:A, "point*placed", [1]Match!C:C) + SUMIF([1]Match!A:A, "point*65", [1]Match!C:C)</f>
        <v>7</v>
      </c>
    </row>
    <row r="15" spans="2:10" ht="15" x14ac:dyDescent="0.2">
      <c r="B15" s="1" t="s">
        <v>41</v>
      </c>
      <c r="C15" s="4">
        <f>(C13+D14)/(C12+D12)</f>
        <v>0.50980392156862742</v>
      </c>
      <c r="D15" s="4">
        <f>(D13+C14)/(C12+D12)</f>
        <v>0.49019607843137253</v>
      </c>
      <c r="E15" s="1"/>
      <c r="F15" s="1" t="s">
        <v>43</v>
      </c>
      <c r="G15" s="1">
        <f>SUMIF([1]Match!A:A, "opp attack*", [1]Match!B:B)</f>
        <v>47</v>
      </c>
      <c r="H15" s="1">
        <f>SUMIF([1]Match!A:A, "attack*", [1]Match!C:C)</f>
        <v>40</v>
      </c>
      <c r="J15" t="s">
        <v>59</v>
      </c>
    </row>
    <row r="16" spans="2:10" ht="15" x14ac:dyDescent="0.2">
      <c r="B16" s="1" t="s">
        <v>47</v>
      </c>
      <c r="C16" s="4">
        <f>C13/C12</f>
        <v>0.56521739130434778</v>
      </c>
      <c r="D16" s="4">
        <f>D13/D12</f>
        <v>0.5357142857142857</v>
      </c>
      <c r="E16" s="1"/>
      <c r="F16" s="1" t="s">
        <v>21</v>
      </c>
      <c r="G16" s="1">
        <f>SUM(G4,G5,G6,G7,G8,G9,G12)</f>
        <v>33</v>
      </c>
      <c r="H16" s="1">
        <f>SUM(H4,H5,H6,H7,H8,H9,H12)</f>
        <v>32</v>
      </c>
    </row>
    <row r="17" spans="2:8" ht="15" x14ac:dyDescent="0.2">
      <c r="B17" s="1" t="s">
        <v>48</v>
      </c>
      <c r="C17" s="4">
        <f>D14/D12</f>
        <v>0.4642857142857143</v>
      </c>
      <c r="D17" s="4">
        <f>C14/C12</f>
        <v>0.43478260869565216</v>
      </c>
      <c r="E17" s="1"/>
      <c r="F17" s="1" t="s">
        <v>1</v>
      </c>
      <c r="G17" s="1">
        <f>SUM(C4:C5)</f>
        <v>19</v>
      </c>
      <c r="H17" s="1">
        <f>SUM(D4:D5)</f>
        <v>24</v>
      </c>
    </row>
    <row r="18" spans="2:8" ht="15" x14ac:dyDescent="0.2">
      <c r="B18" s="1"/>
      <c r="C18" s="1"/>
      <c r="D18" s="1"/>
      <c r="E18" s="1"/>
      <c r="F18" s="1" t="s">
        <v>45</v>
      </c>
      <c r="G18" s="1">
        <f>G13+G10</f>
        <v>13</v>
      </c>
      <c r="H18" s="1">
        <f>H13+H10</f>
        <v>17</v>
      </c>
    </row>
    <row r="19" spans="2:8" ht="15" x14ac:dyDescent="0.2">
      <c r="B19" s="1"/>
      <c r="C19" s="1"/>
      <c r="D19" s="1"/>
      <c r="E19" s="1"/>
      <c r="F19" s="1" t="s">
        <v>46</v>
      </c>
      <c r="G19" s="1">
        <f>G11+G14</f>
        <v>4</v>
      </c>
      <c r="H19" s="1">
        <f>H11+H14</f>
        <v>7</v>
      </c>
    </row>
    <row r="20" spans="2:8" ht="15" x14ac:dyDescent="0.2">
      <c r="B20" s="1"/>
      <c r="C20" s="1"/>
      <c r="D20" s="1"/>
      <c r="E20" s="1"/>
      <c r="F20" s="1" t="s">
        <v>44</v>
      </c>
      <c r="G20" s="4">
        <f>IFERROR(G16/G15,0)</f>
        <v>0.7021276595744681</v>
      </c>
      <c r="H20" s="4">
        <f>IFERROR(H16/H15,0)</f>
        <v>0.8</v>
      </c>
    </row>
    <row r="21" spans="2:8" ht="15" x14ac:dyDescent="0.2">
      <c r="B21" s="1"/>
      <c r="C21" s="1"/>
      <c r="D21" s="1"/>
      <c r="E21" s="1"/>
      <c r="F21" s="1" t="s">
        <v>29</v>
      </c>
      <c r="G21" s="4">
        <f>G17/G16</f>
        <v>0.5757575757575758</v>
      </c>
      <c r="H21" s="4">
        <f>H17/H16</f>
        <v>0.75</v>
      </c>
    </row>
    <row r="22" spans="2:8" ht="15" x14ac:dyDescent="0.2">
      <c r="B22" s="1"/>
      <c r="C22" s="1"/>
      <c r="D22" s="1"/>
      <c r="E22" s="1"/>
      <c r="F22" s="1"/>
      <c r="G22" s="1"/>
      <c r="H22" s="1"/>
    </row>
    <row r="23" spans="2:8" ht="15" x14ac:dyDescent="0.2">
      <c r="B23" s="1"/>
      <c r="C23" s="1"/>
      <c r="D23" s="1"/>
      <c r="E23" s="1"/>
      <c r="F23" s="2" t="s">
        <v>40</v>
      </c>
      <c r="G23" s="1"/>
      <c r="H23" s="1"/>
    </row>
    <row r="24" spans="2:8" ht="15" x14ac:dyDescent="0.2">
      <c r="B24" s="1"/>
      <c r="C24" s="1"/>
      <c r="D24" s="1"/>
      <c r="E24" s="1"/>
      <c r="F24" s="1"/>
      <c r="G24" s="1" t="str">
        <f>[1]Match!$B1</f>
        <v>away</v>
      </c>
      <c r="H24" s="1" t="str">
        <f>[1]Match!$C1</f>
        <v>home</v>
      </c>
    </row>
    <row r="25" spans="2:8" ht="15" x14ac:dyDescent="0.2">
      <c r="B25" s="1"/>
      <c r="C25" s="1"/>
      <c r="D25" s="1"/>
      <c r="E25" s="1"/>
      <c r="F25" s="1" t="s">
        <v>50</v>
      </c>
      <c r="G25" s="1">
        <f>SUMIF([1]Match!A:A, "yellow*", [1]Match!B:B)</f>
        <v>0</v>
      </c>
      <c r="H25" s="1">
        <f>SUMIF([1]Match!A:A, "yellow*", [1]Match!C:C)</f>
        <v>0</v>
      </c>
    </row>
    <row r="26" spans="2:8" ht="15" x14ac:dyDescent="0.2">
      <c r="B26" s="1"/>
      <c r="C26" s="1"/>
      <c r="D26" s="1"/>
      <c r="E26" s="1"/>
      <c r="F26" s="1" t="s">
        <v>51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 x14ac:dyDescent="0.2">
      <c r="B27" s="1"/>
      <c r="C27" s="1"/>
      <c r="D27" s="1"/>
      <c r="E27" s="1"/>
      <c r="F27" s="1" t="s">
        <v>52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 x14ac:dyDescent="0.2">
      <c r="B28" s="1"/>
      <c r="C28" s="1"/>
      <c r="D28" s="1"/>
      <c r="E28" s="1"/>
      <c r="F28" s="1" t="s">
        <v>4</v>
      </c>
      <c r="G28" s="1">
        <f>SUMIF([1]Match!A:A, "opp free*", [1]Match!B:B)</f>
        <v>14</v>
      </c>
      <c r="H28" s="1">
        <f>SUMIF([1]Match!A:A, "free*", [1]Match!C:C)</f>
        <v>12</v>
      </c>
    </row>
    <row r="29" spans="2:8" ht="15" x14ac:dyDescent="0.2">
      <c r="B29" s="1"/>
      <c r="C29" s="1"/>
      <c r="D29" s="1"/>
      <c r="E29" s="1"/>
    </row>
    <row r="30" spans="2:8" ht="15" x14ac:dyDescent="0.2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I20"/>
  <sheetViews>
    <sheetView workbookViewId="0">
      <selection activeCell="E3" sqref="E3"/>
    </sheetView>
  </sheetViews>
  <sheetFormatPr baseColWidth="10" defaultColWidth="11" defaultRowHeight="13" x14ac:dyDescent="0.15"/>
  <sheetData>
    <row r="1" spans="1:9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5" t="s">
        <v>67</v>
      </c>
      <c r="I1" s="5" t="s">
        <v>68</v>
      </c>
    </row>
    <row r="2" spans="1:9" ht="15" x14ac:dyDescent="0.2">
      <c r="A2" s="1" t="str">
        <f>[1]Players1!$B$1</f>
        <v>10</v>
      </c>
      <c r="B2" s="1">
        <f>SUMIF([1]Players1!$A$1:$A$15, "opp goal*", [1]Players1!$B$1:$B$15)</f>
        <v>0</v>
      </c>
      <c r="C2" s="1">
        <f>SUMIF([1]Players1!$A$1:$A$15, "opp point*", [1]Players1!$B$1:$B$15)</f>
        <v>0</v>
      </c>
      <c r="D2" s="1">
        <f>SUMIF([1]Players1!$A$1:$A$15, "opp*from free", [1]Players1!$B$1:$B$15)</f>
        <v>0</v>
      </c>
      <c r="E2" s="1">
        <f>SUMIF([1]Players1!$A$1:$A$15, "opp saved*", [1]Players1!$B$1:$B$15)+SUMIF([1]Players1!$A$1:$A$15, "opp wide*", [1]Players1!$B$1:$B$15)+SUMIF([1]Players1!$A$1:$A$15, "opp short*", [1]Players1!$B$1:$B$15)+SUMIF([1]Players1!$A$1:$A$15, "opp 65*", [1]Players1!$B$1:$B$15)+B2+C2</f>
        <v>1</v>
      </c>
      <c r="F2" s="4">
        <f t="shared" ref="F2:F20" si="0">IFERROR((B2+C2)/E2,0)</f>
        <v>0</v>
      </c>
      <c r="G2" s="1">
        <f>SUMIF([1]Players1!$A$1:$A$15, "opp free*ed", [1]Players1!$B$1:$B$15)</f>
        <v>0</v>
      </c>
    </row>
    <row r="3" spans="1:9" ht="15" x14ac:dyDescent="0.2">
      <c r="A3" s="1" t="str">
        <f>[1]Players1!$C$1</f>
        <v>11</v>
      </c>
      <c r="B3" s="1">
        <f>SUMIF([1]Players1!$A$1:$A$15, "opp goal*", [1]Players1!$C$1:$C$15)</f>
        <v>0</v>
      </c>
      <c r="C3" s="1">
        <f>SUMIF([1]Players1!$A$1:$A$15, "opp point*", [1]Players1!$C$1:$C$15)</f>
        <v>0</v>
      </c>
      <c r="D3" s="1">
        <f>SUMIF([1]Players1!$A$1:$A$15, "opp*from free", [1]Players1!$C$1:$C$15)</f>
        <v>0</v>
      </c>
      <c r="E3" s="1">
        <f>SUMIF([1]Players1!$A$1:$A$15, "opp saved*", [1]Players1!$C$1:$C$15)+SUMIF([1]Players1!$A$1:$A$15, "opp wide*", [1]Players1!$C$1:$C$15)+SUMIF([1]Players1!$A$1:$A$15, "opp short*", [1]Players1!$C$1:$C$15)+SUMIF([1]Players1!$A$1:$A$15, "opp out*", [1]Players1!$C$1:$C$15)+B3+C3</f>
        <v>2</v>
      </c>
      <c r="F3" s="4">
        <f t="shared" si="0"/>
        <v>0</v>
      </c>
      <c r="G3" s="1">
        <f>SUMIF([1]Players1!$A$1:$A$15, "opp free*ed", [1]Players1!$C$1:$C$15)</f>
        <v>0</v>
      </c>
    </row>
    <row r="4" spans="1:9" ht="15" x14ac:dyDescent="0.2">
      <c r="A4" s="1" t="str">
        <f>[1]Players1!$D$1</f>
        <v>13</v>
      </c>
      <c r="B4" s="1">
        <f>SUMIF([1]Players1!$A$1:$A$15, "opp goal*", [1]Players1!$D$1:$D$15)</f>
        <v>0</v>
      </c>
      <c r="C4" s="1">
        <f>SUMIF([1]Players1!$A$1:$A$15, "opp point*", [1]Players1!$D$1:$D$15)</f>
        <v>5</v>
      </c>
      <c r="D4" s="1">
        <f>SUMIF([1]Players1!$A$1:$A$15,"opp*from free", [1]Players1!$D$1:$D$15)</f>
        <v>0</v>
      </c>
      <c r="E4" s="1">
        <f>SUMIF([1]Players1!$A$1:$A$15, "opp saved*", [1]Players1!$D$1:$D$15)+SUMIF([1]Players1!$A$1:$A$15, "opp wide*", [1]Players1!$D$1:$D$15)+SUMIF([1]Players1!$A$1:$A$15, "opp short*", [1]Players1!$D$1:$D$15)+SUMIF([1]Players1!$A$1:$A$15, "opp out*", [1]Players1!$D$1:$D$15)+B4+C4</f>
        <v>5</v>
      </c>
      <c r="F4" s="4">
        <f t="shared" si="0"/>
        <v>1</v>
      </c>
      <c r="G4" s="1">
        <f>SUMIF([1]Players1!$A$1:$A$15,"opp free*ed", [1]Players1!$D$1:$D$15)</f>
        <v>0</v>
      </c>
    </row>
    <row r="5" spans="1:9" ht="15" x14ac:dyDescent="0.2">
      <c r="A5" s="1" t="str">
        <f>[1]Players1!$E$1</f>
        <v>14</v>
      </c>
      <c r="B5" s="1">
        <f>SUMIF([1]Players1!$A$1:$A$15, "opp goal*", [1]Players1!$E$1:$E$15)</f>
        <v>0</v>
      </c>
      <c r="C5" s="1">
        <f>SUMIF([1]Players1!$A$1:$A$15, "opp point*", [1]Players1!$E$1:$E$15)</f>
        <v>2</v>
      </c>
      <c r="D5" s="1">
        <f>SUMIF([1]Players1!$A$1:$A$15, "opp*from free", [1]Players1!$E$1:$E$15)</f>
        <v>0</v>
      </c>
      <c r="E5" s="1">
        <f>SUMIF([1]Players1!$A$1:$A$15, "opp saved*", [1]Players1!$E$1:$E$15)+SUMIF([1]Players1!$A$1:$A$15, "opp wide*", [1]Players1!$E$1:$E$15)+SUMIF([1]Players1!$A$1:$A$15, "opp short*", [1]Players1!$E$1:$E$15)+SUMIF([1]Players1!$A$1:$A$15, "opp out*", [1]Players1!$E$1:$E$15)+B5+C5</f>
        <v>2</v>
      </c>
      <c r="F5" s="4">
        <f t="shared" si="0"/>
        <v>1</v>
      </c>
      <c r="G5" s="1">
        <f>SUMIF([1]Players1!$A$1:$A$15, "opp free*ed", [1]Players1!$E$1:$E$15)</f>
        <v>0</v>
      </c>
    </row>
    <row r="6" spans="1:9" ht="15" x14ac:dyDescent="0.2">
      <c r="A6" s="1" t="str">
        <f>[1]Players1!$F$1</f>
        <v>19</v>
      </c>
      <c r="B6" s="1">
        <f>SUMIF([1]Players1!$A$1:$A$15, "opp goal*", [1]Players1!$F$1:$F$15)</f>
        <v>0</v>
      </c>
      <c r="C6" s="1">
        <f>SUMIF([1]Players1!$A$1:$A$15, "opp point*", [1]Players1!$F$1:$F$15)</f>
        <v>1</v>
      </c>
      <c r="D6" s="1">
        <f>SUMIF([1]Players1!$A$1:$A$15, "opp*from free", [1]Players1!$F$1:$F$15)</f>
        <v>0</v>
      </c>
      <c r="E6" s="1">
        <f>SUMIF([1]Players1!$A$1:$A$15, "opp saved*", [1]Players1!$F$1:$F$15)+SUMIF([1]Players1!$A$1:$A$15, "opp wide*",  [1]Players1!$F$1:$F$15)+SUMIF([1]Players1!$A$1:$A$15, "opp short*",  [1]Players1!$F$1:$F$15)+SUMIF([1]Players1!$A$1:$A$15, "opp out*",  [1]Players1!$F$1:$F$15)+B6+C6</f>
        <v>1</v>
      </c>
      <c r="F6" s="4">
        <f t="shared" si="0"/>
        <v>1</v>
      </c>
      <c r="G6" s="1">
        <f>SUMIF([1]Players1!$A$1:$A$15, "opp free*ed", [1]Players1!$F$1:$F$15)</f>
        <v>0</v>
      </c>
    </row>
    <row r="7" spans="1:9" ht="15" x14ac:dyDescent="0.2">
      <c r="A7" s="1" t="str">
        <f>[1]Players1!$G$1</f>
        <v>2</v>
      </c>
      <c r="B7" s="1">
        <f>SUMIF([1]Players1!$A$1:$A$15, "opp goal*", [1]Players1!$G$1:$G$15)</f>
        <v>0</v>
      </c>
      <c r="C7" s="1">
        <f>SUMIF([1]Players1!$A$1:$A$15, "opp point*", [1]Players1!$G$1:$G$15)</f>
        <v>0</v>
      </c>
      <c r="D7" s="1">
        <f>SUMIF([1]Players1!$A$1:$A$15, "opp*from free", [1]Players1!$G$1:$G$15)</f>
        <v>0</v>
      </c>
      <c r="E7" s="1">
        <f>SUMIF([1]Players1!$A$1:$A$15, "opp saved*", [1]Players1!$G$1:$G$15)+SUMIF([1]Players1!$A$1:$A$15, "opp wide*", [1]Players1!$G$1:$G$15)+SUMIF([1]Players1!$A$1:$A$15, "opp short*", [1]Players1!$G$1:$G$15)+SUMIF([1]Players1!$A$1:$A$15, "opp out*", [1]Players1!$G$1:$G$15)+B7+C7</f>
        <v>0</v>
      </c>
      <c r="F7" s="4">
        <f t="shared" si="0"/>
        <v>0</v>
      </c>
      <c r="G7" s="1">
        <f>SUMIF([1]Players1!$A$1:$A$15, "opp free*ed", [1]Players1!$G$1:$G$15)</f>
        <v>0</v>
      </c>
    </row>
    <row r="8" spans="1:9" ht="15" x14ac:dyDescent="0.2">
      <c r="A8" s="1" t="str">
        <f>[1]Players1!$H$1</f>
        <v>20</v>
      </c>
      <c r="B8" s="1">
        <f>SUMIF([1]Players1!$A$1:$A$15, "opp goal*", [1]Players1!$H$1:$H$15)</f>
        <v>0</v>
      </c>
      <c r="C8" s="1">
        <f>SUMIF([1]Players1!$A$1:$A$15, "opp point*", [1]Players1!$H$1:$H$15)</f>
        <v>1</v>
      </c>
      <c r="D8" s="1">
        <f>SUMIF([1]Players1!$A$1:$A$15,"*oppfrom free", [1]Players1!$H$1:$H$15)</f>
        <v>0</v>
      </c>
      <c r="E8" s="1">
        <f>SUMIF([1]Players1!$A$1:$A$15, "opp saved*", [1]Players1!$H$1:$H$15)+SUMIF([1]Players1!$A$1:$A$15, "opp wide*", [1]Players1!$H$1:$H$15)+SUMIF([1]Players1!$A$1:$A$15, "opp short*", [1]Players1!$H$1:$H$15)+SUMIF([1]Players1!$A$1:$A$15, "opp out*", [1]Players1!$H$1:$H$15)+B8+C8</f>
        <v>1</v>
      </c>
      <c r="F8" s="4">
        <f t="shared" si="0"/>
        <v>1</v>
      </c>
      <c r="G8" s="1">
        <f>SUMIF([1]Players1!$A$1:$A$15,"opp free*ed", [1]Players1!$H$1:$H$15)</f>
        <v>0</v>
      </c>
    </row>
    <row r="9" spans="1:9" ht="15" x14ac:dyDescent="0.2">
      <c r="A9" s="1" t="str">
        <f>[1]Players1!$I$1</f>
        <v>6</v>
      </c>
      <c r="B9" s="1">
        <f>SUMIF([1]Players1!$A$1:$A$15, "opp goal*", [1]Players1!$I$1:$I$15)</f>
        <v>0</v>
      </c>
      <c r="C9" s="1">
        <f>SUMIF([1]Players1!$A$1:$A$15, "opp point*", [1]Players1!$I$1:$I$15)</f>
        <v>1</v>
      </c>
      <c r="D9" s="1">
        <f>SUMIF([1]Players1!$A$1:$A$15, "opp*from free", [1]Players1!$I$1:$I$15)</f>
        <v>0</v>
      </c>
      <c r="E9" s="1">
        <f>SUMIF([1]Players1!$A$1:$A$15, "opp saved*", [1]Players1!$I$1:$I$15)+SUMIF([1]Players1!$A$1:$A$15, "opp wide*", [1]Players1!$I$1:$I$15)+SUMIF([1]Players1!$A$1:$A$15, "opp short*", [1]Players1!$I$1:$I$15)+SUMIF([1]Players1!$A$1:$A$15, "opp out*", [1]Players1!$I$1:$I$15)+B9+C9</f>
        <v>2</v>
      </c>
      <c r="F9" s="4">
        <f t="shared" si="0"/>
        <v>0.5</v>
      </c>
      <c r="G9" s="1">
        <f>SUMIF([1]Players1!$A$1:$A$15, "opp free*ed", [1]Players1!$I$1:$I$15)</f>
        <v>0</v>
      </c>
    </row>
    <row r="10" spans="1:9" ht="15" x14ac:dyDescent="0.2">
      <c r="A10" s="1" t="str">
        <f>[1]Players1!$J$1</f>
        <v>9</v>
      </c>
      <c r="B10" s="1">
        <f>SUMIF([1]Players1!$A$1:$A$15, "opp goal*", [1]Players1!$J$1:$J$15)</f>
        <v>1</v>
      </c>
      <c r="C10" s="1">
        <f>SUMIF([1]Players1!$A$1:$A$15, "opp point*", [1]Players1!$J$1:$J$15)</f>
        <v>1</v>
      </c>
      <c r="D10" s="1">
        <f>SUMIF([1]Players1!$A$1:$A$15, "opp*from free", [1]Players1!$J$1:$J$15)</f>
        <v>0</v>
      </c>
      <c r="E10" s="1">
        <f>SUMIF([1]Players1!$A$1:$A$15, "opp saved*", [1]Players1!$J$1:$J$15)+SUMIF([1]Players1!$A$1:$A$15, "opp wide*", [1]Players1!$J$1:$J$15)+SUMIF([1]Players1!$A$1:$A$15, "opp short*", [1]Players1!$J$1:$J$15)+SUMIF([1]Players1!$A$1:$A$15, "opp out*", [1]Players1!$J$1:$J$15)+B10+C10</f>
        <v>5</v>
      </c>
      <c r="F10" s="4">
        <f t="shared" si="0"/>
        <v>0.4</v>
      </c>
      <c r="G10" s="1">
        <f>SUMIF([1]Players1!$A$1:$A$15, "opp free*ed", [1]Players1!$J$1:$J$15)</f>
        <v>0</v>
      </c>
    </row>
    <row r="11" spans="1:9" ht="15" x14ac:dyDescent="0.2">
      <c r="A11" s="1" t="str">
        <f>[1]Players1!$K$1</f>
        <v>All</v>
      </c>
      <c r="B11" s="1">
        <f>SUMIF([1]Players1!$A$1:$A$15, "opp goal*", [1]Players1!$K$1:$K$15)</f>
        <v>1</v>
      </c>
      <c r="C11" s="1">
        <f>SUMIF([1]Players1!$A$1:$A$15, "opp point*", [1]Players1!$K$1:$K$15)</f>
        <v>11</v>
      </c>
      <c r="D11" s="1">
        <f>SUMIF([1]Players1!$A$1:$A$15, "opp*from free", [1]Players1!$K$1:$K$15)</f>
        <v>0</v>
      </c>
      <c r="E11" s="1">
        <f>SUMIF([1]Players1!$A$1:$A$15, "opp saved*", [1]Players1!$K$1:$K$15)+SUMIF([1]Players1!$A$1:$A$15, "opp wide*", [1]Players1!$K$1:$K$15)+SUMIF([1]Players1!$A$1:$A$15, "opp short*", [1]Players1!$K$1:$K$15)+SUMIF([1]Players1!$A$1:$A$15, "opp out*", [1]Players1!$K$1:$K$15)+B11+C11</f>
        <v>19</v>
      </c>
      <c r="F11" s="4">
        <f t="shared" si="0"/>
        <v>0.63157894736842102</v>
      </c>
      <c r="G11" s="1">
        <f>SUMIF([1]Players1!$A$1:$A$15, "opp free*ed", [1]Players1!$K$1:$K$15)</f>
        <v>0</v>
      </c>
    </row>
    <row r="12" spans="1:9" ht="15" x14ac:dyDescent="0.2">
      <c r="A12" s="1">
        <f>[1]Players1!$L$1</f>
        <v>0</v>
      </c>
      <c r="B12" s="1">
        <f>SUMIF([1]Players1!$A$1:$A$15, "opp goal*", [1]Players1!$L$1:$L$15)</f>
        <v>0</v>
      </c>
      <c r="C12" s="1">
        <f>SUMIF([1]Players1!$A$1:$A$15, "opp point*", [1]Players1!$L$1:$L$15)</f>
        <v>0</v>
      </c>
      <c r="D12" s="1">
        <f>SUMIF([1]Players1!$A$1:$A$15, "opp*from free", [1]Players1!$L$1:$L$15)</f>
        <v>0</v>
      </c>
      <c r="E12" s="1">
        <f>SUMIF([1]Players1!$A$1:$A$15, "opp saved*", [1]Players1!$L$1:$L$15)+SUMIF([1]Players1!$A$1:$A$15, "opp wide*", [1]Players1!$L$1:$L$15)+SUMIF([1]Players1!$A$1:$A$15, "opp short*", [1]Players1!$L$1:$L$15)+SUMIF([1]Players1!$A$1:$A$15, "opp out*", [1]Players1!$L$1:$L$15)+B12+C12</f>
        <v>0</v>
      </c>
      <c r="F12" s="4">
        <f t="shared" si="0"/>
        <v>0</v>
      </c>
      <c r="G12" s="1">
        <f>SUMIF([1]Players1!$A$1:$A$15, "opp free*ed", [1]Players1!$L$1:$L$15)</f>
        <v>0</v>
      </c>
    </row>
    <row r="13" spans="1:9" ht="15" x14ac:dyDescent="0.2">
      <c r="A13" s="1">
        <f>[1]Players1!$M$1</f>
        <v>0</v>
      </c>
      <c r="B13" s="1">
        <f>SUMIF([1]Players1!$A$1:$A$15, "opp goal*", [1]Players1!$M$1:$M$15)</f>
        <v>0</v>
      </c>
      <c r="C13" s="1">
        <f>SUMIF([1]Players1!$A$1:$A$15, "opp point*", [1]Players1!$M$1:$M$15)</f>
        <v>0</v>
      </c>
      <c r="D13" s="1">
        <f>SUMIF([1]Players1!$A$1:$A$15, "opp*from free", [1]Players1!$M$1:$M$15)</f>
        <v>0</v>
      </c>
      <c r="E13" s="1">
        <f>SUMIF([1]Players1!$A$1:$A$15, "opp saved*", [1]Players1!$M$1:$M$15)+SUMIF([1]Players1!$A$1:$A$15, "opp wide*", [1]Players1!$M$1:$M$15)+SUMIF([1]Players1!$A$1:$A$15, "opp short*", [1]Players1!$M$1:$M$15)+SUMIF([1]Players1!$A$1:$A$15, "opp out*", [1]Players1!$M$1:$M$15)+B13+C13</f>
        <v>0</v>
      </c>
      <c r="F13" s="4">
        <f t="shared" si="0"/>
        <v>0</v>
      </c>
      <c r="G13" s="1">
        <f>SUMIF([1]Players1!$A$1:$A$15, "opp free*ed", [1]Players1!$M$1:$M$15)</f>
        <v>0</v>
      </c>
    </row>
    <row r="14" spans="1:9" ht="15" x14ac:dyDescent="0.2">
      <c r="A14" s="1">
        <f>[1]Players1!$N$1</f>
        <v>0</v>
      </c>
      <c r="B14" s="1">
        <f>SUMIF([1]Players1!$A$1:$A$15, "opp goal*", [1]Players1!$N$1:$N$15)</f>
        <v>0</v>
      </c>
      <c r="C14" s="1">
        <f>SUMIF([1]Players1!$A$1:$A$15, "opp point*", [1]Players1!$N$1:$N$15)</f>
        <v>0</v>
      </c>
      <c r="D14" s="1">
        <f>SUMIF([1]Players1!$A$1:$A$15, "opp*from free", [1]Players1!$N$1:$N$15)</f>
        <v>0</v>
      </c>
      <c r="E14" s="1">
        <f>SUMIF([1]Players1!$A$1:$A$15, "opp saved*", [1]Players1!$N$1:$N$15)+SUMIF([1]Players1!$A$1:$A$15, "opp wide*", [1]Players1!$N$1:$N$15)+SUMIF([1]Players1!$A$1:$A$15, "opp short*", [1]Players1!$N$1:$N$15)+SUMIF([1]Players1!$A$1:$A$15, "opp out*", [1]Players1!$N$1:$N$15)+B14+C14</f>
        <v>0</v>
      </c>
      <c r="F14" s="4">
        <f t="shared" si="0"/>
        <v>0</v>
      </c>
      <c r="G14" s="1">
        <f>SUMIF([1]Players1!$A$1:$A$15, "opp free*ed", [1]Players1!$N$1:$N$15)</f>
        <v>0</v>
      </c>
    </row>
    <row r="15" spans="1:9" ht="15" x14ac:dyDescent="0.2">
      <c r="A15" s="1">
        <f>[1]Players1!$O$1</f>
        <v>0</v>
      </c>
      <c r="B15" s="1">
        <f>SUMIF([1]Players1!$A$1:$A$15, "opp goal*", [1]Players1!$O$1:$O$15)</f>
        <v>0</v>
      </c>
      <c r="C15" s="1">
        <f>SUMIF([1]Players1!$A$1:$A$15, "opp point*", [1]Players1!$O$1:$O$15)</f>
        <v>0</v>
      </c>
      <c r="D15" s="1">
        <f>SUMIF([1]Players1!$A$1:$A$15, "opp*from free", [1]Players1!$O$1:$O$15)</f>
        <v>0</v>
      </c>
      <c r="E15" s="1">
        <f>SUMIF([1]Players1!$A$1:$A$15, "opp saved*", [1]Players1!$O$1:$O$15)+SUMIF([1]Players1!$A$1:$A$15, "opp wide*", [1]Players1!$O$1:$O$15)+SUMIF([1]Players1!$A$1:$A$15, "opp short*", [1]Players1!$O$1:$O$15)+SUMIF([1]Players1!$A$1:$A$15, "opp out*", [1]Players1!$O$1:$O$15)+B15+C15</f>
        <v>0</v>
      </c>
      <c r="F15" s="4">
        <f t="shared" si="0"/>
        <v>0</v>
      </c>
      <c r="G15" s="1">
        <f>SUMIF([1]Players1!$A$1:$A$15, "opp free*ed", [1]Players1!$O$1:$O$15)</f>
        <v>0</v>
      </c>
    </row>
    <row r="16" spans="1:9" ht="15" x14ac:dyDescent="0.2">
      <c r="A16" s="1">
        <f>[1]Players1!$P$1</f>
        <v>0</v>
      </c>
      <c r="B16" s="1">
        <f>SUMIF([1]Players1!$A$1:$A$15, "opp goal*", [1]Players1!$P$1:$P$15)</f>
        <v>0</v>
      </c>
      <c r="C16" s="1">
        <f>SUMIF([1]Players1!$A$1:$A$15, "opp point*", [1]Players1!$P$1:$P$15)</f>
        <v>0</v>
      </c>
      <c r="D16" s="1">
        <f>SUMIF([1]Players1!$A$1:$A$15, "opp*from free", [1]Players1!$P$1:$P$15)</f>
        <v>0</v>
      </c>
      <c r="E16" s="1">
        <f>SUMIF([1]Players1!$A$1:$A$15, "opp saved*", [1]Players1!$P$1:$P$15)+SUMIF([1]Players1!$A$1:$A$15, "opp wide*", [1]Players1!$P$1:$P$15)+SUMIF([1]Players1!$A$1:$A$15, "opp short*", [1]Players1!$P$1:$P$15)+SUMIF([1]Players1!$A$1:$A$15, "opp out*", [1]Players1!$P$1:$P$15)+B16+C16</f>
        <v>0</v>
      </c>
      <c r="F16" s="4">
        <f t="shared" si="0"/>
        <v>0</v>
      </c>
      <c r="G16" s="1">
        <f>SUMIF([1]Players1!$A$1:$A$15, "opp free*ed", [1]Players1!$P$1:$P$15)</f>
        <v>0</v>
      </c>
    </row>
    <row r="17" spans="1:7" ht="15" x14ac:dyDescent="0.2">
      <c r="A17" s="1">
        <f>[1]Players1!$Q$1</f>
        <v>0</v>
      </c>
      <c r="B17" s="1">
        <f>SUMIF([1]Players1!$A$1:$A$15, "opp goal*", [1]Players1!$Q$1:$Q$15)</f>
        <v>0</v>
      </c>
      <c r="C17" s="1">
        <f>SUMIF([1]Players1!$A$1:$A$15, "opp point*", [1]Players1!$Q$1:$Q$15)</f>
        <v>0</v>
      </c>
      <c r="D17" s="1">
        <f>SUMIF([1]Players1!$A$1:$A$15, "opp*from free", [1]Players1!$Q$1:$Q$15)</f>
        <v>0</v>
      </c>
      <c r="E17" s="1">
        <f>SUMIF([1]Players1!$A$1:$A$15, "opp saved*", [1]Players1!$Q$1:$Q$15)+SUMIF([1]Players1!$A$1:$A$15, "opp wide*", [1]Players1!$Q$1:$Q$15)+SUMIF([1]Players1!$A$1:$A$15, "opp short*", [1]Players1!$Q$1:$Q$15)+SUMIF([1]Players1!$A$1:$A$15, "opp out*", [1]Players1!$Q$1:$Q$15)+B17+C17</f>
        <v>0</v>
      </c>
      <c r="F17" s="4">
        <f t="shared" si="0"/>
        <v>0</v>
      </c>
      <c r="G17" s="1">
        <f>SUMIF([1]Players1!$A$1:$A$15, "opp free*ed", [1]Players1!$Q$1:$Q$15)</f>
        <v>0</v>
      </c>
    </row>
    <row r="18" spans="1:7" ht="15" x14ac:dyDescent="0.2">
      <c r="A18" s="1">
        <f>[1]Players1!$R$1</f>
        <v>0</v>
      </c>
      <c r="B18" s="1">
        <f>SUMIF([1]Players1!$A$1:$A$15, "opp goal*", [1]Players1!$R$1:$R$15)</f>
        <v>0</v>
      </c>
      <c r="C18" s="1">
        <f>SUMIF([1]Players1!$A$1:$A$15, "opp point*", [1]Players1!$R$1:$R$15)</f>
        <v>0</v>
      </c>
      <c r="D18" s="1">
        <f>SUMIF([1]Players1!$A$1:$A$15, "opp*from free", [1]Players1!$R$1:$R$15)</f>
        <v>0</v>
      </c>
      <c r="E18" s="1">
        <f>SUMIF([1]Players1!$A$1:$A$15, "opp saved*", [1]Players1!$R$1:$R$15)+SUMIF([1]Players1!$A$1:$A$15, "opp wide*", [1]Players1!$R$1:$R$15)+SUMIF([1]Players1!$A$1:$A$15, "opp short*", [1]Players1!$R$1:$R$15)+SUMIF([1]Players1!$A$1:$A$15, "opp out*", [1]Players1!$R$1:$R$15)+B18+C18</f>
        <v>0</v>
      </c>
      <c r="F18" s="4">
        <f t="shared" si="0"/>
        <v>0</v>
      </c>
      <c r="G18" s="1">
        <f>SUMIF([1]Players1!$A$1:$A$15, "opp free*ed", [1]Players1!$R$1:$R$15)</f>
        <v>0</v>
      </c>
    </row>
    <row r="19" spans="1:7" ht="15" x14ac:dyDescent="0.2">
      <c r="A19" s="1">
        <f>[1]Players1!$S$1</f>
        <v>0</v>
      </c>
      <c r="B19" s="1">
        <f>SUMIF([1]Players1!$A$1:$A$15, "opp goal*", [1]Players1!$S$1:$S$15)</f>
        <v>0</v>
      </c>
      <c r="C19" s="1">
        <f>SUMIF([1]Players1!$A$1:$A$15, "opp point*", [1]Players1!$S$1:$S$15)</f>
        <v>0</v>
      </c>
      <c r="D19" s="1">
        <f>SUMIF([1]Players1!$A$1:$A$15, "opp*from free", [1]Players1!$S$1:$S$15)</f>
        <v>0</v>
      </c>
      <c r="E19" s="1">
        <f>SUMIF([1]Players1!$A$1:$A$15, "opp saved*", [1]Players1!$S$1:$S$15)+SUMIF([1]Players1!$A$1:$A$15, "opp wide*", [1]Players1!$S$1:$S$15)+SUMIF([1]Players1!$A$1:$A$15, "opp short*", [1]Players1!$S$1:$S$15)+SUMIF([1]Players1!$A$1:$A$15, "opp out*", [1]Players1!$S$1:$S$15)+B19+C19</f>
        <v>0</v>
      </c>
      <c r="F19" s="4">
        <f t="shared" si="0"/>
        <v>0</v>
      </c>
      <c r="G19" s="1">
        <f>SUMIF([1]Players1!$A$1:$A$15, "opp free*ed", [1]Players1!$S$1:$S$15)</f>
        <v>0</v>
      </c>
    </row>
    <row r="20" spans="1:7" ht="15" x14ac:dyDescent="0.2">
      <c r="A20" s="1">
        <f>[1]Players1!$T$1</f>
        <v>0</v>
      </c>
      <c r="B20" s="1">
        <f>SUMIF([1]Players1!$A$1:$A$15, "opp goal*", [1]Players1!$T$1:$T$15)</f>
        <v>0</v>
      </c>
      <c r="C20" s="1">
        <f>SUMIF([1]Players1!$A$1:$A$15, "opp point*", [1]Players1!$T$1:$T$15)</f>
        <v>0</v>
      </c>
      <c r="D20" s="1">
        <f>SUMIF([1]Players1!$A$1:$A$15, "opp*from free", [1]Players1!$T$1:$T$15)</f>
        <v>0</v>
      </c>
      <c r="E20" s="1">
        <f>SUMIF([1]Players1!$A$1:$A$15, "opp saved*", [1]Players1!$T$1:$T$15)+SUMIF([1]Players1!$A$1:$A$15, "opp wide*", [1]Players1!$T$1:$T$15)+SUMIF([1]Players1!$A$1:$A$15, "opp short*", [1]Players1!$T$1:$T$15)+SUMIF([1]Players1!$A$1:$A$15, "opp out*", [1]Players1!$T$1:$T$15)+B20+C20</f>
        <v>0</v>
      </c>
      <c r="F20" s="4">
        <f t="shared" si="0"/>
        <v>0</v>
      </c>
      <c r="G20" s="1">
        <f>SUMIF([1]Players1!$A$1:$A$15, "opp free*ed", [1]Players1!$T$1:$T$15)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E11" sqref="E11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 t="str">
        <f>[1]Players2!$B$1</f>
        <v>10</v>
      </c>
      <c r="B2" s="1">
        <f>SUMIF([1]Players2!$A$1:$A$15, "goal*", [1]Players2!$B$1:$B$15)</f>
        <v>0</v>
      </c>
      <c r="C2" s="1">
        <f>SUMIF([1]Players2!$A$1:$A$15, "point*", [1]Players2!$B$1:$B$15)</f>
        <v>8</v>
      </c>
      <c r="D2" s="1">
        <f>SUMIF([1]Players2!$A$1:$A$15, "*from free", [1]Players2!$B$1:$B$15)</f>
        <v>0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8</v>
      </c>
      <c r="F2" s="4">
        <f t="shared" ref="F2:F20" si="0">IFERROR((B2+C2)/E2,0)</f>
        <v>1</v>
      </c>
      <c r="G2" s="1">
        <f>SUMIF([1]Players2!$A$1:$A$15, "free*ed", [1]Players2!$B$1:$B$15)</f>
        <v>0</v>
      </c>
    </row>
    <row r="3" spans="1:7" ht="15" x14ac:dyDescent="0.2">
      <c r="A3" s="1" t="str">
        <f>[1]Players2!$C$1</f>
        <v>11</v>
      </c>
      <c r="B3" s="1">
        <f>SUMIF([1]Players2!$A$1:$A$15, "goal*", [1]Players2!$C$1:$C$15)</f>
        <v>0</v>
      </c>
      <c r="C3" s="1">
        <f>SUMIF([1]Players2!$A$1:$A$15, "point*", [1]Players2!$C$1:$C$15)</f>
        <v>3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4</v>
      </c>
      <c r="F3" s="4">
        <f t="shared" si="0"/>
        <v>0.75</v>
      </c>
      <c r="G3" s="1">
        <f>SUMIF([1]Players2!$A$1:$A$15, "free*ed", [1]Players2!$C$1:$C$15)</f>
        <v>0</v>
      </c>
    </row>
    <row r="4" spans="1:7" ht="15" x14ac:dyDescent="0.2">
      <c r="A4" s="1" t="str">
        <f>[1]Players2!$D$1</f>
        <v>12</v>
      </c>
      <c r="B4" s="1">
        <f>SUMIF([1]Players2!$A$1:$A$15, "goal*", [1]Players2!$D$1:$D$15)</f>
        <v>0</v>
      </c>
      <c r="C4" s="1">
        <f>SUMIF([1]Players2!$A$1:$A$15, "point*", [1]Players2!$D$1:$D$15)</f>
        <v>0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0</v>
      </c>
      <c r="F4" s="4">
        <f t="shared" si="0"/>
        <v>0</v>
      </c>
      <c r="G4" s="1">
        <f>SUMIF([1]Players2!$A$1:$A$15,"free*ed", [1]Players2!$D$1:$D$15)</f>
        <v>0</v>
      </c>
    </row>
    <row r="5" spans="1:7" ht="15" x14ac:dyDescent="0.2">
      <c r="A5" s="1" t="str">
        <f>[1]Players2!$E$1</f>
        <v>13</v>
      </c>
      <c r="B5" s="1">
        <f>SUMIF([1]Players2!$A$1:$A$15, "goal*", [1]Players2!$E$1:$E$15)</f>
        <v>0</v>
      </c>
      <c r="C5" s="1">
        <f>SUMIF([1]Players2!$A$1:$A$15, "point*", [1]Players2!$E$1:$E$15)</f>
        <v>1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1</v>
      </c>
      <c r="F5" s="4">
        <f t="shared" si="0"/>
        <v>1</v>
      </c>
      <c r="G5" s="1">
        <f>SUMIF([1]Players2!$A$1:$A$15, "free*ed", [1]Players2!$E$1:$E$15)</f>
        <v>0</v>
      </c>
    </row>
    <row r="6" spans="1:7" ht="15" x14ac:dyDescent="0.2">
      <c r="A6" s="1" t="str">
        <f>[1]Players2!$F$1</f>
        <v>14</v>
      </c>
      <c r="B6" s="1">
        <f>SUMIF([1]Players2!$A$1:$A$15, "goal*", [1]Players2!$F$1:$F$15)</f>
        <v>1</v>
      </c>
      <c r="C6" s="1">
        <f>SUMIF([1]Players2!$A$1:$A$15, "point*", [1]Players2!$F$1:$F$15)</f>
        <v>2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3</v>
      </c>
      <c r="F6" s="4">
        <f t="shared" si="0"/>
        <v>1</v>
      </c>
      <c r="G6" s="1">
        <f>SUMIF([1]Players2!$A$1:$A$15, "free*ed", [1]Players2!$F$1:$F$15)</f>
        <v>0</v>
      </c>
    </row>
    <row r="7" spans="1:7" ht="15" x14ac:dyDescent="0.2">
      <c r="A7" s="1" t="str">
        <f>[1]Players2!$G$1</f>
        <v>15</v>
      </c>
      <c r="B7" s="1">
        <f>SUMIF([1]Players2!$A$1:$A$15, "goal*", [1]Players2!$G$1:$G$15)</f>
        <v>0</v>
      </c>
      <c r="C7" s="1">
        <f>SUMIF([1]Players2!$A$1:$A$15, "point*", [1]Players2!$G$1:$G$15)</f>
        <v>1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1</v>
      </c>
      <c r="F7" s="4">
        <f t="shared" si="0"/>
        <v>1</v>
      </c>
      <c r="G7" s="1">
        <f>SUMIF([1]Players2!$A$1:$A$15, "free*ed", [1]Players2!$G$1:$G$15)</f>
        <v>0</v>
      </c>
    </row>
    <row r="8" spans="1:7" ht="15" x14ac:dyDescent="0.2">
      <c r="A8" s="1" t="str">
        <f>[1]Players2!$H$1</f>
        <v>16</v>
      </c>
      <c r="B8" s="1">
        <f>SUMIF([1]Players2!$A$1:$A$15, "goal*", [1]Players2!$H$1:$H$15)</f>
        <v>1</v>
      </c>
      <c r="C8" s="1">
        <f>SUMIF([1]Players2!$A$1:$A$15, "point*", [1]Players2!$H$1:$H$15)</f>
        <v>1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2</v>
      </c>
      <c r="F8" s="4">
        <f t="shared" si="0"/>
        <v>1</v>
      </c>
      <c r="G8" s="1">
        <f>SUMIF([1]Players2!$A$1:$A$15,"free*ed", [1]Players2!$H$1:$H$15)</f>
        <v>0</v>
      </c>
    </row>
    <row r="9" spans="1:7" ht="15" x14ac:dyDescent="0.2">
      <c r="A9" s="1" t="str">
        <f>[1]Players2!$I$1</f>
        <v>18</v>
      </c>
      <c r="B9" s="1">
        <f>SUMIF([1]Players2!$A$1:$A$15, "goal*", [1]Players2!$I$1:$I$15)</f>
        <v>0</v>
      </c>
      <c r="C9" s="1">
        <f>SUMIF([1]Players2!$A$1:$A$15, "point*", [1]Players2!$I$1:$I$15)</f>
        <v>1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2</v>
      </c>
      <c r="F9" s="4">
        <f t="shared" si="0"/>
        <v>0.5</v>
      </c>
      <c r="G9" s="1">
        <f>SUMIF([1]Players2!$A$1:$A$15, "free*ed", [1]Players2!$I$1:$I$15)</f>
        <v>0</v>
      </c>
    </row>
    <row r="10" spans="1:7" ht="15" x14ac:dyDescent="0.2">
      <c r="A10" s="1" t="str">
        <f>[1]Players2!$J$1</f>
        <v>2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4">
        <f t="shared" si="0"/>
        <v>0</v>
      </c>
      <c r="G10" s="1">
        <f>SUMIF([1]Players2!$A$1:$A$15, "free*ed", [1]Players2!$J$1:$J$15)</f>
        <v>0</v>
      </c>
    </row>
    <row r="11" spans="1:7" ht="15" x14ac:dyDescent="0.2">
      <c r="A11" s="1" t="str">
        <f>[1]Players2!$K$1</f>
        <v>20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0</v>
      </c>
      <c r="F11" s="4">
        <f t="shared" si="0"/>
        <v>0</v>
      </c>
      <c r="G11" s="1">
        <f>SUMIF([1]Players2!$A$1:$A$15, "free*ed", [1]Players2!$K$1:$K$15)</f>
        <v>0</v>
      </c>
    </row>
    <row r="12" spans="1:7" ht="15" x14ac:dyDescent="0.2">
      <c r="A12" s="1" t="str">
        <f>[1]Players2!$L$1</f>
        <v>3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4">
        <f t="shared" si="0"/>
        <v>0</v>
      </c>
      <c r="G12" s="1">
        <f>SUMIF([1]Players2!$A$1:$A$15, "free*ed", [1]Players2!$L$1:$L$15)</f>
        <v>0</v>
      </c>
    </row>
    <row r="13" spans="1:7" ht="15" x14ac:dyDescent="0.2">
      <c r="A13" s="1" t="str">
        <f>[1]Players2!$M$1</f>
        <v>4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4">
        <f t="shared" si="0"/>
        <v>0</v>
      </c>
      <c r="G13" s="1">
        <f>SUMIF([1]Players2!$A$1:$A$15, "free*ed", [1]Players2!$M$1:$M$15)</f>
        <v>0</v>
      </c>
    </row>
    <row r="14" spans="1:7" ht="15" x14ac:dyDescent="0.2">
      <c r="A14" s="1" t="str">
        <f>[1]Players2!$N$1</f>
        <v>5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4">
        <f t="shared" si="0"/>
        <v>0</v>
      </c>
      <c r="G14" s="1">
        <f>SUMIF([1]Players2!$A$1:$A$15, "free*ed", [1]Players2!$N$1:$N$15)</f>
        <v>0</v>
      </c>
    </row>
    <row r="15" spans="1:7" ht="15" x14ac:dyDescent="0.2">
      <c r="A15" s="1" t="str">
        <f>[1]Players2!$O$1</f>
        <v>6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4">
        <f t="shared" si="0"/>
        <v>0</v>
      </c>
      <c r="G15" s="1">
        <f>SUMIF([1]Players2!$A$1:$A$15, "free*ed", [1]Players2!$O$1:$O$15)</f>
        <v>0</v>
      </c>
    </row>
    <row r="16" spans="1:7" ht="15" x14ac:dyDescent="0.2">
      <c r="A16" s="1" t="str">
        <f>[1]Players2!$P$1</f>
        <v>7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4">
        <f t="shared" si="0"/>
        <v>0</v>
      </c>
      <c r="G16" s="1">
        <f>SUMIF([1]Players2!$A$1:$A$15, "free*ed", [1]Players2!$P$1:$P$15)</f>
        <v>0</v>
      </c>
    </row>
    <row r="17" spans="1:7" ht="15" x14ac:dyDescent="0.2">
      <c r="A17" s="1" t="str">
        <f>[1]Players2!$Q$1</f>
        <v>8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4">
        <f t="shared" si="0"/>
        <v>0</v>
      </c>
      <c r="G17" s="1">
        <f>SUMIF([1]Players2!$A$1:$A$15, "free*ed", [1]Players2!$Q$1:$Q$15)</f>
        <v>0</v>
      </c>
    </row>
    <row r="18" spans="1:7" ht="15" x14ac:dyDescent="0.2">
      <c r="A18" s="1" t="str">
        <f>[1]Players2!$R$1</f>
        <v>9</v>
      </c>
      <c r="B18" s="1">
        <f>SUMIF([1]Players2!$A$1:$A$15, "goal*", [1]Players2!$R$1:$R$15)</f>
        <v>0</v>
      </c>
      <c r="C18" s="1">
        <f>SUMIF([1]Players2!$A$1:$A$15, "point*", [1]Players2!$R$1:$R$15)</f>
        <v>1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1</v>
      </c>
      <c r="F18" s="4">
        <f t="shared" si="0"/>
        <v>1</v>
      </c>
      <c r="G18" s="1">
        <f>SUMIF([1]Players2!$A$1:$A$15, "free*ed", [1]Players2!$R$1:$R$15)</f>
        <v>0</v>
      </c>
    </row>
    <row r="19" spans="1:7" ht="15" x14ac:dyDescent="0.2">
      <c r="A19" s="1" t="str">
        <f>[1]Players2!$S$1</f>
        <v>All</v>
      </c>
      <c r="B19" s="1">
        <f>SUMIF([1]Players2!$A$1:$A$15, "goal*", [1]Players2!$S$1:$S$15)</f>
        <v>2</v>
      </c>
      <c r="C19" s="1">
        <f>SUMIF([1]Players2!$A$1:$A$15, "point*", [1]Players2!$S$1:$S$15)</f>
        <v>18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22</v>
      </c>
      <c r="F19" s="4">
        <f t="shared" si="0"/>
        <v>0.90909090909090906</v>
      </c>
      <c r="G19" s="1">
        <f>SUMIF([1]Players2!$A$1:$A$15, "free*ed", [1]Players2!$S$1:$S$15)</f>
        <v>0</v>
      </c>
    </row>
    <row r="20" spans="1:7" ht="15" x14ac:dyDescent="0.2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4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N45"/>
  <sheetViews>
    <sheetView topLeftCell="A2" workbookViewId="0">
      <selection activeCell="J36" sqref="J36"/>
    </sheetView>
  </sheetViews>
  <sheetFormatPr baseColWidth="10" defaultColWidth="11" defaultRowHeight="13" x14ac:dyDescent="0.15"/>
  <sheetData>
    <row r="2" spans="2:11" ht="15" x14ac:dyDescent="0.2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2:11" ht="15" x14ac:dyDescent="0.2">
      <c r="B3" s="1"/>
      <c r="C3" s="1" t="str">
        <f>[1]Sectors!$B$1</f>
        <v>away</v>
      </c>
      <c r="D3" s="1"/>
      <c r="E3" s="1"/>
      <c r="F3" s="1"/>
      <c r="G3" s="1" t="str">
        <f>[1]Sectors!$H$1</f>
        <v>home</v>
      </c>
      <c r="H3" s="1"/>
      <c r="I3" s="1"/>
      <c r="J3" s="1"/>
      <c r="K3" s="1"/>
    </row>
    <row r="4" spans="2:11" ht="15" x14ac:dyDescent="0.2">
      <c r="C4" s="1" t="s">
        <v>37</v>
      </c>
      <c r="D4" s="1" t="s">
        <v>38</v>
      </c>
      <c r="E4" s="1" t="s">
        <v>39</v>
      </c>
      <c r="F4" s="1" t="s">
        <v>0</v>
      </c>
      <c r="G4" s="5" t="s">
        <v>0</v>
      </c>
      <c r="H4" s="1" t="s">
        <v>39</v>
      </c>
      <c r="I4" s="1" t="s">
        <v>37</v>
      </c>
      <c r="J4" s="1" t="s">
        <v>38</v>
      </c>
    </row>
    <row r="5" spans="2:11" ht="15" x14ac:dyDescent="0.2">
      <c r="B5" s="1" t="s">
        <v>31</v>
      </c>
      <c r="C5" s="1">
        <f>SUMIF([1]Sectors!$A:$A, "opp goal*", [1]Sectors!B:B)</f>
        <v>0</v>
      </c>
      <c r="D5" s="1">
        <f>SUMIF([1]Sectors!$A:$A, "opp 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>J5+(I5*3)</f>
        <v>4</v>
      </c>
      <c r="H5" s="1">
        <f t="shared" ref="H5:H10" si="2">SUM(I5:J5)</f>
        <v>4</v>
      </c>
      <c r="I5" s="1">
        <f>SUMIF([1]Sectors!$A:$A, "goal*", [1]Sectors!H:H)</f>
        <v>0</v>
      </c>
      <c r="J5" s="1">
        <f>SUMIF([1]Sectors!$A:$A, "point*", [1]Sectors!H:H)</f>
        <v>4</v>
      </c>
    </row>
    <row r="6" spans="2:11" ht="15" x14ac:dyDescent="0.2">
      <c r="B6" s="1" t="s">
        <v>32</v>
      </c>
      <c r="C6" s="1">
        <f>SUMIF([1]Sectors!$A:$A, "opp goal*", [1]Sectors!C:C)</f>
        <v>1</v>
      </c>
      <c r="D6" s="1">
        <f>SUMIF([1]Sectors!$A:$A, "opp point*", [1]Sectors!C:C)</f>
        <v>4</v>
      </c>
      <c r="E6" s="1">
        <f t="shared" si="0"/>
        <v>5</v>
      </c>
      <c r="F6" s="1">
        <f t="shared" si="1"/>
        <v>7</v>
      </c>
      <c r="G6" s="1">
        <f t="shared" ref="G6:G10" si="3">J6+(I6*3)</f>
        <v>5</v>
      </c>
      <c r="H6" s="1">
        <f t="shared" si="2"/>
        <v>3</v>
      </c>
      <c r="I6" s="1">
        <f>SUMIF([1]Sectors!$A:$A, "goal*", [1]Sectors!I:I)</f>
        <v>1</v>
      </c>
      <c r="J6" s="1">
        <f>SUMIF([1]Sectors!A:A, "point*", [1]Sectors!I:I)</f>
        <v>2</v>
      </c>
    </row>
    <row r="7" spans="2:11" ht="15" x14ac:dyDescent="0.2">
      <c r="B7" s="1" t="s">
        <v>33</v>
      </c>
      <c r="C7" s="1">
        <f>SUMIF([1]Sectors!$A:$A, "opp goal*", [1]Sectors!D:D)</f>
        <v>0</v>
      </c>
      <c r="D7" s="1">
        <f>SUMIF([1]Sectors!$A:$A, "opp point*", [1]Sectors!D:D)</f>
        <v>3</v>
      </c>
      <c r="E7" s="1">
        <f t="shared" si="0"/>
        <v>3</v>
      </c>
      <c r="F7" s="1">
        <f t="shared" si="1"/>
        <v>3</v>
      </c>
      <c r="G7" s="1">
        <f t="shared" si="3"/>
        <v>2</v>
      </c>
      <c r="H7" s="1">
        <f t="shared" si="2"/>
        <v>2</v>
      </c>
      <c r="I7" s="1">
        <f>SUMIF([1]Sectors!$A:$A, "goal*", [1]Sectors!J:J)</f>
        <v>0</v>
      </c>
      <c r="J7" s="1">
        <f>SUMIF([1]Sectors!A:A, "point*", [1]Sectors!J:J)</f>
        <v>2</v>
      </c>
    </row>
    <row r="8" spans="2:11" ht="15" x14ac:dyDescent="0.2">
      <c r="B8" s="1" t="s">
        <v>34</v>
      </c>
      <c r="C8" s="1">
        <f>SUMIF([1]Sectors!$A:$A, "opp goal*", [1]Sectors!E:E)</f>
        <v>0</v>
      </c>
      <c r="D8" s="1">
        <f>SUMIF([1]Sectors!$A:$A, "opp point*", [1]Sectors!E:E)</f>
        <v>3</v>
      </c>
      <c r="E8" s="1">
        <f t="shared" si="0"/>
        <v>3</v>
      </c>
      <c r="F8" s="1">
        <f t="shared" si="1"/>
        <v>3</v>
      </c>
      <c r="G8" s="1">
        <f t="shared" si="3"/>
        <v>6</v>
      </c>
      <c r="H8" s="1">
        <f t="shared" si="2"/>
        <v>6</v>
      </c>
      <c r="I8" s="1">
        <f>SUMIF([1]Sectors!$A:$A, "goal*", [1]Sectors!K:K)</f>
        <v>0</v>
      </c>
      <c r="J8" s="1">
        <f>SUMIF([1]Sectors!A:A, "point*", [1]Sectors!K:K)</f>
        <v>6</v>
      </c>
    </row>
    <row r="9" spans="2:11" ht="15" x14ac:dyDescent="0.2">
      <c r="B9" s="1" t="s">
        <v>35</v>
      </c>
      <c r="C9" s="1">
        <f>SUMIF([1]Sectors!$A:$A, "opp goal*", [1]Sectors!F:F)</f>
        <v>0</v>
      </c>
      <c r="D9" s="1">
        <f>SUMIF([1]Sectors!$A:$A, "opp point*", [1]Sectors!F:F)</f>
        <v>4</v>
      </c>
      <c r="E9" s="1">
        <f t="shared" si="0"/>
        <v>4</v>
      </c>
      <c r="F9" s="1">
        <f t="shared" si="1"/>
        <v>4</v>
      </c>
      <c r="G9" s="1">
        <f t="shared" si="3"/>
        <v>1</v>
      </c>
      <c r="H9" s="1">
        <f t="shared" si="2"/>
        <v>1</v>
      </c>
      <c r="I9" s="1">
        <f>SUMIF([1]Sectors!$A:$A, "goal*", [1]Sectors!L:L)</f>
        <v>0</v>
      </c>
      <c r="J9" s="1">
        <f>SUMIF([1]Sectors!A:A, "point*", [1]Sectors!L:L)</f>
        <v>1</v>
      </c>
    </row>
    <row r="10" spans="2:11" ht="15" x14ac:dyDescent="0.2">
      <c r="B10" s="1" t="s">
        <v>36</v>
      </c>
      <c r="C10" s="1">
        <f>SUMIF([1]Sectors!$A:$A, "opp goal*", [1]Sectors!G:G)</f>
        <v>0</v>
      </c>
      <c r="D10" s="1">
        <f>SUMIF([1]Sectors!$A:$A, "opp point*", [1]Sectors!G:G)</f>
        <v>1</v>
      </c>
      <c r="E10" s="1">
        <f t="shared" si="0"/>
        <v>1</v>
      </c>
      <c r="F10" s="1">
        <f t="shared" si="1"/>
        <v>1</v>
      </c>
      <c r="G10" s="1">
        <f t="shared" si="3"/>
        <v>10</v>
      </c>
      <c r="H10" s="1">
        <f t="shared" si="2"/>
        <v>8</v>
      </c>
      <c r="I10" s="1">
        <f>SUMIF([1]Sectors!$A:$A, "goal*", [1]Sectors!M:M)</f>
        <v>1</v>
      </c>
      <c r="J10" s="1">
        <f>SUMIF([1]Sectors!A:A, "point*", [1]Sectors!M:M)</f>
        <v>7</v>
      </c>
    </row>
    <row r="11" spans="2:11" ht="15" x14ac:dyDescent="0.2">
      <c r="B11" s="1" t="s">
        <v>0</v>
      </c>
      <c r="C11" s="1"/>
      <c r="D11" s="1"/>
      <c r="E11" s="1">
        <f>SUM(E5:E10)</f>
        <v>19</v>
      </c>
      <c r="F11" s="1">
        <f>SUM(F5:F10)</f>
        <v>21</v>
      </c>
      <c r="G11" s="1">
        <f>SUM(G5:G10)</f>
        <v>28</v>
      </c>
      <c r="H11" s="1">
        <f>SUM(H5:H10)</f>
        <v>24</v>
      </c>
      <c r="I11" s="1"/>
      <c r="J11" s="1"/>
    </row>
    <row r="12" spans="2:11" ht="15" x14ac:dyDescent="0.2">
      <c r="B12" s="1"/>
      <c r="I12">
        <f>J10+(I10*3)</f>
        <v>10</v>
      </c>
    </row>
    <row r="13" spans="2:11" ht="15" x14ac:dyDescent="0.2">
      <c r="B13" s="2" t="s">
        <v>21</v>
      </c>
      <c r="C13" s="1"/>
      <c r="F13" t="s">
        <v>29</v>
      </c>
    </row>
    <row r="14" spans="2:11" ht="15" x14ac:dyDescent="0.2">
      <c r="B14" s="1"/>
      <c r="C14" s="1" t="str">
        <f>[1]Sectors!$B$1</f>
        <v>away</v>
      </c>
      <c r="D14" t="str">
        <f>[1]Sectors!$H$1</f>
        <v>home</v>
      </c>
    </row>
    <row r="15" spans="2:11" ht="15" x14ac:dyDescent="0.2">
      <c r="B15" s="5" t="s">
        <v>61</v>
      </c>
      <c r="C15" s="1" t="s">
        <v>21</v>
      </c>
    </row>
    <row r="16" spans="2:11" ht="15" x14ac:dyDescent="0.2">
      <c r="B16" s="1">
        <v>0</v>
      </c>
      <c r="C16">
        <f>SUMIF([1]Sectors1!$A$1:$A$30, "opp goal*", [1]Sectors1!$B$1:$B$30)
+SUMIF([1]Sectors1!$A$1:$A$30, "opp point*", [1]Sectors1!$B$1:$B$30)
+SUMIF([1]Sectors1!$A$1:$A$30, "opp saved*", [1]Sectors1!$B$1:$B$30)
+SUMIF([1]Sectors1!$A$1:$A$30, "opp wide*", [1]Sectors1!$B$1:$B$30)
+SUMIF([1]Sectors1!$A$1:$A$30, "opp short*", [1]Sectors1!$B$1:$B$30)
+SUMIF([1]Sectors1!$A$1:$A$30, "opp out*", [1]Sectors1!$B$1:$B$30)</f>
        <v>8</v>
      </c>
      <c r="D16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4</v>
      </c>
      <c r="F16" s="6">
        <f>E5/C16</f>
        <v>0.375</v>
      </c>
      <c r="G16" s="6">
        <f>IFERROR(H5/D16,0)</f>
        <v>1</v>
      </c>
      <c r="H16" s="6"/>
    </row>
    <row r="17" spans="2:14" ht="15" x14ac:dyDescent="0.2">
      <c r="B17" s="1">
        <v>1</v>
      </c>
      <c r="C17">
        <f>SUMIF([1]Sectors1!$A$1:$A$30, "opp goal*", [1]Sectors1!$C$1:$C$30)
+SUMIF([1]Sectors1!$A$1:$A$30, "opp point*", [1]Sectors1!$C$1:$C$30)
+SUMIF([1]Sectors1!$A$1:$A$30, "opp saved*", [1]Sectors1!$C$1:$C$30)
+SUMIF([1]Sectors1!$A$1:$A$30, "opp wide*", [1]Sectors1!$C$1:$C$30)
+SUMIF([1]Sectors1!$A$1:$A$30, "opp short*", [1]Sectors1!$C$1:$C$30)
+SUMIF([1]Sectors1!$A$1:$A$30, "opp out*", [1]Sectors1!$C$1:$C$30)</f>
        <v>6</v>
      </c>
      <c r="D17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4</v>
      </c>
      <c r="F17" s="6">
        <f t="shared" ref="F17:F22" si="4">E6/C17</f>
        <v>0.83333333333333337</v>
      </c>
      <c r="G17" s="6">
        <f>IFERROR(H6/D17,0)</f>
        <v>0.75</v>
      </c>
      <c r="H17" s="6"/>
    </row>
    <row r="18" spans="2:14" ht="15" x14ac:dyDescent="0.2">
      <c r="B18" s="1">
        <v>2</v>
      </c>
      <c r="C18">
        <f>SUMIF([1]Sectors1!$A$1:$A$30, "opp goal*", [1]Sectors1!$D$1:$D$30)
+SUMIF([1]Sectors1!$A$1:$A$30, "opp point*", [1]Sectors1!$D$1:$D$30)
+SUMIF([1]Sectors1!$A$1:$A$30, "opp saved*", [1]Sectors1!$D$1:$D$30)
+SUMIF([1]Sectors1!$A$1:$A$30, "opp wide*", [1]Sectors1!$D$1:$D$30)
+SUMIF([1]Sectors1!$A$1:$A$30, "opp short*", [1]Sectors1!$D$1:$D$30)
+SUMIF([1]Sectors1!$A$1:$A$30, "opp out*", [1]Sectors1!$D$1:$D$30)</f>
        <v>4</v>
      </c>
      <c r="D18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3</v>
      </c>
      <c r="F18" s="6">
        <f t="shared" si="4"/>
        <v>0.75</v>
      </c>
      <c r="G18" s="6">
        <f>H7/D18</f>
        <v>0.66666666666666663</v>
      </c>
      <c r="H18" s="6"/>
    </row>
    <row r="19" spans="2:14" ht="15" x14ac:dyDescent="0.2">
      <c r="B19" s="1">
        <v>3</v>
      </c>
      <c r="C19">
        <f>SUMIF([1]Sectors1!$A$1:$A$30, "opp goal*", [1]Sectors1!$E$1:$E$30)
+SUMIF([1]Sectors1!$A$1:$A$30, "opp point*", [1]Sectors1!$E$1:$E$30)
+SUMIF([1]Sectors1!$A$1:$A$30, "opp saved*", [1]Sectors1!$E$1:$E$30)
+SUMIF([1]Sectors1!$A$1:$A$30, "opp wide*", [1]Sectors1!$E$1:$E$30)
+SUMIF([1]Sectors1!$A$1:$A$30, "opp short*", [1]Sectors1!$E$1:$E$30)
+SUMIF([1]Sectors1!$A$1:$A$30, "opp out*", [1]Sectors1!$E$1:$E$30)</f>
        <v>3</v>
      </c>
      <c r="D19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7</v>
      </c>
      <c r="F19" s="6">
        <f>IFERROR(E8/C19,0)</f>
        <v>1</v>
      </c>
      <c r="G19" s="6">
        <f>IFERROR(H8/D19,0)</f>
        <v>0.8571428571428571</v>
      </c>
      <c r="H19" s="6"/>
      <c r="I19" s="6"/>
    </row>
    <row r="20" spans="2:14" ht="15" x14ac:dyDescent="0.2">
      <c r="B20" s="1">
        <v>4</v>
      </c>
      <c r="C20">
        <f>SUMIF([1]Sectors1!$A$1:$A$30, "opp goal*", [1]Sectors1!$F$1:$F$30)
+SUMIF([1]Sectors1!$A$1:$A$30, "opp point*", [1]Sectors1!$F$1:$F$30)
+SUMIF([1]Sectors1!$A$1:$A$30, "opp saved*", [1]Sectors1!$F$1:$F$30)
+SUMIF([1]Sectors1!$A$1:$A$30, "opp wide*", [1]Sectors1!$F$1:$F$30)
+SUMIF([1]Sectors1!$A$1:$A$30, "opp short*", [1]Sectors1!$F$1:$F$30)
+SUMIF([1]Sectors1!$A$1:$A$30, "opp out*", [1]Sectors1!$F$1:$F$30)</f>
        <v>6</v>
      </c>
      <c r="D20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2</v>
      </c>
      <c r="F20" s="6">
        <f>IFERROR(E9/C20,0)</f>
        <v>0.66666666666666663</v>
      </c>
      <c r="G20" s="6">
        <f>IFERROR(H9/D20,0)</f>
        <v>0.5</v>
      </c>
      <c r="H20" s="6"/>
    </row>
    <row r="21" spans="2:14" ht="15" x14ac:dyDescent="0.2">
      <c r="B21" s="1">
        <v>5</v>
      </c>
      <c r="C21">
        <f>SUMIF([1]Sectors1!$A$1:$A$30, "opp goal*", [1]Sectors1!$G$1:$G$30)
+SUMIF([1]Sectors1!$A$1:$A$30, "opp point*", [1]Sectors1!$G$1:$G$30)
+SUMIF([1]Sectors1!$A$1:$A$30, "opp saved*", [1]Sectors1!$G$1:$G$30)
+SUMIF([1]Sectors1!$A$1:$A$30, "opp wide*", [1]Sectors1!$G$1:$G$30)
+SUMIF([1]Sectors1!$A$1:$A$30, "opp short*", [1]Sectors1!$G$1:$G$30)
+SUMIF([1]Sectors1!$A$1:$A$30, "opp out*", [1]Sectors1!$G$1:$G$30)</f>
        <v>3</v>
      </c>
      <c r="D21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10</v>
      </c>
      <c r="F21" s="6">
        <f>IFERROR(E10/C21,0)</f>
        <v>0.33333333333333331</v>
      </c>
      <c r="G21" s="6">
        <f>IFERROR(H10/D21,0)</f>
        <v>0.8</v>
      </c>
      <c r="H21" s="6"/>
    </row>
    <row r="22" spans="2:14" ht="15" x14ac:dyDescent="0.2">
      <c r="B22" s="1" t="s">
        <v>0</v>
      </c>
      <c r="C22">
        <f>SUM(C16:C21)</f>
        <v>30</v>
      </c>
      <c r="D22">
        <f>SUM(D16:D21)</f>
        <v>30</v>
      </c>
      <c r="F22" s="6">
        <f t="shared" si="4"/>
        <v>0.6333333333333333</v>
      </c>
      <c r="G22" s="6">
        <f>H11/D22</f>
        <v>0.8</v>
      </c>
      <c r="H22" s="6"/>
    </row>
    <row r="23" spans="2:14" ht="15" x14ac:dyDescent="0.2">
      <c r="B23" s="1"/>
    </row>
    <row r="24" spans="2:14" ht="15" x14ac:dyDescent="0.2">
      <c r="B24" s="1"/>
    </row>
    <row r="25" spans="2:14" ht="15" x14ac:dyDescent="0.2">
      <c r="B25" s="1" t="s">
        <v>15</v>
      </c>
    </row>
    <row r="26" spans="2:14" ht="15" x14ac:dyDescent="0.2">
      <c r="B26" s="7"/>
      <c r="C26" s="1" t="str">
        <f>[1]Sectors!$B$1</f>
        <v>away</v>
      </c>
      <c r="D26" s="7"/>
      <c r="E26" s="7"/>
      <c r="I26" s="7"/>
      <c r="J26" s="1" t="str">
        <f>[1]Sectors!$H$1</f>
        <v>home</v>
      </c>
    </row>
    <row r="27" spans="2:14" ht="15" x14ac:dyDescent="0.2">
      <c r="B27" s="3"/>
      <c r="C27" s="7" t="s">
        <v>49</v>
      </c>
      <c r="D27" s="7" t="s">
        <v>64</v>
      </c>
      <c r="F27" s="7" t="s">
        <v>62</v>
      </c>
      <c r="G27" s="7" t="s">
        <v>63</v>
      </c>
      <c r="H27" s="7"/>
      <c r="J27" s="7" t="s">
        <v>49</v>
      </c>
      <c r="K27" s="7" t="s">
        <v>64</v>
      </c>
      <c r="M27" s="7" t="s">
        <v>62</v>
      </c>
      <c r="N27" s="7" t="s">
        <v>63</v>
      </c>
    </row>
    <row r="28" spans="2:14" ht="15" x14ac:dyDescent="0.2">
      <c r="B28" s="7" t="s">
        <v>31</v>
      </c>
      <c r="C28" s="7">
        <f>SUMIF([1]Sectors1!A:A, "opp*won*", [1]Sectors1!B:B)</f>
        <v>2</v>
      </c>
      <c r="D28" s="7">
        <f>SUMIF([1]Sectors1!A:A, "opp*lost*", [1]Sectors1!B:B)</f>
        <v>1</v>
      </c>
      <c r="F28" s="7">
        <f t="shared" ref="F28:F33" si="5">C28+K28</f>
        <v>5</v>
      </c>
      <c r="G28">
        <f t="shared" ref="G28:G33" si="6">D28+J28</f>
        <v>4</v>
      </c>
      <c r="J28" s="7">
        <f>SUMIF([1]Sectors2!A:A, "own*won", [1]Sectors2!B:B)</f>
        <v>3</v>
      </c>
      <c r="K28" s="7">
        <f>SUMIF([1]Sectors2!A:A, "own*lost", [1]Sectors2!B:B)</f>
        <v>3</v>
      </c>
      <c r="M28" s="7">
        <f>J28+D28</f>
        <v>4</v>
      </c>
      <c r="N28">
        <f>K28+C28</f>
        <v>5</v>
      </c>
    </row>
    <row r="29" spans="2:14" ht="15" x14ac:dyDescent="0.2">
      <c r="B29" s="7" t="s">
        <v>32</v>
      </c>
      <c r="C29" s="7">
        <f>SUMIF([1]Sectors1!A:A, "opp*won*", [1]Sectors1!C:C)</f>
        <v>2</v>
      </c>
      <c r="D29" s="7">
        <f>SUMIF([1]Sectors1!A:A, "opp*lost*", [1]Sectors1!C:C)</f>
        <v>1</v>
      </c>
      <c r="F29" s="7">
        <f t="shared" si="5"/>
        <v>5</v>
      </c>
      <c r="G29">
        <f t="shared" si="6"/>
        <v>4</v>
      </c>
      <c r="J29" s="7">
        <f>SUMIF([1]Sectors2!A:A, "own*won", [1]Sectors2!C:C)</f>
        <v>3</v>
      </c>
      <c r="K29" s="7">
        <f>SUMIF([1]Sectors2!A:A, "own*lost", [1]Sectors2!C:C)</f>
        <v>3</v>
      </c>
      <c r="M29" s="7">
        <f t="shared" ref="M29:M33" si="7">J29+D29</f>
        <v>4</v>
      </c>
      <c r="N29">
        <f t="shared" ref="N29:N33" si="8">K29+C29</f>
        <v>5</v>
      </c>
    </row>
    <row r="30" spans="2:14" ht="15" x14ac:dyDescent="0.2">
      <c r="B30" s="7" t="s">
        <v>33</v>
      </c>
      <c r="C30" s="7">
        <f>SUMIF([1]Sectors1!A:A, "opp*won*", [1]Sectors1!D:D)</f>
        <v>2</v>
      </c>
      <c r="D30" s="7">
        <f>SUMIF([1]Sectors1!A:A, "opp*lost*", [1]Sectors1!D:D)</f>
        <v>1</v>
      </c>
      <c r="F30" s="7">
        <f t="shared" si="5"/>
        <v>3</v>
      </c>
      <c r="G30">
        <f t="shared" si="6"/>
        <v>3</v>
      </c>
      <c r="J30" s="7">
        <f>SUMIF([1]Sectors2!A:A, "own*won", [1]Sectors2!D:D)</f>
        <v>2</v>
      </c>
      <c r="K30" s="7">
        <f>SUMIF([1]Sectors2!A:A, "own*lost", [1]Sectors2!D:D)</f>
        <v>1</v>
      </c>
      <c r="M30" s="7">
        <f t="shared" si="7"/>
        <v>3</v>
      </c>
      <c r="N30">
        <f t="shared" si="8"/>
        <v>3</v>
      </c>
    </row>
    <row r="31" spans="2:14" ht="15" x14ac:dyDescent="0.2">
      <c r="B31" s="7" t="s">
        <v>34</v>
      </c>
      <c r="C31" s="7">
        <f>SUMIF([1]Sectors1!A:A, "opp*won*", [1]Sectors1!E:E)</f>
        <v>4</v>
      </c>
      <c r="D31" s="7">
        <f>SUMIF([1]Sectors1!A:A, "opp*lost*", [1]Sectors1!E:E)</f>
        <v>1</v>
      </c>
      <c r="F31" s="7">
        <f t="shared" si="5"/>
        <v>5</v>
      </c>
      <c r="G31">
        <f t="shared" si="6"/>
        <v>3</v>
      </c>
      <c r="J31" s="7">
        <f>SUMIF([1]Sectors2!A:A, "own*won", [1]Sectors2!E:E)</f>
        <v>2</v>
      </c>
      <c r="K31" s="7">
        <f>SUMIF([1]Sectors2!A:A, "own*lost", [1]Sectors2!E:E)</f>
        <v>1</v>
      </c>
      <c r="M31" s="7">
        <f t="shared" si="7"/>
        <v>3</v>
      </c>
      <c r="N31">
        <f t="shared" si="8"/>
        <v>5</v>
      </c>
    </row>
    <row r="32" spans="2:14" ht="15" x14ac:dyDescent="0.2">
      <c r="B32" s="7" t="s">
        <v>35</v>
      </c>
      <c r="C32" s="7">
        <f>SUMIF([1]Sectors1!A:A, "opp*won*", [1]Sectors1!F:F)</f>
        <v>1</v>
      </c>
      <c r="D32" s="7">
        <f>SUMIF([1]Sectors1!A:A, "opp*lost*", [1]Sectors1!F:F)</f>
        <v>1</v>
      </c>
      <c r="F32" s="7">
        <f t="shared" si="5"/>
        <v>3</v>
      </c>
      <c r="G32">
        <f t="shared" si="6"/>
        <v>4</v>
      </c>
      <c r="J32" s="7">
        <f>SUMIF([1]Sectors2!A:A, "own*won", [1]Sectors2!F:F)</f>
        <v>3</v>
      </c>
      <c r="K32" s="7">
        <f>SUMIF([1]Sectors2!A:A, "own*lost", [1]Sectors2!F:F)</f>
        <v>2</v>
      </c>
      <c r="M32" s="7">
        <f t="shared" si="7"/>
        <v>4</v>
      </c>
      <c r="N32">
        <f t="shared" si="8"/>
        <v>3</v>
      </c>
    </row>
    <row r="33" spans="2:14" ht="15" x14ac:dyDescent="0.2">
      <c r="B33" s="7" t="s">
        <v>36</v>
      </c>
      <c r="C33" s="7">
        <f>SUMIF([1]Sectors1!A:A, "opp*won*", [1]Sectors1!G:G)</f>
        <v>2</v>
      </c>
      <c r="D33" s="7">
        <f>SUMIF([1]Sectors1!A:A, "opp*lost*", [1]Sectors1!G:G)</f>
        <v>5</v>
      </c>
      <c r="F33" s="7">
        <f t="shared" si="5"/>
        <v>5</v>
      </c>
      <c r="G33">
        <f t="shared" si="6"/>
        <v>7</v>
      </c>
      <c r="J33" s="7">
        <f>SUMIF([1]Sectors2!A:A, "own*won", [1]Sectors2!G:G)</f>
        <v>2</v>
      </c>
      <c r="K33" s="7">
        <f>SUMIF([1]Sectors2!A:A, "own*lost", [1]Sectors2!G:G)</f>
        <v>3</v>
      </c>
      <c r="M33" s="7">
        <f t="shared" si="7"/>
        <v>7</v>
      </c>
      <c r="N33">
        <f t="shared" si="8"/>
        <v>5</v>
      </c>
    </row>
    <row r="34" spans="2:14" ht="15" x14ac:dyDescent="0.2">
      <c r="B34" s="7" t="s">
        <v>0</v>
      </c>
      <c r="C34">
        <f>SUM(C28:C33)</f>
        <v>13</v>
      </c>
      <c r="D34">
        <f t="shared" ref="D34" si="9">SUM(D28:D33)</f>
        <v>10</v>
      </c>
      <c r="F34">
        <f>SUM(F28:F33)</f>
        <v>26</v>
      </c>
      <c r="G34">
        <f>SUM(G28:G33)</f>
        <v>25</v>
      </c>
      <c r="J34">
        <f t="shared" ref="J34:K34" si="10">SUM(J28:J33)</f>
        <v>15</v>
      </c>
      <c r="K34">
        <f t="shared" si="10"/>
        <v>13</v>
      </c>
      <c r="M34">
        <f>SUM(M28:M33)</f>
        <v>25</v>
      </c>
      <c r="N34">
        <f>SUM(N28:N33)</f>
        <v>26</v>
      </c>
    </row>
    <row r="36" spans="2:14" ht="15" x14ac:dyDescent="0.2">
      <c r="B36" s="7" t="s">
        <v>4</v>
      </c>
    </row>
    <row r="37" spans="2:14" ht="15" x14ac:dyDescent="0.2">
      <c r="B37" s="7"/>
      <c r="C37" s="1" t="str">
        <f>[1]Sectors!$B$1</f>
        <v>away</v>
      </c>
      <c r="D37" s="1" t="str">
        <f>[1]Sectors!$H$1</f>
        <v>home</v>
      </c>
      <c r="E37" s="7"/>
      <c r="G37" s="7"/>
      <c r="H37" s="7"/>
      <c r="I37" s="7"/>
    </row>
    <row r="38" spans="2:14" ht="15" x14ac:dyDescent="0.2">
      <c r="B38" s="3"/>
      <c r="C38" s="7" t="s">
        <v>60</v>
      </c>
      <c r="D38" s="7" t="s">
        <v>60</v>
      </c>
      <c r="E38" s="7"/>
    </row>
    <row r="39" spans="2:14" ht="15" x14ac:dyDescent="0.2">
      <c r="B39" s="7" t="s">
        <v>31</v>
      </c>
      <c r="C39" s="7">
        <f>SUMIF([1]Sectors1!$A$1:$A$30, "opp free*", [1]Sectors1!$B$1:$B$30)</f>
        <v>1</v>
      </c>
      <c r="D39" s="7">
        <f>SUMIF([1]Sectors2!$A$1:$A$30, "free*", [1]Sectors2!$B$1:$B$30)</f>
        <v>3</v>
      </c>
      <c r="E39" s="7"/>
    </row>
    <row r="40" spans="2:14" ht="15" x14ac:dyDescent="0.2">
      <c r="B40" s="7" t="s">
        <v>32</v>
      </c>
      <c r="C40" s="7">
        <f>SUMIF([1]Sectors1!$A$1:$A$30, "opp free*", [1]Sectors1!$C$1:$C$30)</f>
        <v>2</v>
      </c>
      <c r="D40" s="7">
        <f>SUMIF([1]Sectors2!$A$1:$A$30, "free*", [1]Sectors2!$C$1:$C$30)</f>
        <v>2</v>
      </c>
      <c r="E40" s="7"/>
    </row>
    <row r="41" spans="2:14" ht="15" x14ac:dyDescent="0.2">
      <c r="B41" s="7" t="s">
        <v>33</v>
      </c>
      <c r="C41" s="7">
        <f>SUMIF([1]Sectors1!$A$1:$A$30, "opp free*", [1]Sectors1!$D$1:$D$30)</f>
        <v>2</v>
      </c>
      <c r="D41" s="7">
        <f>SUMIF([1]Sectors2!$A$1:$A$30, "free*", [1]Sectors2!$D$1:$D$30)</f>
        <v>3</v>
      </c>
      <c r="E41" s="7"/>
    </row>
    <row r="42" spans="2:14" ht="15" x14ac:dyDescent="0.2">
      <c r="B42" s="7" t="s">
        <v>34</v>
      </c>
      <c r="C42" s="7">
        <f>SUMIF([1]Sectors1!$A$1:$A$30, "opp free*", [1]Sectors1!$E$1:$E$30)</f>
        <v>0</v>
      </c>
      <c r="D42" s="7">
        <f>SUMIF([1]Sectors2!$A$1:$A$30, "free*", [1]Sectors2!$E$1:$E$30)</f>
        <v>1</v>
      </c>
      <c r="E42" s="7"/>
    </row>
    <row r="43" spans="2:14" ht="15" x14ac:dyDescent="0.2">
      <c r="B43" s="7" t="s">
        <v>35</v>
      </c>
      <c r="C43" s="7">
        <f>SUMIF([1]Sectors1!$A$1:$A$30, "opp free*", [1]Sectors1!$F$1:$F$30)</f>
        <v>5</v>
      </c>
      <c r="D43" s="7">
        <f>SUMIF([1]Sectors2!$A$1:$A$30, "free*", [1]Sectors2!$F$1:$F$30)</f>
        <v>1</v>
      </c>
      <c r="E43" s="7"/>
    </row>
    <row r="44" spans="2:14" ht="15" x14ac:dyDescent="0.2">
      <c r="B44" s="7" t="s">
        <v>36</v>
      </c>
      <c r="C44" s="7">
        <f>SUMIF([1]Sectors1!$A$1:$A$30, "opp free*", [1]Sectors1!$G$1:$G$30)</f>
        <v>4</v>
      </c>
      <c r="D44" s="7">
        <f>SUMIF([1]Sectors2!$A$1:$A$30, "free*", [1]Sectors2!$G$1:$G$30)</f>
        <v>2</v>
      </c>
      <c r="E44" s="7"/>
    </row>
    <row r="45" spans="2:14" ht="15" x14ac:dyDescent="0.2">
      <c r="B45" s="7" t="s">
        <v>0</v>
      </c>
      <c r="C45">
        <f>SUM(C39:C44)</f>
        <v>14</v>
      </c>
      <c r="D45">
        <f t="shared" ref="D45" si="11">SUM(D39:D44)</f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6"/>
  <sheetViews>
    <sheetView workbookViewId="0">
      <selection activeCell="F30" sqref="F30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[1]Location1!$B$1</f>
        <v>away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IFERROR(VLOOKUP("opp*won",[1]Location1!A1:Q18,MATCH(C4,[1]Location1!2:2,0),0), 0)</f>
        <v>0</v>
      </c>
      <c r="E4" s="1">
        <f>IFERROR(VLOOKUP("opp*lost",[1]Location1!A1:Q18,MATCH(C4,[1]Location1!2:2,0),0), 0)</f>
        <v>0</v>
      </c>
      <c r="F4" s="1">
        <f t="shared" ref="F4:F21" si="0">SUM(D4:E4)</f>
        <v>0</v>
      </c>
      <c r="G4" s="1"/>
      <c r="H4" s="1"/>
      <c r="I4" s="1" t="s">
        <v>5</v>
      </c>
      <c r="J4" s="1">
        <f>IFERROR(SUMIF([1]Location1!A:A,"opp point*",INDEX([1]Location1!$A:$Z,0,MATCH($I$4,[1]Location1!$2:$2,0))),0)+
IFERROR(SUMIF([1]Location1!A:A,"opp goal*",INDEX([1]Location1!$A:$Z,0,MATCH($I$4,[1]Location1!$2:$2,0))),0)</f>
        <v>0</v>
      </c>
      <c r="K4" s="1">
        <f>IFERROR(SUMIF([1]Location1!A:A,"opp point*",INDEX([1]Location1!$A:$Z,0,MATCH($I$4,[1]Location1!$2:$2,0)))+
SUMIF([1]Location1!A:A,"opp wide*",INDEX([1]Location1!$A:$Z,0,MATCH($I$4,[1]Location1!$2:$2,0)))+
SUMIF([1]Location1!A:A,"opp short*",INDEX([1]Location1!$A:$Z,0,MATCH($I$4,[1]Location1!$2:$2,0)))+
SUMIF([1]Location1!A:A,"opp save*",INDEX([1]Location1!$A:$Z,0,MATCH($I$4,[1]Location1!$2:$2,0)))+
IFERROR(SUMIF([1]Location1!A:A,"opp goal*",INDEX([1]Location1!$A:$Z,0,MATCH($I$4,[1]Location1!$2:$2,0))),0)+
SUMIF([1]Location1!A:A,"opp 65*",INDEX([1]Location1!$A:$Z,0,MATCH($I$4,[1]Location1!$2:$2,0))),0)+
IFERROR(SUMIF([1]Location1!A:A,"opp post*",INDEX([1]Location1!$A:$Z,0,MATCH($I$4,[1]Location1!$2:$2,0))),0)</f>
        <v>0</v>
      </c>
      <c r="L4" s="1"/>
      <c r="N4" s="1" t="s">
        <v>5</v>
      </c>
      <c r="O4">
        <f>IFERROR(SUMIF([1]Location1!A:A,"free*",INDEX([1]Location1!$A:$Z,0,MATCH($N$4,[1]Location1!$2:$2,0))),0)</f>
        <v>0</v>
      </c>
    </row>
    <row r="5" spans="2:15" ht="15" x14ac:dyDescent="0.2">
      <c r="B5" s="1"/>
      <c r="C5" s="1" t="s">
        <v>6</v>
      </c>
      <c r="D5" s="1">
        <f>IFERROR(VLOOKUP("opp*won",[1]Location1!A1:Q18,MATCH(C5,[1]Location1!2:2,0),0), 0)</f>
        <v>0</v>
      </c>
      <c r="E5" s="1">
        <f>IFERROR(VLOOKUP("opp*lost",[1]Location1!A1:Q18,MATCH(C5,[1]Location1!2:2,0),0), 0)</f>
        <v>0</v>
      </c>
      <c r="F5" s="1">
        <f t="shared" si="0"/>
        <v>0</v>
      </c>
      <c r="G5" s="1"/>
      <c r="H5" s="1"/>
      <c r="I5" s="1" t="s">
        <v>6</v>
      </c>
      <c r="J5" s="1">
        <f>IFERROR(SUMIF([1]Location1!A:A,"opp point*",INDEX([1]Location1!$A:$Z,0,MATCH($I$5,[1]Location1!$2:$2,0))),0)+
IFERROR(SUMIF([1]Location1!A:A,"opp goal*",INDEX([1]Location1!$A:$Z,0,MATCH($I$5,[1]Location1!$2:$2,0))),0)</f>
        <v>1</v>
      </c>
      <c r="K5" s="1">
        <f>IFERROR(SUMIF([1]Location1!A:A,"opp point*",INDEX([1]Location1!$A:$Z,0,MATCH($I$5,[1]Location1!$2:$2,0)))+
SUMIF([1]Location1!A:A,"opp wide*",INDEX([1]Location1!$A:$Z,0,MATCH($I$5,[1]Location1!$2:$2,0)))+
SUMIF([1]Location1!A:A,"opp short*",INDEX([1]Location1!$A:$Z,0,MATCH($I$5,[1]Location1!$2:$2,0)))+
SUMIF([1]Location1!A:A,"opp save*",INDEX([1]Location1!$A:$Z,0,MATCH($I$5,[1]Location1!$2:$2,0)))+
SUMIF([1]Location1!A:A,"opp 65*",INDEX([1]Location1!$A:$Z,0,MATCH($I$5,[1]Location1!$2:$2,0))),0)+
IFERROR(SUMIF([1]Location1!A:A,"opp goal*",INDEX([1]Location1!$A:$Z,0,MATCH($I$5,[1]Location1!$2:$2,0))),0)+
IFERROR(SUMIF([1]Location1!A:A,"opp post*",INDEX([1]Location1!$A:$Z,0,MATCH($I$5,[1]Location1!$2:$2,0))),0)</f>
        <v>3</v>
      </c>
      <c r="N5" s="1" t="s">
        <v>6</v>
      </c>
      <c r="O5">
        <f>IFERROR(SUMIF([1]Location1!A:A,"opp free*",INDEX([1]Location1!$A:$Z,0,MATCH($N$5,[1]Location1!$2:$2,0))),0)</f>
        <v>0</v>
      </c>
    </row>
    <row r="6" spans="2:15" ht="15" x14ac:dyDescent="0.2">
      <c r="B6" s="1"/>
      <c r="C6" s="1" t="s">
        <v>7</v>
      </c>
      <c r="D6" s="1">
        <f>IFERROR(VLOOKUP("opp*won",[1]Location1!A1:Q18,MATCH(C6,[1]Location1!2:2,0),0), 0)</f>
        <v>0</v>
      </c>
      <c r="E6" s="1">
        <f>IFERROR(VLOOKUP("opp*lost",[1]Location1!A1:Q18,MATCH(C6,[1]Location1!2:2,0),0), 0)</f>
        <v>0</v>
      </c>
      <c r="F6" s="1">
        <f t="shared" si="0"/>
        <v>0</v>
      </c>
      <c r="G6" s="1"/>
      <c r="H6" s="1"/>
      <c r="I6" s="1" t="s">
        <v>7</v>
      </c>
      <c r="J6" s="1">
        <f>IFERROR(SUMIF([1]Location1!A:A,"opp point*",INDEX([1]Location1!$A:$Z,0,MATCH($I$6,[1]Location1!$2:$2,0))),0)+
IFERROR(SUMIF([1]Location1!A:A,"opp goal*",INDEX([1]Location1!$A:$Z,0,MATCH($I$6,[1]Location1!$2:$2,0))),0)</f>
        <v>1</v>
      </c>
      <c r="K6" s="1">
        <f>IFERROR(SUMIF([1]Location1!A:A,"opp point*",INDEX([1]Location1!$A:$Z,0,MATCH($I$6,[1]Location1!$2:$2,0)))+
SUMIF([1]Location1!A:A,"opp wide*",INDEX([1]Location1!$A:$Z,0,MATCH($I$6,[1]Location1!$2:$2,0)))+
SUMIF([1]Location1!A:A,"opp short*",INDEX([1]Location1!$A:$Z,0,MATCH($I$6,[1]Location1!$2:$2,0)))+
SUMIF([1]Location1!A:A,"opp save*",INDEX([1]Location1!$A:$Z,0,MATCH($I$6,[1]Location1!$2:$2,0)))+
SUMIF([1]Location1!A:A,"opp 65*",INDEX([1]Location1!$A:$Z,0,MATCH($I$6,[1]Location1!$2:$2,0))),0)+
IFERROR(SUMIF([1]Location1!A:A,"opp goal*",INDEX([1]Location1!$A:$Z,0,MATCH($I$6,[1]Location1!$2:$2,0))),0)+
IFERROR(SUMIF([1]Location1!A:A,"opp post*",INDEX([1]Location1!$A:$Z,0,MATCH($I$6,[1]Location1!$2:$2,0))),0)</f>
        <v>1</v>
      </c>
      <c r="N6" s="1" t="s">
        <v>7</v>
      </c>
      <c r="O6">
        <f>IFERROR(SUMIF([1]Location1!A:A,"opp free*",INDEX([1]Location1!$A:$Z,0,MATCH($N$6,[1]Location1!$2:$2,0))),0)</f>
        <v>0</v>
      </c>
    </row>
    <row r="7" spans="2:15" ht="15" x14ac:dyDescent="0.2">
      <c r="B7" s="1"/>
      <c r="C7" s="1" t="s">
        <v>8</v>
      </c>
      <c r="D7" s="1">
        <f>IFERROR(VLOOKUP("opp*won",[1]Location1!A1:Q18,MATCH(C7,[1]Location1!2:2,0),0), 0)</f>
        <v>2</v>
      </c>
      <c r="E7" s="1">
        <f>IFERROR(VLOOKUP("opp*lost",[1]Location1!A1:Q18,MATCH(C7,[1]Location1!2:2,0),0), 0)</f>
        <v>0</v>
      </c>
      <c r="F7" s="1">
        <f t="shared" si="0"/>
        <v>2</v>
      </c>
      <c r="G7" s="1"/>
      <c r="H7" s="1"/>
      <c r="I7" s="1" t="s">
        <v>8</v>
      </c>
      <c r="J7" s="1">
        <f>IFERROR(SUMIF([1]Location1!A:A,"opp point*",INDEX([1]Location1!$A:$Z,0,MATCH($I$7,[1]Location1!$2:$2,0))),0)+
IFERROR(SUMIF([1]Location1!A:A,"opp goal*",INDEX([1]Location1!$A:$Z,0,MATCH($I$7,[1]Location1!$2:$2,0))),0)</f>
        <v>1</v>
      </c>
      <c r="K7">
        <f>IFERROR(SUMIF([1]Location1!A:A,"opp point*",INDEX([1]Location1!$A:$Z,0,MATCH($I$7,[1]Location1!$2:$2,0)))+
SUMIF([1]Location1!A:A,"opp wide*",INDEX([1]Location1!$A:$Z,0,MATCH($I$7,[1]Location1!$2:$2,0)))+
SUMIF([1]Location1!A:A,"opp short*",INDEX([1]Location1!$A:$Z,0,MATCH($I$7,[1]Location1!$2:$2,0)))+
SUMIF([1]Location1!A:A,"opp save*",INDEX([1]Location1!$A:$Z,0,MATCH($I$7,[1]Location1!$2:$2,0)))+
SUMIF([1]Location1!A:A,"opp 65*",INDEX([1]Location1!$A:$Z,0,MATCH($I$7,[1]Location1!$2:$2,0))),0)+
IFERROR(SUMIF([1]Location1!A:A,"opp goal*",INDEX([1]Location1!$A:$Z,0,MATCH($I$7,[1]Location1!$2:$2,0))),0)+
IFERROR(SUMIF([1]Location1!A:A,"opp post*",INDEX([1]Location1!$A:$Z,0,MATCH($I$7,[1]Location1!$2:$2,0))),0)</f>
        <v>1</v>
      </c>
      <c r="N7" s="1" t="s">
        <v>8</v>
      </c>
      <c r="O7">
        <f>IFERROR(SUMIF([1]Location1!A:A,"opp free*",INDEX([1]Location1!$A:$Z,0,MATCH($N$7,[1]Location1!$2:$2,0))),0)</f>
        <v>0</v>
      </c>
    </row>
    <row r="8" spans="2:15" ht="15" x14ac:dyDescent="0.2">
      <c r="B8" s="1"/>
      <c r="C8" s="1" t="s">
        <v>9</v>
      </c>
      <c r="D8" s="1">
        <f>IFERROR(VLOOKUP("opp*won",[1]Location1!A1:Q18,MATCH(C8,[1]Location1!2:2,0),0), 0)</f>
        <v>0</v>
      </c>
      <c r="E8" s="1">
        <f>IFERROR(VLOOKUP("opp*lost",[1]Location1!A1:Q18,MATCH(C8,[1]Location1!2:2,0),0), 0)</f>
        <v>0</v>
      </c>
      <c r="F8" s="1">
        <f t="shared" si="0"/>
        <v>0</v>
      </c>
      <c r="G8" s="1"/>
      <c r="H8" s="1"/>
      <c r="I8" s="1" t="s">
        <v>9</v>
      </c>
      <c r="J8" s="1">
        <f>IFERROR(SUMIF([1]Location1!A:A,"opp point*",INDEX([1]Location1!$A:$Z,0,MATCH($I$8,[1]Location1!$2:$2,0))),0)+
IFERROR(SUMIF([1]Location1!A:A,"opp goal*",INDEX([1]Location1!$A:$Z,0,MATCH($I$8,[1]Location1!$2:$2,0))),0)</f>
        <v>2</v>
      </c>
      <c r="K8" s="1">
        <f>IFERROR(IFERROR(SUMIF([1]Location1!A:A,"opp point*",INDEX([1]Location1!$A:$Z,0,MATCH($I$8,[1]Location1!$2:$2,0))),0)+
IFERROR(SUMIF([1]Location1!A:A,"opp wide*",INDEX([1]Location1!$A:$Z,0,MATCH($I$8,[1]Location1!$2:$2,0))),0)+
IFERROR(SUMIF([1]Location1!A:A,"opp short*",INDEX([1]Location1!$A:$Z,0,MATCH($I$8,[1]Location1!$2:$2,0))),0)+
IFERROR(SUMIF([1]Location1!A:A,"opp save*",INDEX([1]Location1!$A:$Z,0,MATCH($I$8,[1]Location1!$2:$2,0))),0)+
IFERROR(SUMIF([1]Location1!A:A,"opp 65*",INDEX([1]Location1!$A:$Z,0,MATCH($I$8,[1]Location1!$2:$2,0))),0),0)+
IFERROR(SUMIF([1]Location1!A:A,"opp goal*",INDEX([1]Location1!$A:$Z,0,MATCH($I$8,[1]Location1!$2:$2,0))),0)+
IFERROR(SUMIF([1]Location1!A:A,"opp post*",INDEX([1]Location1!$A:$Z,0,MATCH($I$8,[1]Location1!$2:$2,0))),0)</f>
        <v>2</v>
      </c>
      <c r="N8" s="1" t="s">
        <v>9</v>
      </c>
      <c r="O8">
        <f>IFERROR(SUMIF([1]Location1!A:A,"opp free*",INDEX([1]Location1!$A:$Z,0,MATCH($N$8,[1]Location1!$2:$2,0))),0)</f>
        <v>1</v>
      </c>
    </row>
    <row r="9" spans="2:15" ht="15" x14ac:dyDescent="0.2">
      <c r="B9" s="1"/>
      <c r="C9" s="1" t="s">
        <v>10</v>
      </c>
      <c r="D9" s="1">
        <f>IFERROR(VLOOKUP("opp*won",[1]Location1!A1:Q18,MATCH(C9,[1]Location1!2:2,0),0), 0)</f>
        <v>2</v>
      </c>
      <c r="E9" s="1">
        <f>IFERROR(VLOOKUP("opp*lost",[1]Location1!A1:Q18,MATCH(C9,[1]Location1!2:2,0),0), 0)</f>
        <v>2</v>
      </c>
      <c r="F9" s="1">
        <f t="shared" si="0"/>
        <v>4</v>
      </c>
      <c r="G9" s="1"/>
      <c r="H9" s="1"/>
      <c r="I9" s="1" t="s">
        <v>10</v>
      </c>
      <c r="J9" s="1">
        <f>IFERROR(SUMIF([1]Location1!A:A,"opp point*",INDEX([1]Location1!$A:$Z,0,MATCH($I$9,[1]Location1!$2:$2,0))),0)+
IFERROR(SUMIF([1]Location1!A:A,"opp goal*",INDEX([1]Location1!$A:$Z,0,MATCH($I$9,[1]Location1!$2:$2,0))),0)</f>
        <v>3</v>
      </c>
      <c r="K9" s="1">
        <f>IFERROR(SUMIF([1]Location1!A:A,"opp point*",INDEX([1]Location1!$A:$Z,0,MATCH($I$9,[1]Location1!$2:$2,0)))+
SUMIF([1]Location1!A:A,"opp wide*",INDEX([1]Location1!$A:$Z,0,MATCH($I$9,[1]Location1!$2:$2,0)))+
SUMIF([1]Location1!A:A,"opp short*",INDEX([1]Location1!$A:$Z,0,MATCH($I$9,[1]Location1!$2:$2,0)))+
SUMIF([1]Location1!A:A,"opp save*",INDEX([1]Location1!$A:$Z,0,MATCH($I$9,[1]Location1!$2:$2,0)))+
SUMIF([1]Location1!A:A,"opp 65*",INDEX([1]Location1!$A:$Z,0,MATCH($I$9,[1]Location1!$2:$2,0))),0)+
IFERROR(SUMIF([1]Location1!A:A,"opp goal*",INDEX([1]Location1!$A:$Z,0,MATCH($I$9,[1]Location1!$2:$2,0))),0)+
IFERROR(SUMIF([1]Location1!A:A,"opp post*",INDEX([1]Location1!$A:$Z,0,MATCH($I$9,[1]Location1!$2:$2,0))),0)</f>
        <v>5</v>
      </c>
      <c r="N9" s="1" t="s">
        <v>10</v>
      </c>
      <c r="O9">
        <f>IFERROR(SUMIF([1]Location1!A:A,"opp free*",INDEX([1]Location1!$A:$Z,0,MATCH($N$9,[1]Location1!$2:$2,0))),0)</f>
        <v>0</v>
      </c>
    </row>
    <row r="10" spans="2:15" ht="15" x14ac:dyDescent="0.2">
      <c r="B10" s="1"/>
      <c r="C10" s="1" t="s">
        <v>13</v>
      </c>
      <c r="D10" s="1">
        <f>IFERROR(VLOOKUP("opp*won",[1]Location1!A1:Q18,MATCH(C10,[1]Location1!2:2,0),0), 0)</f>
        <v>1</v>
      </c>
      <c r="E10" s="1">
        <f>IFERROR(VLOOKUP("opp*lost",[1]Location1!A1:Q18,MATCH(C10,[1]Location1!2:2,0),0), 0)</f>
        <v>2</v>
      </c>
      <c r="F10" s="1">
        <f t="shared" si="0"/>
        <v>3</v>
      </c>
      <c r="G10" s="1"/>
      <c r="H10" s="1"/>
      <c r="I10" s="1" t="s">
        <v>13</v>
      </c>
      <c r="J10" s="1">
        <f>IFERROR(SUMIF([1]Location1!A:A,"opp point*",INDEX([1]Location1!$A:$Z,0,MATCH($I$10,[1]Location1!$2:$2,0))),0)+
IFERROR(SUMIF([1]Location1!A:A,"opp goal*",INDEX([1]Location1!$A:$Z,0,MATCH($I$10,[1]Location1!$2:$2,0))),0)</f>
        <v>0</v>
      </c>
      <c r="K10" s="1">
        <f>IFERROR(SUMIF([1]Location1!A:A,"opp point*",INDEX([1]Location1!$A:$Z,0,MATCH($I$10,[1]Location1!$2:$2,0)))+
SUMIF([1]Location1!A:A,"opp wide*",INDEX([1]Location1!$A:$Z,0,MATCH($I$10,[1]Location1!$2:$2,0)))+
SUMIF([1]Location1!A:A,"opp short*",INDEX([1]Location1!$A:$Z,0,MATCH($I$10,[1]Location1!$2:$2,0)))+
SUMIF([1]Location1!A:A,"opp save*",INDEX([1]Location1!$A:$Z,0,MATCH($I$10,[1]Location1!$2:$2,0)))+
SUMIF([1]Location1!A:A,"opp 65*",INDEX([1]Location1!$A:$Z,0,MATCH($I$10,[1]Location1!$2:$2,0))),0)+
IFERROR(SUMIF([1]Location1!A:A,"opp goal*",INDEX([1]Location1!$A:$Z,0,MATCH($I$10,[1]Location1!$2:$2,0))),0)+
IFERROR(SUMIF([1]Location1!A:A,"opp post*",INDEX([1]Location1!$A:$Z,0,MATCH($I$10,[1]Location1!$2:$2,0))),0)</f>
        <v>0</v>
      </c>
      <c r="N10" s="1" t="s">
        <v>13</v>
      </c>
      <c r="O10">
        <f>IFERROR(SUMIF([1]Location1!A:A,"opp free*",INDEX([1]Location1!$A:$Z,0,MATCH($N$10,[1]Location1!$2:$2,0))),0)</f>
        <v>3</v>
      </c>
    </row>
    <row r="11" spans="2:15" ht="15" x14ac:dyDescent="0.2">
      <c r="B11" s="1"/>
      <c r="C11" s="1" t="s">
        <v>11</v>
      </c>
      <c r="D11" s="1">
        <f>IFERROR(VLOOKUP("opp*won",[1]Location1!A1:Q18,MATCH(C11,[1]Location1!2:2,0),0), 0)</f>
        <v>0</v>
      </c>
      <c r="E11" s="1">
        <f>IFERROR(VLOOKUP("opp*lost",[1]Location1!A1:Q18,MATCH(C11,[1]Location1!2:2,0),0),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IFERROR(SUMIF([1]Location1!A:A,"opp point*",INDEX([1]Location1!$A:$Z,0,MATCH($I$11,[1]Location1!$2:$2,0))),0)+
IFERROR(SUMIF([1]Location1!A:A,"opp goal*",INDEX([1]Location1!$A:$Z,0,MATCH($I$11,[1]Location1!$2:$2,0))),0)</f>
        <v>1</v>
      </c>
      <c r="K11" s="1">
        <f>IFERROR(SUMIF([1]Location1!A:A,"opp point*",INDEX([1]Location1!$A:$Z,0,MATCH($I$11,[1]Location1!$2:$2,0)))+
SUMIF([1]Location1!A:A,"opp wide*",INDEX([1]Location1!$A:$Z,0,MATCH($I$11,[1]Location1!$2:$2,0)))+
SUMIF([1]Location1!A:A,"opp short*",INDEX([1]Location1!$A:$Z,0,MATCH($I$11,[1]Location1!$2:$2,0)))+
SUMIF([1]Location1!A:A,"opp save*",INDEX([1]Location1!$A:$Z,0,MATCH($I$11,[1]Location1!$2:$2,0)))+
SUMIF([1]Location1!A:A,"opp 65*",INDEX([1]Location1!$A:$Z,0,MATCH($I$11,[1]Location1!$2:$2,0))),0)+
IFERROR(SUMIF([1]Location1!A:A,"opp goal*",INDEX([1]Location1!$A:$Z,0,MATCH($I$11,[1]Location1!$2:$2,0))),0)+
IFERROR(SUMIF([1]Location1!A:A,"opp post*",INDEX([1]Location1!$A:$Z,0,MATCH($I$11,[1]Location1!$2:$2,0))),0)</f>
        <v>1</v>
      </c>
      <c r="N11" s="1" t="s">
        <v>11</v>
      </c>
      <c r="O11">
        <f>IFERROR(SUMIF([1]Location1!A:A,"opp free*",INDEX([1]Location1!$A:$Z,0,MATCH($N$11,[1]Location1!$2:$2,0))),0)</f>
        <v>1</v>
      </c>
    </row>
    <row r="12" spans="2:15" ht="15" x14ac:dyDescent="0.2">
      <c r="B12" s="1"/>
      <c r="C12" s="1" t="s">
        <v>12</v>
      </c>
      <c r="D12" s="1">
        <f>IFERROR(VLOOKUP("opp*won",[1]Location1!A1:Q18,MATCH(C12,[1]Location1!2:2,0),0), 0)</f>
        <v>0</v>
      </c>
      <c r="E12" s="1">
        <f>IFERROR(VLOOKUP("opp*lost",[1]Location1!A1:Q18,MATCH(C12,[1]Location1!2:2,0),0), 0)</f>
        <v>1</v>
      </c>
      <c r="F12" s="1">
        <f t="shared" si="0"/>
        <v>1</v>
      </c>
      <c r="G12" s="1"/>
      <c r="H12" s="1"/>
      <c r="I12" s="1" t="s">
        <v>12</v>
      </c>
      <c r="J12" s="1">
        <f>IFERROR(SUMIF([1]Location1!A:A,"opp point*",INDEX([1]Location1!$A:$Z,0,MATCH($I$12,[1]Location1!$2:$2,0))),0)+
IFERROR(SUMIF([1]Location1!A:A,"opp goal*",INDEX([1]Location1!$A:$Z,0,MATCH($I$12,[1]Location1!$2:$2,0))),0)</f>
        <v>1</v>
      </c>
      <c r="K12" s="1">
        <f>IFERROR(SUMIF([1]Location1!A:A,"opp point*",INDEX([1]Location1!$A:$Z,0,MATCH($I$12,[1]Location1!$2:$2,0)))+
SUMIF([1]Location1!A:A,"opp wide*",INDEX([1]Location1!$A:$Z,0,MATCH($I$12,[1]Location1!$2:$2,0)))+
SUMIF([1]Location1!A:A,"opp short*",INDEX([1]Location1!$A:$Z,0,MATCH($I$12,[1]Location1!$2:$2,0)))+
SUMIF([1]Location1!A:A,"opp save*",INDEX([1]Location1!$A:$Z,0,MATCH($I$12,[1]Location1!$2:$2,0)))+
SUMIF([1]Location1!A:A,"opp 65*",INDEX([1]Location1!$A:$Z,0,MATCH($I$12,[1]Location1!$2:$2,0))),0)+
IFERROR(SUMIF([1]Location1!A:A,"opp goal*",INDEX([1]Location1!$A:$Z,0,MATCH($I$12,[1]Location1!$2:$2,0))),0)+
IFERROR(SUMIF([1]Location1!A:A,"opp post*",INDEX([1]Location1!$A:$Z,0,MATCH($I$12,[1]Location1!$2:$2,0))),0)</f>
        <v>2</v>
      </c>
      <c r="N12" s="1" t="s">
        <v>12</v>
      </c>
      <c r="O12">
        <f>IFERROR(SUMIF([1]Location1!A:A,"opp free*",INDEX([1]Location1!$A:$Z,0,MATCH($N$12,[1]Location1!$2:$2,0))),0)</f>
        <v>1</v>
      </c>
    </row>
    <row r="13" spans="2:15" ht="15" x14ac:dyDescent="0.2">
      <c r="B13" s="1"/>
      <c r="C13" s="1" t="s">
        <v>69</v>
      </c>
      <c r="D13" s="1">
        <f>IFERROR(VLOOKUP("opp*won",[1]Location1!A1:Q18,MATCH(C13,[1]Location1!2:2,0),0), 0)</f>
        <v>1</v>
      </c>
      <c r="E13" s="1">
        <f>IFERROR(VLOOKUP("opp*lost",[1]Location1!A1:Q18,MATCH(C13,[1]Location1!2:2,0),0), 0)</f>
        <v>2</v>
      </c>
      <c r="F13" s="1">
        <f t="shared" si="0"/>
        <v>3</v>
      </c>
      <c r="G13" s="1"/>
      <c r="H13" s="1"/>
      <c r="I13" s="1" t="s">
        <v>69</v>
      </c>
      <c r="J13" s="1">
        <f>IFERROR(SUMIF([1]Location1!A:A,"opp point*",INDEX([1]Location1!$A:$Z,0,MATCH($I$13,[1]Location1!$2:$2,0))),0)+
IFERROR(SUMIF([1]Location1!A:A,"opp goal*",INDEX([1]Location1!$A:$Z,0,MATCH($I$13,[1]Location1!$2:$2,0))),0)</f>
        <v>2</v>
      </c>
      <c r="K13" s="1">
        <f>IFERROR(SUMIF([1]Location1!A:A,"opp point*",INDEX([1]Location1!$A:$Z,0,MATCH($I$13,[1]Location1!$2:$2,0)))+
SUMIF([1]Location1!A:A,"opp wide*",INDEX([1]Location1!$A:$Z,0,MATCH($I$13,[1]Location1!$2:$2,0)))+
SUMIF([1]Location1!A:A,"opp short*",INDEX([1]Location1!$A:$Z,0,MATCH($I$13,[1]Location1!$2:$2,0)))+
SUMIF([1]Location1!A:A,"opp save*",INDEX([1]Location1!$A:$Z,0,MATCH($I$13,[1]Location1!$2:$2,0)))+
SUMIF([1]Location1!A:A,"opp 65*",INDEX([1]Location1!$A:$Z,0,MATCH($I$13,[1]Location1!$2:$2,0)))+
IFERROR(SUMIF([1]Location1!A:A,"opp goal*",INDEX([1]Location1!$A:$Z,0,MATCH($I$13,[1]Location1!$2:$2,0))),0),0)+
IFERROR(SUMIF([1]Location1!A:A,"opp post*",INDEX([1]Location1!$A:$Z,0,MATCH($I$13,[1]Location1!$2:$2,0))),0)</f>
        <v>6</v>
      </c>
      <c r="N13" s="1" t="s">
        <v>69</v>
      </c>
      <c r="O13">
        <f>IFERROR(SUMIF([1]Location1!A:A,"opp free*",INDEX([1]Location1!$A:$Z,0,MATCH($N$13,[1]Location1!$2:$2,0))),0)</f>
        <v>0</v>
      </c>
    </row>
    <row r="14" spans="2:15" ht="15" x14ac:dyDescent="0.2">
      <c r="B14" s="1"/>
      <c r="C14" s="1" t="s">
        <v>72</v>
      </c>
      <c r="D14" s="1">
        <f>IFERROR(VLOOKUP("opp*won",[1]Location1!A1:Q18,MATCH(C14,[1]Location1!2:2,0),0), 0)</f>
        <v>2</v>
      </c>
      <c r="E14" s="1">
        <f>IFERROR(VLOOKUP("opp*lost",[1]Location1!A1:Q18,MATCH(C14,[1]Location1!2:2,0),0), 0)</f>
        <v>0</v>
      </c>
      <c r="F14" s="1">
        <f t="shared" si="0"/>
        <v>2</v>
      </c>
      <c r="G14" s="1"/>
      <c r="H14" s="1"/>
      <c r="I14" s="1" t="s">
        <v>72</v>
      </c>
      <c r="J14" s="1">
        <f>IFERROR(SUMIF([1]Location1!A:A,"opp point*",INDEX([1]Location1!$A:$Z,0,MATCH($I$14,[1]Location1!$2:$2,0))),0)+
IFERROR(SUMIF([1]Location1!A:A,"opp goal*",INDEX([1]Location1!$A:$Z,0,MATCH($I$14,[1]Location1!$2:$2,0))),0)</f>
        <v>1</v>
      </c>
      <c r="K14" s="1">
        <f>IFERROR(SUMIF([1]Location1!A:A,"opp point*",INDEX([1]Location1!$A:$Z,0,MATCH($I$14,[1]Location1!$2:$2,0))),0)+
IFERROR(SUMIF([1]Location1!A:A,"opp wide*",INDEX([1]Location1!$A:$Z,0,MATCH($I$14,[1]Location1!$2:$2,0))),0)+
IFERROR(SUMIF([1]Location1!A:A,"opp short*",INDEX([1]Location1!$A:$Z,0,MATCH($I$14,[1]Location1!$2:$2,0))),0)+
IFERROR(SUMIF([1]Location1!A:A,"opp save*",INDEX([1]Location1!$A:$Z,0,MATCH($I$14,[1]Location1!$2:$2,0))),0)+
IFERROR(SUMIF([1]Location1!A:A,"opp 65*",INDEX([1]Location1!$A:$Z,0,MATCH($I$14,[1]Location1!$2:$2,0))),0)+
IFERROR(SUMIF([1]Location1!A:A,"opp goal*",INDEX([1]Location1!$A:$Z,0,MATCH($I$14,[1]Location1!$2:$2,0))),0)+
IFERROR(SUMIF([1]Location1!A:A,"opp post*",INDEX([1]Location1!$A:$Z,0,MATCH($I$14,[1]Location1!$2:$2,0))),0)</f>
        <v>4</v>
      </c>
      <c r="N14" s="1" t="s">
        <v>72</v>
      </c>
      <c r="O14">
        <f>IFERROR(SUMIF([1]Location1!A:A,"opp free*",INDEX([1]Location1!$A:$Z,0,MATCH($N$14,[1]Location1!$2:$2,0))),0)</f>
        <v>1</v>
      </c>
    </row>
    <row r="15" spans="2:15" ht="15" x14ac:dyDescent="0.2">
      <c r="B15" s="1"/>
      <c r="C15" s="1" t="s">
        <v>73</v>
      </c>
      <c r="D15" s="1">
        <f>IFERROR(VLOOKUP("opp*won",[1]Location1!A1:Q18,MATCH(C15,[1]Location1!2:2,0),0), 0)</f>
        <v>1</v>
      </c>
      <c r="E15" s="1">
        <f>IFERROR(VLOOKUP("opp*lost",[1]Location1!A1:Q18,MATCH(C15,[1]Location1!2:2,0),0), 0)</f>
        <v>2</v>
      </c>
      <c r="F15" s="1">
        <f t="shared" si="0"/>
        <v>3</v>
      </c>
      <c r="G15" s="1"/>
      <c r="H15" s="1"/>
      <c r="I15" s="1" t="s">
        <v>73</v>
      </c>
      <c r="J15" s="1">
        <f>IFERROR(SUMIF([1]Location1!A:A,"opp point*",INDEX([1]Location1!$A:$Z,0,MATCH($I$15,[1]Location1!$2:$2,0))),0)+
IFERROR(SUMIF([1]Location1!A:A,"opp goal*",INDEX([1]Location1!$A:$Z,0,MATCH($I$15,[1]Location1!$2:$2,0))),0)</f>
        <v>2</v>
      </c>
      <c r="K15" s="1">
        <f>IFERROR(SUMIF([1]Location1!A:A,"opp point*",INDEX([1]Location1!$A:$Z,0,MATCH($I$15,[1]Location1!$2:$2,0)))+
SUMIF([1]Location1!A:A,"opp wide*",INDEX([1]Location1!$A:$Z,0,MATCH($I$15,[1]Location1!$2:$2,0)))+
SUMIF([1]Location1!A:A,"opp short*",INDEX([1]Location1!$A:$Z,0,MATCH($I$15,[1]Location1!$2:$2,0)))+
SUMIF([1]Location1!A:A,"opp save*",INDEX([1]Location1!$A:$Z,0,MATCH($I$15,[1]Location1!$2:$2,0)))+
SUMIF([1]Location1!A:A,"opp 65",INDEX([1]Location1!$A:$Z,0,MATCH($I$15,[1]Location1!$2:$2,0))),0)+
IFERROR(SUMIF([1]Location1!A:A,"opp goal*",INDEX([1]Location1!$A:$Z,0,MATCH($I$15,[1]Location1!$2:$2,0))),0)+
IFERROR(SUMIF([1]Location1!A:A,"opp post*",INDEX([1]Location1!$A:$Z,0,MATCH($I$15,[1]Location1!$2:$2,0))),0)</f>
        <v>3</v>
      </c>
      <c r="N15" s="1" t="s">
        <v>73</v>
      </c>
      <c r="O15">
        <f>IFERROR(SUMIF([1]Location1!A:A,"opp free*",INDEX([1]Location1!$A:$Z,0,MATCH($N$15,[1]Location1!$2:$2,0))),0)</f>
        <v>1</v>
      </c>
    </row>
    <row r="16" spans="2:15" ht="15" x14ac:dyDescent="0.2">
      <c r="B16" s="1"/>
      <c r="C16" s="1" t="s">
        <v>70</v>
      </c>
      <c r="D16" s="1">
        <f>IFERROR(VLOOKUP("opp*won",[1]Location1!A1:Q18,MATCH(C16,[1]Location1!2:2,0),0), 0)</f>
        <v>1</v>
      </c>
      <c r="E16" s="1">
        <f>IFERROR(VLOOKUP("opp*lost",[1]Location1!A1:Q18,MATCH(C16,[1]Location1!2:2,0),0), 0)</f>
        <v>0</v>
      </c>
      <c r="F16" s="1">
        <f t="shared" si="0"/>
        <v>1</v>
      </c>
      <c r="G16" s="1"/>
      <c r="H16" s="1"/>
      <c r="I16" s="1" t="s">
        <v>70</v>
      </c>
      <c r="J16" s="1">
        <f>IFERROR(SUMIF([1]Location1!A:A,"opp point*",INDEX([1]Location1!$A:$Z,0,MATCH($I$16,[1]Location1!$2:$2,0))),0)+
IFERROR(SUMIF([1]Location1!A:A,"opp goal*",INDEX([1]Location1!$A:$Z,0,MATCH($I$16,[1]Location1!$2:$2,0))),0)</f>
        <v>1</v>
      </c>
      <c r="K16" s="1">
        <f>IFERROR(SUMIF([1]Location1!A:A,"opp point*",INDEX([1]Location1!$A:$Z,0,MATCH($I$16,[1]Location1!$2:$2,0)))+
SUMIF([1]Location1!A:A,"opp wide*",INDEX([1]Location1!$A:$Z,0,MATCH($I$16,[1]Location1!$2:$2,0)))+
SUMIF([1]Location1!A:A,"opp short*",INDEX([1]Location1!$A:$Z,0,MATCH($I$16,[1]Location1!$2:$2,0)))+
SUMIF([1]Location1!A:A,"opp save*",INDEX([1]Location1!$A:$Z,0,MATCH($I$16,[1]Location1!$2:$2,0)))+
SUMIF([1]Location1!A:A,"opp 65*",INDEX([1]Location1!$A:$Z,0,MATCH($I$16,[1]Location1!$2:$2,0))),0)+
IFERROR(SUMIF([1]Location1!A:A,"opp goal*",INDEX([1]Location1!$A:$Z,0,MATCH($I$16,[1]Location1!$2:$2,0))),0)+
IFERROR(SUMIF([1]Location1!A:A,"opp post*",INDEX([1]Location1!$A:$Z,0,MATCH($I$16,[1]Location1!$2:$2,0))),0)</f>
        <v>1</v>
      </c>
      <c r="N16" s="1" t="s">
        <v>70</v>
      </c>
      <c r="O16">
        <f>IFERROR(SUMIF([1]Location1!A:A,"opp free*",INDEX([1]Location1!$A:$Z,0,MATCH($N$16,[1]Location1!$2:$2,0))),0)</f>
        <v>3</v>
      </c>
    </row>
    <row r="17" spans="2:16" ht="15" x14ac:dyDescent="0.2">
      <c r="B17" s="1"/>
      <c r="C17" s="1" t="s">
        <v>74</v>
      </c>
      <c r="D17" s="1">
        <f>IFERROR(VLOOKUP("opp*won",[1]Location1!A1:Q18,MATCH(C17,[1]Location1!2:2,0),0), 0)</f>
        <v>0</v>
      </c>
      <c r="E17" s="1">
        <f>IFERROR(VLOOKUP("opp*lost",[1]Location1!A1:Q18,MATCH(C17,[1]Location1!2:2,0),0), 0)</f>
        <v>0</v>
      </c>
      <c r="F17" s="1">
        <f t="shared" si="0"/>
        <v>0</v>
      </c>
      <c r="G17" s="1"/>
      <c r="H17" s="1"/>
      <c r="I17" s="1" t="s">
        <v>74</v>
      </c>
      <c r="J17" s="1">
        <f>IFERROR(SUMIF([1]Location1!A:A,"opp point*",INDEX([1]Location1!$A:$Z,0,MATCH($I$17,[1]Location1!$2:$2,0))),0)+
IFERROR(SUMIF([1]Location1!A:A,"opp goal*",INDEX([1]Location1!$A:$Z,0,MATCH($I$17,[1]Location1!$2:$2,0))),0)</f>
        <v>2</v>
      </c>
      <c r="K17" s="1">
        <f>IFERROR(SUMIF([1]Location1!A:A,"opp point*",INDEX([1]Location1!$A:$Z,0,MATCH($I$17,[1]Location1!$2:$2,0)))+
SUMIF([1]Location1!A:A,"opp wide*",INDEX([1]Location1!$A:$Z,0,MATCH($I$17,[1]Location1!$2:$2,0)))+
SUMIF([1]Location1!A:A,"opp short*",INDEX([1]Location1!$A:$Z,0,MATCH($I$17,[1]Location1!$2:$2,0)))+
SUMIF([1]Location1!A:A,"opp save*",INDEX([1]Location1!$A:$Z,0,MATCH($I$17,[1]Location1!$2:$2,0)))+
SUMIF([1]Location1!A:A,"opp 65*",INDEX([1]Location1!$A:$Z,0,MATCH($I$17,[1]Location1!$2:$2,0))),0)+
IFERROR(SUMIF([1]Location1!A:A,"opp goal*",INDEX([1]Location1!$A:$Z,0,MATCH($I$17,[1]Location1!$2:$2,0))),0)+
IFERROR(SUMIF([1]Location1!A:A,"opp post*",INDEX([1]Location1!$A:$Z,0,MATCH($I$17,[1]Location1!$2:$2,0))),0)</f>
        <v>2</v>
      </c>
      <c r="N17" s="1" t="s">
        <v>74</v>
      </c>
      <c r="O17">
        <f>IFERROR(SUMIF([1]Location1!A:A,"opp free*",INDEX([1]Location1!$A:$Z,0,MATCH($N$17,[1]Location1!$2:$2,0))),0)</f>
        <v>1</v>
      </c>
    </row>
    <row r="18" spans="2:16" ht="15" x14ac:dyDescent="0.2">
      <c r="B18" s="1"/>
      <c r="C18" s="1" t="s">
        <v>75</v>
      </c>
      <c r="D18" s="1">
        <f>IFERROR(VLOOKUP("opp*won",[1]Location1!A1:Q18,MATCH(C18,[1]Location1!2:2,0),0), 0)</f>
        <v>3</v>
      </c>
      <c r="E18" s="1">
        <f>IFERROR(VLOOKUP("opp*lost",[1]Location1!A1:Q18,MATCH(C18,[1]Location1!2:2,0),0), 0)</f>
        <v>1</v>
      </c>
      <c r="F18" s="1">
        <f t="shared" si="0"/>
        <v>4</v>
      </c>
      <c r="G18" s="1"/>
      <c r="H18" s="1"/>
      <c r="I18" s="1" t="s">
        <v>75</v>
      </c>
      <c r="J18" s="1">
        <f>IFERROR(SUMIF([1]Location1!A:A,"opp point*",INDEX([1]Location1!$A:$Z,0,MATCH($I$18,[1]Location1!$2:$2,0))),0)+
IFERROR(SUMIF([1]Location1!A:A,"opp goal*",INDEX([1]Location1!$A:$Z,0,MATCH($I$18,[1]Location1!$2:$2,0))),0)</f>
        <v>0</v>
      </c>
      <c r="K18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save*",INDEX([1]Location1!$A:$Z,0,MATCH($I$18,[1]Location1!$2:$2,0))),0)+
IFERROR(SUMIF([1]Location1!A:A,"opp 65*",INDEX([1]Location1!$A:$Z,0,MATCH($I$18,[1]Location1!$2:$2,0))),0)+
IFERROR(SUMIF([1]Location1!A:A,"opp goal*",INDEX([1]Location1!$A:$Z,0,MATCH($I$18,[1]Location1!$2:$2,0))),0)+
IFERROR(SUMIF([1]Location1!A:A,"opp post*",INDEX([1]Location1!$A:$Z,0,MATCH($I$18,[1]Location1!$2:$2,0))),0)</f>
        <v>0</v>
      </c>
      <c r="N18" s="1" t="s">
        <v>75</v>
      </c>
      <c r="O18">
        <f>IFERROR(SUMIF([1]Location1!A:A,"opp free*",INDEX([1]Location1!$A:$Z,0,MATCH($N$18,[1]Location1!$2:$2,0))),0)</f>
        <v>0</v>
      </c>
    </row>
    <row r="19" spans="2:16" ht="15" x14ac:dyDescent="0.2">
      <c r="B19" s="1"/>
      <c r="C19" s="1" t="s">
        <v>71</v>
      </c>
      <c r="D19" s="1">
        <f>IFERROR(VLOOKUP("opp*won",[1]Location1!A1:Q18,MATCH(C19,[1]Location1!2:2,0),0), 0)</f>
        <v>0</v>
      </c>
      <c r="E19" s="1">
        <f>IFERROR(VLOOKUP("opp*lost",[1]Location1!A1:Q18,MATCH(C19,[1]Location1!2:2,0),0), 0)</f>
        <v>0</v>
      </c>
      <c r="F19" s="1">
        <f t="shared" si="0"/>
        <v>0</v>
      </c>
      <c r="G19" s="1"/>
      <c r="H19" s="1"/>
      <c r="I19" s="1" t="s">
        <v>71</v>
      </c>
      <c r="J19" s="1">
        <f>IFERROR(SUMIF([1]Location1!A:A,"opp point*",INDEX([1]Location1!$A:$Z,0,MATCH($I$19,[1]Location1!$2:$2,0))),0)+
IFERROR(SUMIF([1]Location1!A:A,"opp goal*",INDEX([1]Location1!$A:$Z,0,MATCH($I$19,[1]Location1!$2:$2,0))),0)</f>
        <v>0</v>
      </c>
      <c r="K19" s="1">
        <f>IFERROR(SUMIF([1]Location1!A:A,"opp point*",INDEX([1]Location1!$A:$Z,0,MATCH($I$19,[1]Location1!$2:$2,0))),0)+
IFERROR(SUMIF([1]Location1!A:A,"opp wide*",INDEX([1]Location1!$A:$Z,0,MATCH($I$19,[1]Location1!$2:$2,0))),0)+
IFERROR(SUMIF([1]Location1!A:A,"opp short*",INDEX([1]Location1!$A:$Z,0,MATCH($I$19,[1]Location1!$2:$2,0))),0)+
IFERROR(SUMIF([1]Location1!A:A,"opp save*",INDEX([1]Location1!$A:$Z,0,MATCH($I$19,[1]Location1!$2:$2,0))),0)+
IFERROR(SUMIF([1]Location1!A:A,"opp 65*",INDEX([1]Location1!$A:$Z,0,MATCH($I$19,[1]Location1!$2:$2,0))),0)+
IFERROR(SUMIF([1]Location1!A:A,"opp goal*",INDEX([1]Location1!$A:$Z,0,MATCH($I$19,[1]Location1!$2:$2,0))),0)+
IFERROR(SUMIF([1]Location1!A:A,"opp post*",INDEX([1]Location1!$A:$Z,0,MATCH($I$19,[1]Location1!$2:$2,0))),0)</f>
        <v>0</v>
      </c>
      <c r="N19" s="1" t="s">
        <v>71</v>
      </c>
      <c r="O19">
        <f>IFERROR(SUMIF([1]Location1!A:A,"opp free*",INDEX([1]Location1!$A:$Z,0,MATCH($N$19,[1]Location1!$2:$2,0))),0)</f>
        <v>0</v>
      </c>
    </row>
    <row r="20" spans="2:16" ht="15" x14ac:dyDescent="0.2">
      <c r="B20" s="1"/>
      <c r="C20" s="1" t="s">
        <v>76</v>
      </c>
      <c r="D20" s="1">
        <f>IFERROR(VLOOKUP("opp*won",[1]Location1!A1:Q18,MATCH(C20,[1]Location1!2:2,0),0), 0)</f>
        <v>0</v>
      </c>
      <c r="E20" s="1">
        <f>IFERROR(VLOOKUP("opp*lost",[1]Location1!A1:Q18,MATCH(C20,[1]Location1!2:2,0),0), 0)</f>
        <v>0</v>
      </c>
      <c r="F20" s="1">
        <f t="shared" si="0"/>
        <v>0</v>
      </c>
      <c r="G20" s="1"/>
      <c r="H20" s="1"/>
      <c r="I20" s="1" t="s">
        <v>76</v>
      </c>
      <c r="J20" s="1">
        <f>IFERROR(SUMIF([1]Location1!A:A,"opp point*",INDEX([1]Location1!$A:$Z,0,MATCH($I$20,[1]Location1!$2:$2,0))),0)+
IFERROR(SUMIF([1]Location1!A:A,"opp goal*",INDEX([1]Location1!$A:$Z,0,MATCH($I$20,[1]Location1!$2:$2,0))),0)</f>
        <v>1</v>
      </c>
      <c r="K20" s="1">
        <f>IFERROR(SUMIF([1]Location1!A:A,"opp point*",INDEX([1]Location1!$A:$Z,0,MATCH($I$20,[1]Location1!$2:$2,0))),0)+
IFERROR(SUMIF([1]Location1!A:A,"opp wide*",INDEX([1]Location1!$A:$Z,0,MATCH($I$20,[1]Location1!$2:$2,0))),0)+
IFERROR(SUMIF([1]Location1!A:A,"opp short*",INDEX([1]Location1!$A:$Z,0,MATCH($I$20,[1]Location1!$2:$2,0))),0)+
IFERROR(SUMIF([1]Location1!A:A,"opp save*",INDEX([1]Location1!$A:$Z,0,MATCH($I$20,[1]Location1!$2:$2,0))),0)+
IFERROR(SUMIF([1]Location1!A:A,"opp 65*",INDEX([1]Location1!$A:$Z,0,MATCH($I$20,[1]Location1!$2:$2,0))),0)+
IFERROR(SUMIF([1]Location1!A:A,"opp goal*",INDEX([1]Location1!$A:$Z,0,MATCH($I$20,[1]Location1!$2:$2,0))),0)+
IFERROR(SUMIF([1]Location1!A:A,"opp post*",INDEX([1]Location1!$A:$Z,0,MATCH($I$20,[1]Location1!$2:$2,0))),0)</f>
        <v>1</v>
      </c>
      <c r="N20" s="1" t="s">
        <v>76</v>
      </c>
      <c r="O20">
        <f>IFERROR(SUMIF([1]Location1!A:A,"opp free*",INDEX([1]Location1!$A:$Z,0,MATCH($N$20,[1]Location1!$2:$2,0))),0)</f>
        <v>1</v>
      </c>
    </row>
    <row r="21" spans="2:16" ht="15" x14ac:dyDescent="0.2">
      <c r="B21" s="1"/>
      <c r="C21" s="1" t="s">
        <v>77</v>
      </c>
      <c r="D21" s="1">
        <f>IFERROR(VLOOKUP("opp*won",[1]Location1!A1:Q18,MATCH(C21,[1]Location1!2:2,0),0), 0)</f>
        <v>0</v>
      </c>
      <c r="E21" s="1">
        <f>IFERROR(VLOOKUP("opp*lost",[1]Location1!A1:Q18,MATCH(C21,[1]Location1!2:2,0),0), 0)</f>
        <v>0</v>
      </c>
      <c r="F21" s="1">
        <f t="shared" si="0"/>
        <v>0</v>
      </c>
      <c r="G21" s="1"/>
      <c r="H21" s="1"/>
      <c r="I21" s="1" t="s">
        <v>77</v>
      </c>
      <c r="J21" s="1">
        <f>IFERROR(SUMIF([1]Location1!A:A,"opp point*",INDEX([1]Location1!$A:$Z,0,MATCH($I$21,[1]Location1!$2:$2,0))),0)+
IFERROR(SUMIF([1]Location1!A:A,"opp goal*",INDEX([1]Location1!$A:$Z,0,MATCH($I$21,[1]Location1!$2:$2,0))),0)</f>
        <v>0</v>
      </c>
      <c r="K21" s="1">
        <f>IFERROR(SUMIF([1]Location1!A:A,"opp point*",INDEX([1]Location1!$A:$Z,0,MATCH($I$21,[1]Location1!$2:$2,0))),0)+
IFERROR(SUMIF([1]Location1!A:A,"opp wide*",INDEX([1]Location1!$A:$Z,0,MATCH($I$21,[1]Location1!$2:$2,0))),0)+
IFERROR(SUMIF([1]Location1!A:A,"opp short*",INDEX([1]Location1!$A:$Z,0,MATCH($I$21,[1]Location1!$2:$2,0))),0)+
IFERROR(SUMIF([1]Location1!A:A,"opp save*",INDEX([1]Location1!$A:$Z,0,MATCH($I$21,[1]Location1!$2:$2,0))),0)+
IFERROR(SUMIF([1]Location1!A:A,"opp 65*",INDEX([1]Location1!$A:$Z,0,MATCH($I$21,[1]Location1!$2:$2,0))),0)+
IFERROR(SUMIF([1]Location1!A:A,"opp goal*",INDEX([1]Location1!$A:$Z,0,MATCH($I$21,[1]Location1!$2:$2,0))),0)+
IFERROR(SUMIF([1]Location1!A:A,"opp post*",INDEX([1]Location1!$A:$Z,0,MATCH($I$21,[1]Location1!$2:$2,0))),0)</f>
        <v>0</v>
      </c>
      <c r="N21" s="1" t="s">
        <v>77</v>
      </c>
      <c r="O21">
        <f>IFERROR(SUMIF([1]Location1!A:A,"opp free*",INDEX([1]Location1!$A:$Z,0,MATCH($N$21,[1]Location1!$2:$2,0))),0)</f>
        <v>0</v>
      </c>
    </row>
    <row r="22" spans="2:16" ht="15" x14ac:dyDescent="0.2">
      <c r="B22" s="1"/>
      <c r="C22" s="1" t="s">
        <v>0</v>
      </c>
      <c r="D22" s="1">
        <f>SUM(D4:D18)</f>
        <v>13</v>
      </c>
      <c r="E22" s="1">
        <f>SUM(E4:E18)</f>
        <v>10</v>
      </c>
      <c r="F22" s="1">
        <f>SUM(F4:F18)</f>
        <v>23</v>
      </c>
      <c r="G22" s="1"/>
      <c r="H22" s="1"/>
      <c r="I22" s="1" t="s">
        <v>0</v>
      </c>
      <c r="J22" s="1">
        <f>SUM(J4:J21)</f>
        <v>19</v>
      </c>
      <c r="K22" s="1">
        <f>SUM(K4:K21)</f>
        <v>32</v>
      </c>
      <c r="L22" s="1"/>
      <c r="N22" s="1" t="s">
        <v>0</v>
      </c>
      <c r="O22">
        <f>SUM(O4:O21)</f>
        <v>13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78</v>
      </c>
      <c r="D25" s="1">
        <f>SUMIF(C4:C21, "*C*", D4:D21)</f>
        <v>6</v>
      </c>
      <c r="E25" s="1">
        <f>SUMIF(C4:C21, "*C*", F4:F21)</f>
        <v>12</v>
      </c>
      <c r="F25" s="6">
        <f>IF(E25,D25/E25,0)</f>
        <v>0.5</v>
      </c>
      <c r="G25" s="1"/>
      <c r="H25" s="1"/>
      <c r="I25" s="1" t="s">
        <v>78</v>
      </c>
      <c r="J25" s="1">
        <f>SUMIF(I4:I21, "*C*", J4:J21)</f>
        <v>7</v>
      </c>
      <c r="K25" s="1">
        <f>SUMIF(I4:I21, "*C*", K4:K21)</f>
        <v>11</v>
      </c>
      <c r="L25" s="6">
        <f>IF(K25,J25/K25,0)</f>
        <v>0.63636363636363635</v>
      </c>
      <c r="N25" s="1" t="s">
        <v>78</v>
      </c>
      <c r="O25" s="1">
        <f>SUMIF(N4:N21, "*C*", O4:O21)</f>
        <v>2</v>
      </c>
      <c r="P25" s="6">
        <f>IF(O25,O25/O28,0)</f>
        <v>0.15384615384615385</v>
      </c>
    </row>
    <row r="26" spans="2:16" ht="15" x14ac:dyDescent="0.2">
      <c r="B26" s="1"/>
      <c r="C26" s="1" t="s">
        <v>79</v>
      </c>
      <c r="D26" s="1">
        <f>SUMIF(C4:C21, "*B*", D4:D21)</f>
        <v>2</v>
      </c>
      <c r="E26" s="1">
        <f>SUMIF(C4:C21, "*B*", F4:F21)</f>
        <v>2</v>
      </c>
      <c r="F26" s="6">
        <f t="shared" ref="F26:F28" si="1">IF(E26,D26/E26,0)</f>
        <v>1</v>
      </c>
      <c r="G26" s="1"/>
      <c r="H26" s="1"/>
      <c r="I26" s="1" t="s">
        <v>79</v>
      </c>
      <c r="J26" s="1">
        <f>SUMIF(I4:I21, "*B*", J4:J21)</f>
        <v>8</v>
      </c>
      <c r="K26" s="1">
        <f>SUMIF(I4:I21, "*B*", K4:K21)</f>
        <v>13</v>
      </c>
      <c r="L26" s="6">
        <f t="shared" ref="L26:L28" si="2">IF(K26,J26/K26,0)</f>
        <v>0.61538461538461542</v>
      </c>
      <c r="N26" s="1" t="s">
        <v>79</v>
      </c>
      <c r="O26" s="1">
        <f>SUMIF(N4:N21, "*B*", O4:O21)</f>
        <v>5</v>
      </c>
      <c r="P26" s="6">
        <f>IF(O26,O26/O28,0)</f>
        <v>0.38461538461538464</v>
      </c>
    </row>
    <row r="27" spans="2:16" ht="15" x14ac:dyDescent="0.2">
      <c r="B27" s="1"/>
      <c r="C27" s="1" t="s">
        <v>80</v>
      </c>
      <c r="D27" s="1">
        <f>SUMIF(C4:C21, "*A*", D4:D21)</f>
        <v>5</v>
      </c>
      <c r="E27" s="1">
        <f>SUMIF(C4:C21, "*A*", F4:F21)</f>
        <v>9</v>
      </c>
      <c r="F27" s="6">
        <f t="shared" si="1"/>
        <v>0.55555555555555558</v>
      </c>
      <c r="G27" s="1"/>
      <c r="H27" s="1"/>
      <c r="I27" s="1" t="s">
        <v>80</v>
      </c>
      <c r="J27" s="1">
        <f>SUMIF(I4:I21, "*A*", J4:J21)</f>
        <v>4</v>
      </c>
      <c r="K27" s="1">
        <f>SUMIF(I4:I21, "*A*", K4:K21)</f>
        <v>8</v>
      </c>
      <c r="L27" s="6">
        <f t="shared" si="2"/>
        <v>0.5</v>
      </c>
      <c r="N27" s="1" t="s">
        <v>80</v>
      </c>
      <c r="O27" s="1">
        <f>SUMIF(N4:N21, "*A*", O4:O21)</f>
        <v>6</v>
      </c>
      <c r="P27" s="6">
        <f>IF(O27,O27/O28,0)</f>
        <v>0.46153846153846156</v>
      </c>
    </row>
    <row r="28" spans="2:16" ht="15" x14ac:dyDescent="0.2">
      <c r="B28" s="1"/>
      <c r="C28" s="1" t="s">
        <v>0</v>
      </c>
      <c r="D28" s="1">
        <f>SUM(D25:D27)</f>
        <v>13</v>
      </c>
      <c r="E28" s="1">
        <f>SUM(E25:E27)</f>
        <v>23</v>
      </c>
      <c r="F28" s="6">
        <f t="shared" si="1"/>
        <v>0.56521739130434778</v>
      </c>
      <c r="G28" s="1"/>
      <c r="H28" s="1"/>
      <c r="I28" s="1" t="s">
        <v>0</v>
      </c>
      <c r="J28" s="1">
        <f>SUM(J25:J27)</f>
        <v>19</v>
      </c>
      <c r="K28">
        <f>SUM(K25:K27)</f>
        <v>32</v>
      </c>
      <c r="L28" s="6">
        <f t="shared" si="2"/>
        <v>0.59375</v>
      </c>
      <c r="N28" s="1" t="s">
        <v>0</v>
      </c>
      <c r="O28">
        <f>SUM(O25:O27)</f>
        <v>13</v>
      </c>
      <c r="P28" s="6">
        <f>IF(O28,O28/O28,0)</f>
        <v>1</v>
      </c>
    </row>
    <row r="29" spans="2:16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2</v>
      </c>
      <c r="K30" s="1">
        <f>SUMIF(I4:I21, "*1*", K4:K21)</f>
        <v>4</v>
      </c>
      <c r="L30" s="6">
        <f>IF(K30,J30/K30,0)</f>
        <v>0.5</v>
      </c>
      <c r="N30" s="1">
        <v>1</v>
      </c>
      <c r="O30" s="1">
        <f>SUMIF(N4:N21, "*1*", O4:O21)</f>
        <v>0</v>
      </c>
      <c r="P30" s="6">
        <f>IF(O30,O30/O33,0)</f>
        <v>0</v>
      </c>
    </row>
    <row r="31" spans="2:16" ht="15" x14ac:dyDescent="0.2">
      <c r="C31" s="1">
        <v>2</v>
      </c>
      <c r="D31" s="1">
        <f>SUMIF(C4:C21, "*2*", D4:D21)</f>
        <v>4</v>
      </c>
      <c r="E31" s="1">
        <f>SUMIF(C4:C21, "*2*", F4:F21)</f>
        <v>6</v>
      </c>
      <c r="F31" s="6">
        <f t="shared" ref="F31:F36" si="3">IF(E31,D31/E31,0)</f>
        <v>0.66666666666666663</v>
      </c>
      <c r="I31" s="1">
        <v>2</v>
      </c>
      <c r="J31" s="1">
        <f>SUMIF(I4:I21, "*2*", J4:J21)</f>
        <v>6</v>
      </c>
      <c r="K31" s="1">
        <f>SUMIF(I4:I21, "*2*", K4:K21)</f>
        <v>8</v>
      </c>
      <c r="L31" s="6">
        <f t="shared" ref="L31:L35" si="4">IF(K31,J31/K31,0)</f>
        <v>0.75</v>
      </c>
      <c r="N31" s="1">
        <v>2</v>
      </c>
      <c r="O31" s="1">
        <f>SUMIF(N4:N21, "*2*", O4:O21)</f>
        <v>1</v>
      </c>
      <c r="P31" s="6">
        <f>IF(O31,O31/O36,0)</f>
        <v>8.3333333333333329E-2</v>
      </c>
    </row>
    <row r="32" spans="2:16" ht="15" x14ac:dyDescent="0.2">
      <c r="C32" s="1">
        <v>3</v>
      </c>
      <c r="D32" s="1">
        <f>SUMIF(C4:C21, "*3*", D4:D21)</f>
        <v>1</v>
      </c>
      <c r="E32" s="1">
        <f>SUMIF(C4:C21, "*3*", F4:F21)</f>
        <v>4</v>
      </c>
      <c r="F32" s="6">
        <f t="shared" si="3"/>
        <v>0.25</v>
      </c>
      <c r="I32" s="1">
        <v>3</v>
      </c>
      <c r="J32" s="1">
        <f>SUMIF(I4:I21, "*3*", J4:J21)</f>
        <v>2</v>
      </c>
      <c r="K32" s="1">
        <f>SUMIF(I4:I21, "*3*", K4:K21)</f>
        <v>3</v>
      </c>
      <c r="L32" s="6">
        <f t="shared" si="4"/>
        <v>0.66666666666666663</v>
      </c>
      <c r="N32" s="1">
        <v>3</v>
      </c>
      <c r="O32" s="1">
        <f>SUMIF(N4:N21, "*3*", O4:O21)</f>
        <v>5</v>
      </c>
      <c r="P32" s="6">
        <f t="shared" ref="P32" si="5">IF(O32,O32/O36,0)</f>
        <v>0.41666666666666669</v>
      </c>
    </row>
    <row r="33" spans="3:16" ht="15" x14ac:dyDescent="0.2">
      <c r="C33" s="1">
        <v>4</v>
      </c>
      <c r="D33" s="1">
        <f>SUMIF(C4:C21, "*4*", D4:D21)</f>
        <v>4</v>
      </c>
      <c r="E33" s="1">
        <f>SUMIF(C4:C21, "*4*", F4:F21)</f>
        <v>8</v>
      </c>
      <c r="F33" s="6">
        <f t="shared" si="3"/>
        <v>0.5</v>
      </c>
      <c r="I33" s="1">
        <v>4</v>
      </c>
      <c r="J33" s="1">
        <f>SUMIF(I4:I21, "*4*", J4:J21)</f>
        <v>5</v>
      </c>
      <c r="K33" s="1">
        <f>SUMIF(I4:I21, "*4*", K4:K21)</f>
        <v>13</v>
      </c>
      <c r="L33" s="6">
        <f t="shared" si="4"/>
        <v>0.38461538461538464</v>
      </c>
      <c r="N33" s="1">
        <v>4</v>
      </c>
      <c r="O33" s="1">
        <f>SUMIF(N4:N21, "*4*", O4:O21)</f>
        <v>2</v>
      </c>
      <c r="P33" s="6">
        <f>IF(O33,O33/O36,0)</f>
        <v>0.16666666666666666</v>
      </c>
    </row>
    <row r="34" spans="3:16" ht="15" x14ac:dyDescent="0.2">
      <c r="C34" s="1">
        <v>5</v>
      </c>
      <c r="D34" s="1">
        <f>SUMIF(C4:C21, "*5*", D4:D21)</f>
        <v>4</v>
      </c>
      <c r="E34" s="1">
        <f>SUMIF(C4:C21, "*5*", F4:F21)</f>
        <v>5</v>
      </c>
      <c r="F34" s="6">
        <f t="shared" si="3"/>
        <v>0.8</v>
      </c>
      <c r="I34" s="1">
        <v>5</v>
      </c>
      <c r="J34" s="1">
        <f>SUMIF(I4:I21, "*5*", J4:J21)</f>
        <v>3</v>
      </c>
      <c r="K34" s="1">
        <f>SUMIF(I4:I21, "*5*", K4:K21)</f>
        <v>3</v>
      </c>
      <c r="L34" s="6">
        <f t="shared" si="4"/>
        <v>1</v>
      </c>
      <c r="N34" s="1">
        <v>5</v>
      </c>
      <c r="O34" s="1">
        <f>SUMIF(N4:N21, "*5*", O4:O21)</f>
        <v>4</v>
      </c>
      <c r="P34" s="6">
        <f>IF(O34,O34/O36,0)</f>
        <v>0.33333333333333331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1</v>
      </c>
      <c r="K35" s="1">
        <f>SUMIF(I4:I21, "*6*", K4:K21)</f>
        <v>1</v>
      </c>
      <c r="L35" s="6">
        <f t="shared" si="4"/>
        <v>1</v>
      </c>
      <c r="N35" s="1">
        <v>6</v>
      </c>
      <c r="O35" s="1">
        <f>SUMIF(N4:N21, "*6*", O4:O21)</f>
        <v>1</v>
      </c>
      <c r="P35" s="6">
        <f>IF(O35,O35/O36,0)</f>
        <v>8.3333333333333329E-2</v>
      </c>
    </row>
    <row r="36" spans="3:16" ht="15" x14ac:dyDescent="0.2">
      <c r="C36" s="1" t="s">
        <v>0</v>
      </c>
      <c r="D36">
        <f>SUM(D30:D34)</f>
        <v>13</v>
      </c>
      <c r="E36">
        <f>SUM(E30:E34)</f>
        <v>23</v>
      </c>
      <c r="F36" s="6">
        <f t="shared" si="3"/>
        <v>0.56521739130434778</v>
      </c>
      <c r="I36" s="1" t="s">
        <v>0</v>
      </c>
      <c r="J36">
        <f>SUM(J30:J34)</f>
        <v>18</v>
      </c>
      <c r="K36" s="1">
        <f>SUM(K30:K35)</f>
        <v>32</v>
      </c>
      <c r="L36" s="6">
        <f>IF(K36,J36/K36,0)</f>
        <v>0.5625</v>
      </c>
      <c r="N36" s="1" t="s">
        <v>0</v>
      </c>
      <c r="O36" s="1">
        <f>SUM(O30:O34)</f>
        <v>12</v>
      </c>
      <c r="P36" s="6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T36"/>
  <sheetViews>
    <sheetView workbookViewId="0">
      <selection activeCell="E35" sqref="E35"/>
    </sheetView>
  </sheetViews>
  <sheetFormatPr baseColWidth="10" defaultColWidth="11" defaultRowHeight="13" x14ac:dyDescent="0.15"/>
  <sheetData>
    <row r="2" spans="2:18" ht="15" x14ac:dyDescent="0.2">
      <c r="B2" s="1" t="s">
        <v>15</v>
      </c>
      <c r="C2" s="1" t="str">
        <f>[1]Location2!$B$1</f>
        <v>home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8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  <c r="R3" s="1"/>
    </row>
    <row r="4" spans="2:18" ht="15" x14ac:dyDescent="0.2">
      <c r="B4" s="1"/>
      <c r="C4" s="1" t="s">
        <v>5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21" si="0">SUM(D4:E4)</f>
        <v>0</v>
      </c>
      <c r="H4" s="1"/>
      <c r="I4" s="1" t="s">
        <v>5</v>
      </c>
      <c r="J4" s="1">
        <f>IFERROR(SUMIF([1]Location2!$A:$A,"point*",INDEX([1]Location2!$A:$Z,0,MATCH($I$4,[1]Location2!$2:$2,0))),0)+
IFERROR(SUMIF([1]Location2!$A:$A,"goal*",INDEX([1]Location2!$A:$Z,0,MATCH($I$4,[1]Location2!$2:$2,0))),0)</f>
        <v>1</v>
      </c>
      <c r="K4" s="1">
        <f>IFERROR(SUMIF([1]Location2!$A:$A,"point*",INDEX([1]Location2!$A:$Z,0,MATCH($I$4,[1]Location2!$2:$2,0)))+
IFERROR(SUMIF([1]Location2!$A:$A,"wide*",INDEX([1]Location2!$A:$Z,0,MATCH($I$4,[1]Location2!$2:$2,0))),0)+
IFERROR(SUMIF([1]Location2!$A:$A,"short*",INDEX([1]Location2!$A:$Z,0,MATCH($I$4,[1]Location2!$2:$2,0))),0)+
IFERROR(SUMIF([1]Location2!$A:$A,"save*",INDEX([1]Location2!$A:$Z,0,MATCH($I$4,[1]Location2!$2:$2,0))),0)+
IFERROR(SUMIF([1]Location2!$A:$A,"goal*",INDEX([1]Location2!$A:$Z,0,MATCH($I$4,[1]Location2!$2:$2,0))),0)+
IFERROR(SUMIF([1]Location2!$A:$A,"post*",INDEX([1]Location2!$A:$Z,0,MATCH($I$4,[1]Location2!$2:$2,0))),0)+
IFERROR(SUMIF([1]Location2!$A:$A,"65*",INDEX([1]Location2!$A:$Z,0,MATCH($I$4,[1]Location2!$2:$2,0))),0),0)</f>
        <v>1</v>
      </c>
      <c r="L4" s="1"/>
      <c r="N4" s="1" t="s">
        <v>5</v>
      </c>
      <c r="O4">
        <f>IFERROR(SUMIF([1]Location2!A:A,"free*",INDEX([1]Location2!$A:$Z,0,MATCH($N$4,[1]Location2!$2:$2,0))),0)</f>
        <v>0</v>
      </c>
      <c r="R4" s="1"/>
    </row>
    <row r="5" spans="2:18" ht="15" x14ac:dyDescent="0.2">
      <c r="B5" s="1"/>
      <c r="C5" s="1" t="s">
        <v>6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6</v>
      </c>
      <c r="J5" s="1">
        <f>IFERROR(SUMIF([1]Location2!$A:$A,"point*",INDEX([1]Location2!$A:$Z,0,MATCH($I$5,[1]Location2!$2:$2,0))),0)+
IFERROR(SUMIF([1]Location2!$A:$A,"goal*",INDEX([1]Location2!$A:$Z,0,MATCH($I$5,[1]Location2!$2:$2,0))),0)</f>
        <v>2</v>
      </c>
      <c r="K5">
        <f>IFERROR(SUMIF([1]Location2!$A:$A,"point*",INDEX([1]Location2!$A:$Z,0,MATCH($I$5,[1]Location2!$2:$2,0)))+
IFERROR(SUMIF([1]Location2!$A:$A,"wide*",INDEX([1]Location2!$A:$Z,0,MATCH($I$5,[1]Location2!$2:$2,0))),0)+
IFERROR(SUMIF([1]Location2!$A:$A,"short*",INDEX([1]Location2!$A:$Z,0,MATCH($I$5,[1]Location2!$2:$2,0))),0)+
IFERROR(SUMIF([1]Location2!$A:$A,"save*",INDEX([1]Location2!$A:$Z,0,MATCH($I$5,[1]Location2!$2:$2,0))),0)+
IFERROR(SUMIF([1]Location2!$A:$A,"goal*",INDEX([1]Location2!$A:$Z,0,MATCH($I$5,[1]Location2!$2:$2,0))),0)+
IFERROR(SUMIF([1]Location2!$A:$A,"post*",INDEX([1]Location2!$A:$Z,0,MATCH($I$5,[1]Location2!$2:$2,0))),0)+
IFERROR(SUMIF([1]Location2!$A:$A,"65*",INDEX([1]Location2!$A:$Z,0,MATCH($I$5,[1]Location2!$2:$2,0))),0),0)</f>
        <v>2</v>
      </c>
      <c r="N5" s="1" t="s">
        <v>6</v>
      </c>
      <c r="O5">
        <f>IFERROR(SUMIF([1]Location2!A:A,"free*",INDEX([1]Location2!$A:$Z,0,MATCH($N$5,[1]Location2!$2:$2,0))),0)</f>
        <v>1</v>
      </c>
      <c r="R5" s="1"/>
    </row>
    <row r="6" spans="2:18" ht="15" x14ac:dyDescent="0.2">
      <c r="B6" s="1"/>
      <c r="C6" s="1" t="s">
        <v>7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7</v>
      </c>
      <c r="J6" s="1">
        <f>IFERROR(SUMIF([1]Location2!$A:$A,"point*",INDEX([1]Location2!$A:$Z,0,MATCH($I$6,[1]Location2!$2:$2,0))),0)+
IFERROR(SUMIF([1]Location2!$A:$A,"goal*",INDEX([1]Location2!$A:$Z,0,MATCH($I$6,[1]Location2!$2:$2,0))),0)</f>
        <v>0</v>
      </c>
      <c r="K6" s="1">
        <f>IFERROR(SUMIF([1]Location2!$A:$A,"point*",INDEX([1]Location2!$A:$Z,0,MATCH($I$6,[1]Location2!$2:$2,0)))+
IFERROR(SUMIF([1]Location2!$A:$A,"wide*",INDEX([1]Location2!$A:$Z,0,MATCH($I$6,[1]Location2!$2:$2,0))),0)+
IFERROR(SUMIF([1]Location2!$A:$A,"short*",INDEX([1]Location2!$A:$Z,0,MATCH($I$6,[1]Location2!$2:$2,0))),0)+
IFERROR(SUMIF([1]Location2!$A:$A,"save*",INDEX([1]Location2!$A:$Z,0,MATCH($I$6,[1]Location2!$2:$2,0))),0)+
IFERROR(SUMIF([1]Location2!$A:$A,"goal*",INDEX([1]Location2!$A:$Z,0,MATCH($I$6,[1]Location2!$2:$2,0))),0)+
IFERROR(SUMIF([1]Location2!$A:$A,"post*",INDEX([1]Location2!$A:$Z,0,MATCH($I$6,[1]Location2!$2:$2,0))),0)+
IFERROR(SUMIF([1]Location2!$A:$A,"65*",INDEX([1]Location2!$A:$Z,0,MATCH($I$6,[1]Location2!$2:$2,0))),0),0)</f>
        <v>0</v>
      </c>
      <c r="N6" s="1" t="s">
        <v>7</v>
      </c>
      <c r="O6">
        <f>IFERROR(SUMIF([1]Location2!A:A,"free*",INDEX([1]Location2!$A:$Z,0,MATCH($N$6,[1]Location2!$2:$2,0))),0)</f>
        <v>0</v>
      </c>
      <c r="R6" s="1"/>
    </row>
    <row r="7" spans="2:18" ht="15" x14ac:dyDescent="0.2">
      <c r="B7" s="1"/>
      <c r="C7" s="1" t="s">
        <v>8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8</v>
      </c>
      <c r="J7" s="1">
        <f>IFERROR(SUMIF([1]Location2!$A:$A,"point*",INDEX([1]Location2!$A:$Z,0,MATCH($I$7,[1]Location2!$2:$2,0))),0)+
IFERROR(SUMIF([1]Location2!$A:$A,"goal*",INDEX([1]Location2!$A:$Z,0,MATCH($I$7,[1]Location2!$2:$2,0))),0)</f>
        <v>1</v>
      </c>
      <c r="K7" s="1">
        <f>IFERROR(SUMIF([1]Location2!$A:$A,"point*",INDEX([1]Location2!$A:$Z,0,MATCH($I$7,[1]Location2!$2:$2,0)))+
IFERROR(SUMIF([1]Location2!$A:$A,"wide*",INDEX([1]Location2!$A:$Z,0,MATCH($I$7,[1]Location2!$2:$2,0))),0)+
IFERROR(SUMIF([1]Location2!$A:$A,"short*",INDEX([1]Location2!$A:$Z,0,MATCH($I$7,[1]Location2!$2:$2,0))),0)+
IFERROR(SUMIF([1]Location2!$A:$A,"save*",INDEX([1]Location2!$A:$Z,0,MATCH($I$7,[1]Location2!$2:$2,0))),0)+
IFERROR(SUMIF([1]Location2!$A:$A,"goal*",INDEX([1]Location2!$A:$Z,0,MATCH($I$7,[1]Location2!$2:$2,0))),0)+
IFERROR(SUMIF([1]Location2!$A:$A,"post*",INDEX([1]Location2!$A:$Z,0,MATCH($I$7,[1]Location2!$2:$2,0))),0)+
IFERROR(SUMIF([1]Location2!$A:$A,"65*",INDEX([1]Location2!$A:$Z,0,MATCH($I$7,[1]Location2!$2:$2,0))),0),0)</f>
        <v>1</v>
      </c>
      <c r="N7" s="1" t="s">
        <v>8</v>
      </c>
      <c r="O7">
        <f>IFERROR(SUMIF([1]Location2!A:A,"free*",INDEX([1]Location2!$A:$Z,0,MATCH($N$7,[1]Location2!$2:$2,0))),0)</f>
        <v>0</v>
      </c>
      <c r="R7" s="1"/>
    </row>
    <row r="8" spans="2:18" ht="15" x14ac:dyDescent="0.2">
      <c r="B8" s="1"/>
      <c r="C8" s="1" t="s">
        <v>9</v>
      </c>
      <c r="D8" s="1">
        <f>IFERROR(VLOOKUP("own*won",[1]Location2!A1:Q18,MATCH(C8,[1]Location2!2:2,0),0), 0)</f>
        <v>2</v>
      </c>
      <c r="E8" s="1">
        <f>IFERROR(VLOOKUP("own*lost",[1]Location2!A1:Q18,MATCH(C8,[1]Location2!2:2,0),0), 0)</f>
        <v>1</v>
      </c>
      <c r="F8" s="1">
        <f t="shared" si="0"/>
        <v>3</v>
      </c>
      <c r="H8" s="1"/>
      <c r="I8" s="1" t="s">
        <v>9</v>
      </c>
      <c r="J8" s="1">
        <f>IFERROR(SUMIF([1]Location2!$A:$A,"point*",INDEX([1]Location2!$A:$Z,0,MATCH($I$8,[1]Location2!$2:$2,0))),0)+
IFERROR(SUMIF([1]Location2!$A:$A,"goal*",INDEX([1]Location2!$A:$Z,0,MATCH($I$8,[1]Location2!$2:$2,0))),0)</f>
        <v>5</v>
      </c>
      <c r="K8" s="1">
        <f>IFERROR(SUMIF([1]Location2!$A:$A,"point*",INDEX([1]Location2!$A:$Z,0,MATCH($I$8,[1]Location2!$2:$2,0)))+
IFERROR(SUMIF([1]Location2!$A:$A,"wide*",INDEX([1]Location2!$A:$Z,0,MATCH($I$8,[1]Location2!$2:$2,0))),0)+
IFERROR(SUMIF([1]Location2!$A:$A,"short*",INDEX([1]Location2!$A:$Z,0,MATCH($I$8,[1]Location2!$2:$2,0))),0)+
IFERROR(SUMIF([1]Location2!$A:$A,"save*",INDEX([1]Location2!$A:$Z,0,MATCH($I$8,[1]Location2!$2:$2,0))),0)+
IFERROR(SUMIF([1]Location2!$A:$A,"goal*",INDEX([1]Location2!$A:$Z,0,MATCH($I$8,[1]Location2!$2:$2,0))),0)+
IFERROR(SUMIF([1]Location2!$A:$A,"post*",INDEX([1]Location2!$A:$Z,0,MATCH($I$8,[1]Location2!$2:$2,0))),0)+
IFERROR(SUMIF([1]Location2!$A:$A,"65*",INDEX([1]Location2!$A:$Z,0,MATCH($I$8,[1]Location2!$2:$2,0))),0),0)</f>
        <v>5</v>
      </c>
      <c r="N8" s="1" t="s">
        <v>9</v>
      </c>
      <c r="O8">
        <f>IFERROR(SUMIF([1]Location2!A:A,"free*",INDEX([1]Location2!$A:$Z,0,MATCH($N$8,[1]Location2!$2:$2,0))),0)</f>
        <v>2</v>
      </c>
      <c r="R8" s="1"/>
    </row>
    <row r="9" spans="2:18" ht="15" x14ac:dyDescent="0.2">
      <c r="B9" s="1"/>
      <c r="C9" s="1" t="s">
        <v>10</v>
      </c>
      <c r="D9" s="1">
        <f>IFERROR(VLOOKUP("own*won",[1]Location2!A1:Q18,MATCH(C9,[1]Location2!2:2,0),0), 0)</f>
        <v>1</v>
      </c>
      <c r="E9" s="1">
        <f>IFERROR(VLOOKUP("own*lost",[1]Location2!A1:Q18,MATCH(C9,[1]Location2!2:2,0),0), 0)</f>
        <v>0</v>
      </c>
      <c r="F9" s="1">
        <f t="shared" si="0"/>
        <v>1</v>
      </c>
      <c r="H9" s="1"/>
      <c r="I9" s="1" t="s">
        <v>10</v>
      </c>
      <c r="J9" s="1">
        <f>IFERROR(SUMIF([1]Location2!$A:$A,"point*",INDEX([1]Location2!$A:$Z,0,MATCH($I$9,[1]Location2!$2:$2,0))),0)+
IFERROR(SUMIF([1]Location2!$A:$A,"goal*",INDEX([1]Location2!$A:$Z,0,MATCH($I$9,[1]Location2!$2:$2,0))),0)</f>
        <v>0</v>
      </c>
      <c r="K9" s="1">
        <f>IFERROR(SUMIF([1]Location2!$A:$A,"point*",INDEX([1]Location2!$A:$Z,0,MATCH($I$9,[1]Location2!$2:$2,0)))+
IFERROR(SUMIF([1]Location2!$A:$A,"wide*",INDEX([1]Location2!$A:$Z,0,MATCH($I$9,[1]Location2!$2:$2,0))),0)+
IFERROR(SUMIF([1]Location2!$A:$A,"short*",INDEX([1]Location2!$A:$Z,0,MATCH($I$9,[1]Location2!$2:$2,0))),0)+
IFERROR(SUMIF([1]Location2!$A:$A,"save*",INDEX([1]Location2!$A:$Z,0,MATCH($I$9,[1]Location2!$2:$2,0))),0)+
IFERROR(SUMIF([1]Location2!$A:$A,"goal*",INDEX([1]Location2!$A:$Z,0,MATCH($I$9,[1]Location2!$2:$2,0))),0)+
IFERROR(SUMIF([1]Location2!$A:$A,"post*",INDEX([1]Location2!$A:$Z,0,MATCH($I$9,[1]Location2!$2:$2,0))),0)+
IFERROR(SUMIF([1]Location2!$A:$A,"65*",INDEX([1]Location2!$A:$Z,0,MATCH($I$9,[1]Location2!$2:$2,0))),0),0)</f>
        <v>0</v>
      </c>
      <c r="N9" s="1" t="s">
        <v>10</v>
      </c>
      <c r="O9">
        <f>IFERROR(SUMIF([1]Location2!A:A,"free*",INDEX([1]Location2!$A:$Z,0,MATCH($N$9,[1]Location2!$2:$2,0))),0)</f>
        <v>0</v>
      </c>
      <c r="R9" s="1"/>
    </row>
    <row r="10" spans="2:18" ht="15" x14ac:dyDescent="0.2">
      <c r="B10" s="1"/>
      <c r="C10" s="1" t="s">
        <v>13</v>
      </c>
      <c r="D10" s="1">
        <f>IFERROR(VLOOKUP("own*won",[1]Location2!A1:Q18,MATCH(C10,[1]Location2!2:2,0),0), 0)</f>
        <v>4</v>
      </c>
      <c r="E10" s="1">
        <f>IFERROR(VLOOKUP("own*lost",[1]Location2!A1:Q18,MATCH(C10,[1]Location2!2:2,0),0), 0)</f>
        <v>3</v>
      </c>
      <c r="F10" s="1">
        <f t="shared" si="0"/>
        <v>7</v>
      </c>
      <c r="H10" s="1"/>
      <c r="I10" s="1" t="s">
        <v>13</v>
      </c>
      <c r="J10" s="1">
        <f>IFERROR(SUMIF([1]Location2!$A:$A,"point*",INDEX([1]Location2!$A:$Z,0,MATCH($I$10,[1]Location2!$2:$2,0))),0)+
IFERROR(SUMIF([1]Location2!$A:$A,"goal*",INDEX([1]Location2!$A:$Z,0,MATCH($I$10,[1]Location2!$2:$2,0))),0)</f>
        <v>1</v>
      </c>
      <c r="K10" s="1">
        <f>IFERROR(SUMIF([1]Location2!$A:$A,"point*",INDEX([1]Location2!$A:$Z,0,MATCH($I$10,[1]Location2!$2:$2,0)))+
IFERROR(SUMIF([1]Location2!$A:$A,"wide*",INDEX([1]Location2!$A:$Z,0,MATCH($I$10,[1]Location2!$2:$2,0))),0)+
IFERROR(SUMIF([1]Location2!$A:$A,"short*",INDEX([1]Location2!$A:$Z,0,MATCH($I$10,[1]Location2!$2:$2,0))),0)+
IFERROR(SUMIF([1]Location2!$A:$A,"save*",INDEX([1]Location2!$A:$Z,0,MATCH($I$10,[1]Location2!$2:$2,0))),0)+
IFERROR(SUMIF([1]Location2!$A:$A,"goal*",INDEX([1]Location2!$A:$Z,0,MATCH($I$10,[1]Location2!$2:$2,0))),0)+
IFERROR(SUMIF([1]Location2!$A:$A,"post*",INDEX([1]Location2!$A:$Z,0,MATCH($I$10,[1]Location2!$2:$2,0))),0)+
IFERROR(SUMIF([1]Location2!$A:$A,"65*",INDEX([1]Location2!$A:$Z,0,MATCH($I$10,[1]Location2!$2:$2,0))),0),0)</f>
        <v>3</v>
      </c>
      <c r="N10" s="1" t="s">
        <v>13</v>
      </c>
      <c r="O10">
        <f>IFERROR(SUMIF([1]Location2!A:A,"free*",INDEX([1]Location2!$A:$Z,0,MATCH($N$10,[1]Location2!$2:$2,0))),0)</f>
        <v>0</v>
      </c>
      <c r="R10" s="1"/>
    </row>
    <row r="11" spans="2:18" ht="15" x14ac:dyDescent="0.2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0</v>
      </c>
      <c r="F11" s="1">
        <f t="shared" si="0"/>
        <v>0</v>
      </c>
      <c r="H11" s="1"/>
      <c r="I11" s="1" t="s">
        <v>11</v>
      </c>
      <c r="J11" s="1">
        <f>IFERROR(SUMIF([1]Location2!$A:$A,"point*",INDEX([1]Location2!$A:$Z,0,MATCH($I$11,[1]Location2!$2:$2,0))),0)+
IFERROR(SUMIF([1]Location2!$A:$A,"goal*",INDEX([1]Location2!$A:$Z,0,MATCH($I$11,[1]Location2!$2:$2,0))),0)</f>
        <v>1</v>
      </c>
      <c r="K11" s="1">
        <f>IFERROR(SUMIF([1]Location2!$A:$A,"point*",INDEX([1]Location2!$A:$Z,0,MATCH($I$11,[1]Location2!$2:$2,0)))+
IFERROR(SUMIF([1]Location2!$A:$A,"wide*",INDEX([1]Location2!$A:$Z,0,MATCH($I$11,[1]Location2!$2:$2,0))),0)+
IFERROR(SUMIF([1]Location2!$A:$A,"short*",INDEX([1]Location2!$A:$Z,0,MATCH($I$11,[1]Location2!$2:$2,0))),0)+
IFERROR(SUMIF([1]Location2!$A:$A,"save*",INDEX([1]Location2!$A:$Z,0,MATCH($I$11,[1]Location2!$2:$2,0))),0)+
IFERROR(SUMIF([1]Location2!$A:$A,"goal*",INDEX([1]Location2!$A:$Z,0,MATCH($I$11,[1]Location2!$2:$2,0))),0)+
IFERROR(SUMIF([1]Location2!$A:$A,"post*",INDEX([1]Location2!$A:$Z,0,MATCH($I$11,[1]Location2!$2:$2,0))),0)+
IFERROR(SUMIF([1]Location2!$A:$A,"65*",INDEX([1]Location2!$A:$Z,0,MATCH($I$11,[1]Location2!$2:$2,0))),0),0)</f>
        <v>1</v>
      </c>
      <c r="N11" s="1" t="s">
        <v>11</v>
      </c>
      <c r="O11">
        <f>IFERROR(SUMIF([1]Location2!A:A,"free*",INDEX([1]Location2!$A:$Z,0,MATCH($N$11,[1]Location2!$2:$2,0))),0)</f>
        <v>1</v>
      </c>
      <c r="R11" s="1"/>
    </row>
    <row r="12" spans="2:18" ht="15" x14ac:dyDescent="0.2">
      <c r="B12" s="1"/>
      <c r="C12" s="1" t="s">
        <v>12</v>
      </c>
      <c r="D12" s="1">
        <f>IFERROR(VLOOKUP("own*won",[1]Location2!A1:Q18,MATCH(C12,[1]Location2!2:2,0),0), 0)</f>
        <v>2</v>
      </c>
      <c r="E12" s="1">
        <f>IFERROR(VLOOKUP("own*lost",[1]Location2!A1:Q18,MATCH(C12,[1]Location2!2:2,0),0), 0)</f>
        <v>3</v>
      </c>
      <c r="F12" s="1">
        <f t="shared" si="0"/>
        <v>5</v>
      </c>
      <c r="H12" s="1"/>
      <c r="I12" s="1" t="s">
        <v>12</v>
      </c>
      <c r="J12" s="1">
        <f>IFERROR(SUMIF([1]Location2!$A:$A,"point*",INDEX([1]Location2!$A:$Z,0,MATCH($I$12,[1]Location2!$2:$2,0))),0)+
IFERROR(SUMIF([1]Location2!$A:$A,"goal*",INDEX([1]Location2!$A:$Z,0,MATCH($I$12,[1]Location2!$2:$2,0))),0)</f>
        <v>0</v>
      </c>
      <c r="K12" s="1">
        <f>IFERROR(SUMIF([1]Location2!$A:$A,"point*",INDEX([1]Location2!$A:$Z,0,MATCH($I$12,[1]Location2!$2:$2,0)))+
IFERROR(SUMIF([1]Location2!$A:$A,"wide*",INDEX([1]Location2!$A:$Z,0,MATCH($I$12,[1]Location2!$2:$2,0))),0)+
IFERROR(SUMIF([1]Location2!$A:$A,"short*",INDEX([1]Location2!$A:$Z,0,MATCH($I$12,[1]Location2!$2:$2,0))),0)+
IFERROR(SUMIF([1]Location2!$A:$A,"save*",INDEX([1]Location2!$A:$Z,0,MATCH($I$12,[1]Location2!$2:$2,0))),0)+
IFERROR(SUMIF([1]Location2!$A:$A,"goal*",INDEX([1]Location2!$A:$Z,0,MATCH($I$12,[1]Location2!$2:$2,0))),0)+
IFERROR(SUMIF([1]Location2!$A:$A,"post*",INDEX([1]Location2!$A:$Z,0,MATCH($I$12,[1]Location2!$2:$2,0))),0)+
IFERROR(SUMIF([1]Location2!$A:$A,"65*",INDEX([1]Location2!$A:$Z,0,MATCH($I$12,[1]Location2!$2:$2,0))),0),0)</f>
        <v>1</v>
      </c>
      <c r="N12" s="1" t="s">
        <v>12</v>
      </c>
      <c r="O12">
        <f>IFERROR(SUMIF([1]Location2!A:A,"free*",INDEX([1]Location2!$A:$Z,0,MATCH($N$12,[1]Location2!$2:$2,0))),0)</f>
        <v>0</v>
      </c>
      <c r="R12" s="1"/>
    </row>
    <row r="13" spans="2:18" ht="15" x14ac:dyDescent="0.2">
      <c r="B13" s="1"/>
      <c r="C13" s="1" t="s">
        <v>69</v>
      </c>
      <c r="D13" s="1">
        <f>IFERROR(VLOOKUP("own*won",[1]Location2!A1:Q18,MATCH(C13,[1]Location2!2:2,0),0), 0)</f>
        <v>2</v>
      </c>
      <c r="E13" s="1">
        <f>IFERROR(VLOOKUP("own*lost",[1]Location2!A1:Q18,MATCH(C13,[1]Location2!2:2,0),0), 0)</f>
        <v>2</v>
      </c>
      <c r="F13" s="1">
        <f t="shared" si="0"/>
        <v>4</v>
      </c>
      <c r="H13" s="1"/>
      <c r="I13" s="1" t="s">
        <v>69</v>
      </c>
      <c r="J13" s="1">
        <f>IFERROR(SUMIF([1]Location2!$A:$A,"point*",INDEX([1]Location2!$A:$Z,0,MATCH($I$13,[1]Location2!$2:$2,0))),0)+
IFERROR(SUMIF([1]Location2!$A:$A,"goal*",INDEX([1]Location2!$A:$Z,0,MATCH($I$13,[1]Location2!$2:$2,0))),0)</f>
        <v>0</v>
      </c>
      <c r="K13" s="1">
        <f>IFERROR(SUMIF([1]Location2!$A:$A,"point*",INDEX([1]Location2!$A:$Z,0,MATCH($I$13,[1]Location2!$2:$2,0)))+
IFERROR(SUMIF([1]Location2!$A:$A,"wide*",INDEX([1]Location2!$A:$Z,0,MATCH($I$13,[1]Location2!$2:$2,0))),0)+
IFERROR(SUMIF([1]Location2!$A:$A,"short*",INDEX([1]Location2!$A:$Z,0,MATCH($I$13,[1]Location2!$2:$2,0))),0)+
IFERROR(SUMIF([1]Location2!$A:$A,"save*",INDEX([1]Location2!$A:$Z,0,MATCH($I$13,[1]Location2!$2:$2,0))),0)+
IFERROR(SUMIF([1]Location2!$A:$A,"goal*",INDEX([1]Location2!$A:$Z,0,MATCH($I$13,[1]Location2!$2:$2,0))),0)+
IFERROR(SUMIF([1]Location2!$A:$A,"post*",INDEX([1]Location2!$A:$Z,0,MATCH($I$13,[1]Location2!$2:$2,0))),0)+
IFERROR(SUMIF([1]Location2!$A:$A,"65*",INDEX([1]Location2!$A:$Z,0,MATCH($I$13,[1]Location2!$2:$2,0))),0),0)</f>
        <v>1</v>
      </c>
      <c r="N13" s="1" t="s">
        <v>69</v>
      </c>
      <c r="O13">
        <f>IFERROR(SUMIF([1]Location2!A:A,"free*",INDEX([1]Location2!$A:$Z,0,MATCH($N$13,[1]Location2!$2:$2,0))),0)</f>
        <v>2</v>
      </c>
      <c r="R13" s="1"/>
    </row>
    <row r="14" spans="2:18" ht="15" x14ac:dyDescent="0.2">
      <c r="B14" s="1"/>
      <c r="C14" s="1" t="s">
        <v>72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72</v>
      </c>
      <c r="J14" s="1">
        <f>IFERROR(SUMIF([1]Location2!$A:$A,"point*",INDEX([1]Location2!$A:$Z,0,MATCH($I$14,[1]Location2!$2:$2,0))),0)+
IFERROR(SUMIF([1]Location2!$A:$A,"goal*",INDEX([1]Location2!$A:$Z,0,MATCH($I$14,[1]Location2!$2:$2,0))),0)</f>
        <v>2</v>
      </c>
      <c r="K14" s="1">
        <f>IFERROR(SUMIF([1]Location2!$A:$A,"point*",INDEX([1]Location2!$A:$Z,0,MATCH($I$14,[1]Location2!$2:$2,0)))+
IFERROR(SUMIF([1]Location2!$A:$A,"wide*",INDEX([1]Location2!$A:$Z,0,MATCH($I$14,[1]Location2!$2:$2,0))),0)+
IFERROR(SUMIF([1]Location2!$A:$A,"short*",INDEX([1]Location2!$A:$Z,0,MATCH($I$14,[1]Location2!$2:$2,0))),0)+
IFERROR(SUMIF([1]Location2!$A:$A,"save*",INDEX([1]Location2!$A:$Z,0,MATCH($I$14,[1]Location2!$2:$2,0))),0)+
IFERROR(SUMIF([1]Location2!$A:$A,"goal*",INDEX([1]Location2!$A:$Z,0,MATCH($I$14,[1]Location2!$2:$2,0))),0)+
IFERROR(SUMIF([1]Location2!$A:$A,"post*",INDEX([1]Location2!$A:$Z,0,MATCH($I$14,[1]Location2!$2:$2,0))),0)+
IFERROR(SUMIF([1]Location2!$A:$A,"65*",INDEX([1]Location2!$A:$Z,0,MATCH($I$14,[1]Location2!$2:$2,0))),0),0)</f>
        <v>4</v>
      </c>
      <c r="N14" s="1" t="s">
        <v>72</v>
      </c>
      <c r="O14">
        <f>IFERROR(SUMIF([1]Location2!A:A,"free*",INDEX([1]Location2!$A:$Z,0,MATCH($N$14,[1]Location2!$2:$2,0))),0)</f>
        <v>1</v>
      </c>
      <c r="R14" s="1"/>
    </row>
    <row r="15" spans="2:18" ht="15" x14ac:dyDescent="0.2">
      <c r="B15" s="1"/>
      <c r="C15" s="1" t="s">
        <v>73</v>
      </c>
      <c r="D15" s="1">
        <f>IFERROR(VLOOKUP("own*won",[1]Location2!A1:Q18,MATCH(C15,[1]Location2!2:2,0),0), 0)</f>
        <v>3</v>
      </c>
      <c r="E15" s="1">
        <f>IFERROR(VLOOKUP("own*lost",[1]Location2!A1:Q18,MATCH(C15,[1]Location2!2:2,0),0), 0)</f>
        <v>3</v>
      </c>
      <c r="F15" s="1">
        <f t="shared" si="0"/>
        <v>6</v>
      </c>
      <c r="H15" s="1"/>
      <c r="I15" s="1" t="s">
        <v>73</v>
      </c>
      <c r="J15" s="1">
        <f>IFERROR(SUMIF([1]Location2!$A:$A,"point*",INDEX([1]Location2!$A:$Z,0,MATCH($I$15,[1]Location2!$2:$2,0))),0)+
IFERROR(SUMIF([1]Location2!$A:$A,"goal*",INDEX([1]Location2!$A:$Z,0,MATCH($I$15,[1]Location2!$2:$2,0))),0)</f>
        <v>4</v>
      </c>
      <c r="K15" s="1">
        <f>IFERROR(SUMIF([1]Location2!$A:$A,"point*",INDEX([1]Location2!$A:$Z,0,MATCH($I$15,[1]Location2!$2:$2,0)))+
IFERROR(SUMIF([1]Location2!$A:$A,"wide*",INDEX([1]Location2!$A:$Z,0,MATCH($I$15,[1]Location2!$2:$2,0))),0)+
IFERROR(SUMIF([1]Location2!$A:$A,"short*",INDEX([1]Location2!$A:$Z,0,MATCH($I$15,[1]Location2!$2:$2,0))),0)+
IFERROR(SUMIF([1]Location2!$A:$A,"save*",INDEX([1]Location2!$A:$Z,0,MATCH($I$15,[1]Location2!$2:$2,0))),0)+
IFERROR(SUMIF([1]Location2!$A:$A,"goal*",INDEX([1]Location2!$A:$Z,0,MATCH($I$15,[1]Location2!$2:$2,0))),0)+
IFERROR(SUMIF([1]Location2!$A:$A,"post*",INDEX([1]Location2!$A:$Z,0,MATCH($I$15,[1]Location2!$2:$2,0))),0)+
IFERROR(SUMIF([1]Location2!$A:$A,"65*",INDEX([1]Location2!$A:$Z,0,MATCH($I$15,[1]Location2!$2:$2,0))),0),0)</f>
        <v>5</v>
      </c>
      <c r="N15" s="1" t="s">
        <v>73</v>
      </c>
      <c r="O15">
        <f>IFERROR(SUMIF([1]Location2!A:A,"free*",INDEX([1]Location2!$A:$Z,0,MATCH($N$15,[1]Location2!$2:$2,0))),0)</f>
        <v>3</v>
      </c>
      <c r="R15" s="1"/>
    </row>
    <row r="16" spans="2:18" ht="15" x14ac:dyDescent="0.2">
      <c r="B16" s="1"/>
      <c r="C16" s="1" t="s">
        <v>70</v>
      </c>
      <c r="D16" s="1">
        <f>IFERROR(VLOOKUP("own*won",[1]Location2!A1:Q18,MATCH(C16,[1]Location2!2:2,0),0), 0)</f>
        <v>1</v>
      </c>
      <c r="E16" s="1">
        <f>IFERROR(VLOOKUP("own*lost",[1]Location2!A1:Q18,MATCH(C16,[1]Location2!2:2,0),0), 0)</f>
        <v>0</v>
      </c>
      <c r="F16" s="1">
        <f t="shared" si="0"/>
        <v>1</v>
      </c>
      <c r="H16" s="1"/>
      <c r="I16" s="1" t="s">
        <v>70</v>
      </c>
      <c r="J16" s="1">
        <f>IFERROR(SUMIF([1]Location2!$A:$A,"point*",INDEX([1]Location2!$A:$Z,0,MATCH($I$16,[1]Location2!$2:$2,0))),0)+
IFERROR(SUMIF([1]Location2!$A:$A,"goal*",INDEX([1]Location2!$A:$Z,0,MATCH($I$16,[1]Location2!$2:$2,0))),0)</f>
        <v>3</v>
      </c>
      <c r="K16" s="1">
        <f>IFERROR(SUMIF([1]Location2!$A:$A,"point*",INDEX([1]Location2!$A:$Z,0,MATCH($I$16,[1]Location2!$2:$2,0)))+
IFERROR(SUMIF([1]Location2!$A:$A,"wide*",INDEX([1]Location2!$A:$Z,0,MATCH($I$16,[1]Location2!$2:$2,0))),0)+
IFERROR(SUMIF([1]Location2!$A:$A,"short*",INDEX([1]Location2!$A:$Z,0,MATCH($I$16,[1]Location2!$2:$2,0))),0)+
IFERROR(SUMIF([1]Location2!$A:$A,"save*",INDEX([1]Location2!$A:$Z,0,MATCH($I$16,[1]Location2!$2:$2,0))),0)+
IFERROR(SUMIF([1]Location2!$A:$A,"goal*",INDEX([1]Location2!$A:$Z,0,MATCH($I$16,[1]Location2!$2:$2,0))),0)+
IFERROR(SUMIF([1]Location2!$A:$A,"post*",INDEX([1]Location2!$A:$Z,0,MATCH($I$16,[1]Location2!$2:$2,0))),0)+
IFERROR(SUMIF([1]Location2!$A:$A,"65*",INDEX([1]Location2!$A:$Z,0,MATCH($I$16,[1]Location2!$2:$2,0))),0),0)</f>
        <v>3</v>
      </c>
      <c r="N16" s="1" t="s">
        <v>70</v>
      </c>
      <c r="O16">
        <f>IFERROR(SUMIF([1]Location2!A:A,"free*",INDEX([1]Location2!$A:$Z,0,MATCH($N$16,[1]Location2!$2:$2,0))),0)</f>
        <v>0</v>
      </c>
      <c r="R16" s="1"/>
    </row>
    <row r="17" spans="2:20" ht="15" x14ac:dyDescent="0.2">
      <c r="B17" s="1"/>
      <c r="C17" s="1" t="s">
        <v>74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1</v>
      </c>
      <c r="F17" s="1">
        <f t="shared" si="0"/>
        <v>1</v>
      </c>
      <c r="H17" s="1"/>
      <c r="I17" s="1" t="s">
        <v>74</v>
      </c>
      <c r="J17" s="1">
        <f>IFERROR(SUMIF([1]Location2!$A:$A,"point*",INDEX([1]Location2!$A:$Z,0,MATCH($I$17,[1]Location2!$2:$2,0))),0)+
IFERROR(SUMIF([1]Location2!$A:$A,"goal*",INDEX([1]Location2!$A:$Z,0,MATCH($I$17,[1]Location2!$2:$2,0))),0)</f>
        <v>0</v>
      </c>
      <c r="K17" s="1">
        <f>IFERROR(SUMIF([1]Location2!$A:$A,"point*",INDEX([1]Location2!$A:$Z,0,MATCH($I$17,[1]Location2!$2:$2,0)))+
IFERROR(SUMIF([1]Location2!$A:$A,"wide*",INDEX([1]Location2!$A:$Z,0,MATCH($I$17,[1]Location2!$2:$2,0))),0)+
IFERROR(SUMIF([1]Location2!$A:$A,"short*",INDEX([1]Location2!$A:$Z,0,MATCH($I$17,[1]Location2!$2:$2,0))),0)+
IFERROR(SUMIF([1]Location2!$A:$A,"save*",INDEX([1]Location2!$A:$Z,0,MATCH($I$17,[1]Location2!$2:$2,0))),0)+
IFERROR(SUMIF([1]Location2!$A:$A,"goal*",INDEX([1]Location2!$A:$Z,0,MATCH($I$17,[1]Location2!$2:$2,0))),0)+
IFERROR(SUMIF([1]Location2!$A:$A,"post*",INDEX([1]Location2!$A:$Z,0,MATCH($I$17,[1]Location2!$2:$2,0))),0)+
IFERROR(SUMIF([1]Location2!$A:$A,"65*",INDEX([1]Location2!$A:$Z,0,MATCH($I$17,[1]Location2!$2:$2,0))),0),0)</f>
        <v>1</v>
      </c>
      <c r="N17" s="1" t="s">
        <v>74</v>
      </c>
      <c r="O17">
        <f>IFERROR(SUMIF([1]Location2!A:A,"free*",INDEX([1]Location2!$A:$Z,0,MATCH($N$17,[1]Location2!$2:$2,0))),0)</f>
        <v>1</v>
      </c>
      <c r="R17" s="1"/>
    </row>
    <row r="18" spans="2:20" ht="15" x14ac:dyDescent="0.2">
      <c r="B18" s="1"/>
      <c r="C18" s="1" t="s">
        <v>75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75</v>
      </c>
      <c r="J18" s="1">
        <f>IFERROR(SUMIF([1]Location2!$A:$A,"point*",INDEX([1]Location2!$A:$Z,0,MATCH($I$18,[1]Location2!$2:$2,0))),0)+
IFERROR(SUMIF([1]Location2!$A:$A,"goal*",INDEX([1]Location2!$A:$Z,0,MATCH($I$18,[1]Location2!$2:$2,0))),0)</f>
        <v>0</v>
      </c>
      <c r="K18" s="1">
        <f>IFERROR(SUMIF([1]Location2!$A:$A,"point*",INDEX([1]Location2!$A:$Z,0,MATCH($I$18,[1]Location2!$2:$2,0)))+
IFERROR(SUMIF([1]Location2!$A:$A,"wide*",INDEX([1]Location2!$A:$Z,0,MATCH($I$18,[1]Location2!$2:$2,0))),0)+
IFERROR(SUMIF([1]Location2!$A:$A,"short*",INDEX([1]Location2!$A:$Z,0,MATCH($I$18,[1]Location2!$2:$2,0))),0)+
IFERROR(SUMIF([1]Location2!$A:$A,"save*",INDEX([1]Location2!$A:$Z,0,MATCH($I$18,[1]Location2!$2:$2,0))),0)+
IFERROR(SUMIF([1]Location2!$A:$A,"goal*",INDEX([1]Location2!$A:$Z,0,MATCH($I$18,[1]Location2!$2:$2,0))),0)+
IFERROR(SUMIF([1]Location2!$A:$A,"post*",INDEX([1]Location2!$A:$Z,0,MATCH($I$18,[1]Location2!$2:$2,0))),0)+
IFERROR(SUMIF([1]Location2!$A:$A,"65*",INDEX([1]Location2!$A:$Z,0,MATCH($I$18,[1]Location2!$2:$2,0))),0),0)</f>
        <v>0</v>
      </c>
      <c r="N18" s="1" t="s">
        <v>75</v>
      </c>
      <c r="O18">
        <f>IFERROR(SUMIF([1]Location2!A:A,"free*",INDEX([1]Location2!$A:$Z,0,MATCH($N$18,[1]Location2!$2:$2,0))),0)</f>
        <v>0</v>
      </c>
      <c r="R18" s="1"/>
    </row>
    <row r="19" spans="2:20" ht="15" x14ac:dyDescent="0.2">
      <c r="B19" s="1"/>
      <c r="C19" s="1" t="s">
        <v>71</v>
      </c>
      <c r="D19" s="1">
        <f>IFERROR(VLOOKUP("own*won",[1]Location2!A1:Q18,MATCH(C19,[1]Location2!2:2,0),0), 0)</f>
        <v>0</v>
      </c>
      <c r="E19" s="1">
        <f>IFERROR(VLOOKUP("own*lost",[1]Location2!A1:Q18,MATCH(C19,[1]Location2!2:2,0),0), 0)</f>
        <v>0</v>
      </c>
      <c r="F19" s="1">
        <f t="shared" si="0"/>
        <v>0</v>
      </c>
      <c r="H19" s="1"/>
      <c r="I19" s="1" t="s">
        <v>71</v>
      </c>
      <c r="J19" s="1">
        <f>IFERROR(SUMIF([1]Location2!$A:$A,"point*",INDEX([1]Location2!$A:$Z,0,MATCH($I$19,[1]Location2!$2:$2,0))),0)+
IFERROR(SUMIF([1]Location2!$A:$A,"goal*",INDEX([1]Location2!$A:$Z,0,MATCH($I$419,[1]Location2!$2:$2,0))),0)</f>
        <v>2</v>
      </c>
      <c r="K19" s="1">
        <f>IFERROR(SUMIF([1]Location2!$A:$A,"point*",INDEX([1]Location2!$A:$Z,0,MATCH($I$19,[1]Location2!$2:$2,0)))+
IFERROR(SUMIF([1]Location2!$A:$A,"wide*",INDEX([1]Location2!$A:$Z,0,MATCH($I$19,[1]Location2!$2:$2,0))),0)+
IFERROR(SUMIF([1]Location2!$A:$A,"short*",INDEX([1]Location2!$A:$Z,0,MATCH($I$19,[1]Location2!$2:$2,0))),0)+
IFERROR(SUMIF([1]Location2!$A:$A,"save*",INDEX([1]Location2!$A:$Z,0,MATCH($I$19,[1]Location2!$2:$2,0))),0)+
IFERROR(SUMIF([1]Location2!$A:$A,"goal*",INDEX([1]Location2!$A:$Z,0,MATCH($I$19,[1]Location2!$2:$2,0))),0)+
IFERROR(SUMIF([1]Location2!$A:$A,"post*",INDEX([1]Location2!$A:$Z,0,MATCH($I$19,[1]Location2!$2:$2,0))),0)+
IFERROR(SUMIF([1]Location2!$A:$A,"65*",INDEX([1]Location2!$A:$Z,0,MATCH($I$19,[1]Location2!$2:$2,0))),0),0)</f>
        <v>2</v>
      </c>
      <c r="N19" s="1" t="s">
        <v>71</v>
      </c>
      <c r="O19">
        <f>IFERROR(SUMIF([1]Location2!A:A,"free*",INDEX([1]Location2!$A:$Z,0,MATCH($N$19,[1]Location2!$2:$2,0))),0)</f>
        <v>0</v>
      </c>
      <c r="R19" s="1"/>
    </row>
    <row r="20" spans="2:20" ht="15" x14ac:dyDescent="0.2">
      <c r="B20" s="1"/>
      <c r="C20" s="1" t="s">
        <v>76</v>
      </c>
      <c r="D20" s="1">
        <f>IFERROR(VLOOKUP("own*won",[1]Location2!A1:Q18,MATCH(C20,[1]Location2!2:2,0),0), 0)</f>
        <v>0</v>
      </c>
      <c r="E20" s="1">
        <f>IFERROR(VLOOKUP("own*lost",[1]Location2!A1:Q18,MATCH(C20,[1]Location2!2:2,0),0), 0)</f>
        <v>0</v>
      </c>
      <c r="F20" s="1">
        <f t="shared" si="0"/>
        <v>0</v>
      </c>
      <c r="H20" s="1"/>
      <c r="I20" s="1" t="s">
        <v>76</v>
      </c>
      <c r="J20" s="1">
        <f>IFERROR(SUMIF([1]Location2!$A:$A,"point*",INDEX([1]Location2!$A:$Z,0,MATCH($I$20,[1]Location2!$2:$2,0))),0)+
IFERROR(SUMIF([1]Location2!$A:$A,"goal*",INDEX([1]Location2!$A:$Z,0,MATCH($I$20,[1]Location2!$2:$2,0))),0)</f>
        <v>1</v>
      </c>
      <c r="K20" s="1">
        <f>IFERROR(SUMIF([1]Location2!$A:$A,"point*",INDEX([1]Location2!$A:$Z,0,MATCH($I$20,[1]Location2!$2:$2,0)))+
IFERROR(SUMIF([1]Location2!$A:$A,"wide*",INDEX([1]Location2!$A:$Z,0,MATCH($I$20,[1]Location2!$2:$2,0))),0)+
IFERROR(SUMIF([1]Location2!$A:$A,"short*",INDEX([1]Location2!$A:$Z,0,MATCH($I$20,[1]Location2!$2:$2,0))),0)+
IFERROR(SUMIF([1]Location2!$A:$A,"save*",INDEX([1]Location2!$A:$Z,0,MATCH($I$20,[1]Location2!$2:$2,0))),0)+
IFERROR(SUMIF([1]Location2!$A:$A,"goal*",INDEX([1]Location2!$A:$Z,0,MATCH($I$20,[1]Location2!$2:$2,0))),0)+
IFERROR(SUMIF([1]Location2!$A:$A,"post*",INDEX([1]Location2!$A:$Z,0,MATCH($I$20,[1]Location2!$2:$2,0))),0)+
IFERROR(SUMIF([1]Location2!$A:$A,"65*",INDEX([1]Location2!$A:$Z,0,MATCH($I$20,[1]Location2!$2:$2,0))),0),0)</f>
        <v>1</v>
      </c>
      <c r="N20" s="1" t="s">
        <v>76</v>
      </c>
      <c r="O20">
        <f>IFERROR(SUMIF([1]Location2!A:A,"free*",INDEX([1]Location2!$A:$Z,0,MATCH($N$20,[1]Location2!$2:$2,0))),0)</f>
        <v>0</v>
      </c>
      <c r="R20" s="1"/>
    </row>
    <row r="21" spans="2:20" ht="15" x14ac:dyDescent="0.2">
      <c r="B21" s="1"/>
      <c r="C21" s="1" t="s">
        <v>77</v>
      </c>
      <c r="D21" s="1">
        <f>IFERROR(VLOOKUP("own*won",[1]Location2!A1:Q18,MATCH(C21,[1]Location2!2:2,0),0), 0)</f>
        <v>0</v>
      </c>
      <c r="E21" s="1">
        <f>IFERROR(VLOOKUP("own*lost",[1]Location2!A1:Q18,MATCH(C21,[1]Location2!2:2,0),0), 0)</f>
        <v>0</v>
      </c>
      <c r="F21" s="1">
        <f t="shared" si="0"/>
        <v>0</v>
      </c>
      <c r="H21" s="1"/>
      <c r="I21" s="1" t="s">
        <v>77</v>
      </c>
      <c r="J21" s="1">
        <f>IFERROR(SUMIF([1]Location2!$A:$A,"point*",INDEX([1]Location2!$A:$Z,0,MATCH($I$21,[1]Location2!$2:$2,0))),0)+
IFERROR(SUMIF([1]Location2!$A:$A,"goal*",INDEX([1]Location2!$A:$Z,0,MATCH($I$21,[1]Location2!$2:$2,0))),0)</f>
        <v>0</v>
      </c>
      <c r="K21" s="1">
        <f>IFERROR(SUMIF([1]Location2!$A:$A,"point*",INDEX([1]Location2!$A:$Z,0,MATCH($I$21,[1]Location2!$2:$2,0)))+
IFERROR(SUMIF([1]Location2!$A:$A,"wide*",INDEX([1]Location2!$A:$Z,0,MATCH($I$21,[1]Location2!$2:$2,0))),0)+
IFERROR(SUMIF([1]Location2!$A:$A,"short*",INDEX([1]Location2!$A:$Z,0,MATCH($I$21,[1]Location2!$2:$2,0))),0)+
IFERROR(SUMIF([1]Location2!$A:$A,"save*",INDEX([1]Location2!$A:$Z,0,MATCH($I$21,[1]Location2!$2:$2,0))),0)+
IFERROR(SUMIF([1]Location2!$A:$A,"goal*",INDEX([1]Location2!$A:$Z,0,MATCH($I$21,[1]Location2!$2:$2,0))),0)+
IFERROR(SUMIF([1]Location2!$A:$A,"post*",INDEX([1]Location2!$A:$Z,0,MATCH($I$21,[1]Location2!$2:$2,0))),0)+
IFERROR(SUMIF([1]Location2!$A:$A,"65*",INDEX([1]Location2!$A:$Z,0,MATCH($I$21,[1]Location2!$2:$2,0))),0),0)</f>
        <v>0</v>
      </c>
      <c r="N21" s="1" t="s">
        <v>77</v>
      </c>
      <c r="O21">
        <f>IFERROR(SUMIF([1]Location2!A:A,"free*",INDEX([1]Location2!$A:$Z,0,MATCH($N$21,[1]Location2!$2:$2,0))),0)</f>
        <v>1</v>
      </c>
      <c r="R21" s="1"/>
    </row>
    <row r="22" spans="2:20" ht="15" x14ac:dyDescent="0.2">
      <c r="B22" s="1"/>
      <c r="C22" s="1" t="s">
        <v>0</v>
      </c>
      <c r="D22" s="1">
        <f>SUM(D4:D18)</f>
        <v>15</v>
      </c>
      <c r="E22" s="1">
        <f>SUM(E4:E18)</f>
        <v>13</v>
      </c>
      <c r="F22" s="1">
        <f>SUM(F4:F18)</f>
        <v>28</v>
      </c>
      <c r="G22" s="1"/>
      <c r="H22" s="1"/>
      <c r="I22" s="1" t="s">
        <v>0</v>
      </c>
      <c r="J22" s="1">
        <f>SUM(J4:J21)</f>
        <v>23</v>
      </c>
      <c r="K22" s="1">
        <f>SUM(K4:K21)</f>
        <v>31</v>
      </c>
      <c r="L22" s="1"/>
      <c r="N22" s="1" t="s">
        <v>0</v>
      </c>
      <c r="O22">
        <f>SUM(O4:O21)</f>
        <v>12</v>
      </c>
      <c r="R22" s="1"/>
      <c r="S22" s="1"/>
      <c r="T22" s="1"/>
    </row>
    <row r="23" spans="2:20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20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20" ht="15" x14ac:dyDescent="0.2">
      <c r="B25" s="1"/>
      <c r="C25" s="1" t="s">
        <v>78</v>
      </c>
      <c r="D25" s="1">
        <f>SUMIF(C4:C21, "*c*", D4:D21)</f>
        <v>6</v>
      </c>
      <c r="E25" s="1">
        <f>SUMIF(C4:C21, "*c*", F4:F21)</f>
        <v>12</v>
      </c>
      <c r="F25" s="6">
        <f>IF(E25,D25/E25,0)</f>
        <v>0.5</v>
      </c>
      <c r="G25" s="1"/>
      <c r="H25" s="1"/>
      <c r="I25" s="1" t="s">
        <v>78</v>
      </c>
      <c r="J25" s="1">
        <f>SUMIF(I4:I21, "*C*", J4:J21)</f>
        <v>4</v>
      </c>
      <c r="K25" s="1">
        <f>SUMIF(I4:I21, "*C*", K4:K21)</f>
        <v>6</v>
      </c>
      <c r="L25" s="6">
        <f>IF(K25,J25/K25,0)</f>
        <v>0.66666666666666663</v>
      </c>
      <c r="N25" s="1" t="s">
        <v>78</v>
      </c>
      <c r="O25" s="1">
        <f>SUMIF(N4:N18, "*C*", O4:O18)</f>
        <v>3</v>
      </c>
      <c r="P25" s="6">
        <f>IF(O25,O25/O28,0)</f>
        <v>0.27272727272727271</v>
      </c>
    </row>
    <row r="26" spans="2:20" ht="15" x14ac:dyDescent="0.2">
      <c r="B26" s="1"/>
      <c r="C26" s="1" t="s">
        <v>79</v>
      </c>
      <c r="D26" s="1">
        <f>SUMIF(C4:C21, "*b*", D4:D21)</f>
        <v>2</v>
      </c>
      <c r="E26" s="1">
        <f>SUMIF(C4:C21, "*b*", F4:F21)</f>
        <v>4</v>
      </c>
      <c r="F26" s="6">
        <f t="shared" ref="F26:F28" si="1">IF(E26,D26/E26,0)</f>
        <v>0.5</v>
      </c>
      <c r="G26" s="1"/>
      <c r="H26" s="1"/>
      <c r="I26" s="1" t="s">
        <v>79</v>
      </c>
      <c r="J26" s="1">
        <f>SUMIF(I4:I21, "*B*", J4:J21)</f>
        <v>11</v>
      </c>
      <c r="K26" s="1">
        <f>SUMIF(I4:I21, "*B*", K4:K21)</f>
        <v>14</v>
      </c>
      <c r="L26" s="6">
        <f t="shared" ref="L26:L28" si="2">IF(K26,J26/K26,0)</f>
        <v>0.7857142857142857</v>
      </c>
      <c r="N26" s="1" t="s">
        <v>79</v>
      </c>
      <c r="O26" s="1">
        <f>SUMIF(N4:N18, "*B*", O4:O18)</f>
        <v>6</v>
      </c>
      <c r="P26" s="6">
        <f>IF(O26,O26/O28,0)</f>
        <v>0.54545454545454541</v>
      </c>
    </row>
    <row r="27" spans="2:20" ht="15" x14ac:dyDescent="0.2">
      <c r="B27" s="1"/>
      <c r="C27" s="1" t="s">
        <v>80</v>
      </c>
      <c r="D27" s="1">
        <f>SUMIF(C4:C21, "*c*", D4:D21)</f>
        <v>6</v>
      </c>
      <c r="E27" s="1">
        <f>SUMIF(C4:C21, "*a*", F4:F21)</f>
        <v>12</v>
      </c>
      <c r="F27" s="6">
        <f t="shared" si="1"/>
        <v>0.5</v>
      </c>
      <c r="G27" s="1"/>
      <c r="H27" s="1"/>
      <c r="I27" s="1" t="s">
        <v>80</v>
      </c>
      <c r="J27" s="1">
        <f>SUMIF(I4:I21, "*A*", J4:J21)</f>
        <v>8</v>
      </c>
      <c r="K27" s="1">
        <f>SUMIF(I4:I21, "*A*", K4:K21)</f>
        <v>11</v>
      </c>
      <c r="L27" s="6">
        <f t="shared" si="2"/>
        <v>0.72727272727272729</v>
      </c>
      <c r="N27" s="1" t="s">
        <v>80</v>
      </c>
      <c r="O27" s="1">
        <f>SUMIF(N4:N18, "*A*", O4:O18)</f>
        <v>2</v>
      </c>
      <c r="P27" s="6">
        <f>IF(O27,O27/O28,0)</f>
        <v>0.18181818181818182</v>
      </c>
    </row>
    <row r="28" spans="2:20" ht="15" x14ac:dyDescent="0.2">
      <c r="B28" s="1"/>
      <c r="C28" s="1" t="s">
        <v>0</v>
      </c>
      <c r="D28" s="1">
        <f>SUM(D25:D27)</f>
        <v>14</v>
      </c>
      <c r="E28" s="1">
        <f>SUM(E25:E27)</f>
        <v>28</v>
      </c>
      <c r="F28" s="6">
        <f t="shared" si="1"/>
        <v>0.5</v>
      </c>
      <c r="G28" s="1"/>
      <c r="H28" s="1"/>
      <c r="I28" s="1" t="s">
        <v>0</v>
      </c>
      <c r="J28" s="1">
        <f>SUM(J25:J27)</f>
        <v>23</v>
      </c>
      <c r="K28">
        <f>SUM(K25:K27)</f>
        <v>31</v>
      </c>
      <c r="L28" s="6">
        <f t="shared" si="2"/>
        <v>0.74193548387096775</v>
      </c>
      <c r="N28" s="1" t="s">
        <v>0</v>
      </c>
      <c r="O28">
        <f>SUM(O25:O27)</f>
        <v>11</v>
      </c>
      <c r="P28" s="6">
        <f>IF(O28,O28/O28,0)</f>
        <v>1</v>
      </c>
    </row>
    <row r="29" spans="2:20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20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3</v>
      </c>
      <c r="K30" s="1">
        <f>SUMIF(I4:I21, "*1*", K4:K21)</f>
        <v>3</v>
      </c>
      <c r="L30" s="6">
        <f>IF(K30,J30/K30,0)</f>
        <v>1</v>
      </c>
      <c r="N30" s="1">
        <v>1</v>
      </c>
      <c r="O30" s="1">
        <f>SUMIF(N4:N21, "*1*", O4:O21)</f>
        <v>1</v>
      </c>
      <c r="P30" s="6">
        <f>IF(O30,O30/O33,0)</f>
        <v>0.16666666666666666</v>
      </c>
    </row>
    <row r="31" spans="2:20" ht="15" x14ac:dyDescent="0.2">
      <c r="C31" s="1">
        <v>2</v>
      </c>
      <c r="D31" s="1">
        <f>SUMIF(C4:C21, "*2*", D4:D21)</f>
        <v>3</v>
      </c>
      <c r="E31" s="1">
        <f>SUMIF(C4:C21, "*2*", F4:F21)</f>
        <v>4</v>
      </c>
      <c r="F31" s="6">
        <f t="shared" ref="F31:F36" si="3">IF(E31,D31/E31,0)</f>
        <v>0.75</v>
      </c>
      <c r="I31" s="1">
        <v>2</v>
      </c>
      <c r="J31" s="1">
        <f>SUMIF(I4:I21, "*2*", J4:J21)</f>
        <v>6</v>
      </c>
      <c r="K31" s="1">
        <f>SUMIF(I4:I21, "*2*", K4:K21)</f>
        <v>6</v>
      </c>
      <c r="L31" s="6">
        <f t="shared" ref="L31:L35" si="4">IF(K31,J31/K31,0)</f>
        <v>1</v>
      </c>
      <c r="N31" s="1">
        <v>2</v>
      </c>
      <c r="O31" s="1">
        <f>SUMIF(N4:N21, "*2*", O4:O21)</f>
        <v>2</v>
      </c>
      <c r="P31" s="6">
        <f>IF(O31,O31/O36,0)</f>
        <v>0.18181818181818182</v>
      </c>
    </row>
    <row r="32" spans="2:20" ht="15" x14ac:dyDescent="0.2">
      <c r="C32" s="1">
        <v>3</v>
      </c>
      <c r="D32" s="1">
        <f>SUMIF(C4:C21, "*3*", D4:D21)</f>
        <v>6</v>
      </c>
      <c r="E32" s="1">
        <f>SUMIF(C4:C21, "*3*", F4:F21)</f>
        <v>12</v>
      </c>
      <c r="F32" s="6">
        <f t="shared" si="3"/>
        <v>0.5</v>
      </c>
      <c r="I32" s="1">
        <v>3</v>
      </c>
      <c r="J32" s="1">
        <f>SUMIF(I4:I21, "*3*", J4:J21)</f>
        <v>2</v>
      </c>
      <c r="K32" s="1">
        <f>SUMIF(I4:I21, "*3*", K4:K21)</f>
        <v>5</v>
      </c>
      <c r="L32" s="6">
        <f t="shared" si="4"/>
        <v>0.4</v>
      </c>
      <c r="N32" s="1">
        <v>3</v>
      </c>
      <c r="O32" s="1">
        <f>SUMIF(N4:N21, "*3*", O4:O21)</f>
        <v>1</v>
      </c>
      <c r="P32" s="6">
        <f t="shared" ref="P32" si="5">IF(O32,O32/O36,0)</f>
        <v>9.0909090909090912E-2</v>
      </c>
    </row>
    <row r="33" spans="3:16" ht="15" x14ac:dyDescent="0.2">
      <c r="C33" s="1">
        <v>4</v>
      </c>
      <c r="D33" s="1">
        <f>SUMIF(C4:C21, "*4*", D4:D21)</f>
        <v>5</v>
      </c>
      <c r="E33" s="1">
        <f>SUMIF(C4:C21, "*4*", F4:F21)</f>
        <v>10</v>
      </c>
      <c r="F33" s="6">
        <f t="shared" si="3"/>
        <v>0.5</v>
      </c>
      <c r="I33" s="1">
        <v>4</v>
      </c>
      <c r="J33" s="1">
        <f>SUMIF(I4:I21, "*4*", J4:J21)</f>
        <v>6</v>
      </c>
      <c r="K33" s="1">
        <f>SUMIF(I4:I21, "*4*", K4:K21)</f>
        <v>10</v>
      </c>
      <c r="L33" s="6">
        <f t="shared" si="4"/>
        <v>0.6</v>
      </c>
      <c r="N33" s="1">
        <v>4</v>
      </c>
      <c r="O33" s="1">
        <f>SUMIF(N4:N21, "*4*", O4:O21)</f>
        <v>6</v>
      </c>
      <c r="P33" s="6">
        <f>IF(O33,O33/O36,0)</f>
        <v>0.54545454545454541</v>
      </c>
    </row>
    <row r="34" spans="3:16" ht="15" x14ac:dyDescent="0.2">
      <c r="C34" s="1">
        <v>5</v>
      </c>
      <c r="D34" s="1">
        <f>SUMIF(C4:C21, "*5*", D4:D21)</f>
        <v>1</v>
      </c>
      <c r="E34" s="1">
        <f>SUMIF(C4:C21, "*5*", F4:F21)</f>
        <v>2</v>
      </c>
      <c r="F34" s="6">
        <f t="shared" si="3"/>
        <v>0.5</v>
      </c>
      <c r="I34" s="1">
        <v>5</v>
      </c>
      <c r="J34" s="1">
        <f>SUMIF(I4:I21, "*5*", J4:J21)</f>
        <v>3</v>
      </c>
      <c r="K34" s="1">
        <f>SUMIF(I4:I21, "*5*", K4:K21)</f>
        <v>4</v>
      </c>
      <c r="L34" s="6">
        <f t="shared" si="4"/>
        <v>0.75</v>
      </c>
      <c r="N34" s="1">
        <v>5</v>
      </c>
      <c r="O34" s="1">
        <f>SUMIF(N4:N21, "*5*", O4:O21)</f>
        <v>1</v>
      </c>
      <c r="P34" s="6">
        <f>IF(O34,O34/O36,0)</f>
        <v>9.0909090909090912E-2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3</v>
      </c>
      <c r="K35" s="1">
        <f>SUMIF(I4:I21, "*6*", K4:K21)</f>
        <v>3</v>
      </c>
      <c r="L35" s="6">
        <f t="shared" si="4"/>
        <v>1</v>
      </c>
      <c r="N35" s="1">
        <v>6</v>
      </c>
      <c r="O35" s="1">
        <f>SUMIF(N4:N21, "*6*", O4:O21)</f>
        <v>1</v>
      </c>
      <c r="P35" s="6">
        <f>IF(O35,O35/O36,0)</f>
        <v>9.0909090909090912E-2</v>
      </c>
    </row>
    <row r="36" spans="3:16" ht="15" x14ac:dyDescent="0.2">
      <c r="C36" s="1" t="s">
        <v>0</v>
      </c>
      <c r="D36">
        <f>SUM(D30:D34)</f>
        <v>15</v>
      </c>
      <c r="E36">
        <f>SUM(E30:E34)</f>
        <v>28</v>
      </c>
      <c r="F36" s="6">
        <f t="shared" si="3"/>
        <v>0.5357142857142857</v>
      </c>
      <c r="I36" s="1" t="s">
        <v>0</v>
      </c>
      <c r="J36">
        <f>SUM(J30:J35)</f>
        <v>23</v>
      </c>
      <c r="K36" s="1">
        <f>SUM(K30:K35)</f>
        <v>31</v>
      </c>
      <c r="L36" s="6">
        <f>IF(K36,J36/K36,0)</f>
        <v>0.74193548387096775</v>
      </c>
      <c r="N36" s="1" t="s">
        <v>0</v>
      </c>
      <c r="O36" s="1">
        <f>SUM(O30:O34)</f>
        <v>11</v>
      </c>
      <c r="P36" s="6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showRuler="0" showWhiteSpace="0" view="pageLayout" zoomScale="50" zoomScaleNormal="100" zoomScalePageLayoutView="50" workbookViewId="0">
      <selection activeCell="BT9" sqref="BT9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x14ac:dyDescent="0.15">
      <c r="K14" s="3"/>
      <c r="L14" s="3"/>
      <c r="M14" s="3"/>
    </row>
    <row r="15" spans="11:13" x14ac:dyDescent="0.15">
      <c r="K15" s="3"/>
      <c r="L15" s="3"/>
      <c r="M15" s="3"/>
    </row>
    <row r="16" spans="11:13" x14ac:dyDescent="0.15">
      <c r="K16" s="3"/>
      <c r="L16" s="3"/>
      <c r="M16" s="3"/>
    </row>
    <row r="17" spans="11:13" x14ac:dyDescent="0.15">
      <c r="K17" s="3"/>
      <c r="L17" s="3"/>
      <c r="M17" s="3"/>
    </row>
    <row r="18" spans="11:13" x14ac:dyDescent="0.15">
      <c r="K18" s="3"/>
      <c r="L18" s="3"/>
      <c r="M18" s="3"/>
    </row>
    <row r="19" spans="11:13" x14ac:dyDescent="0.15">
      <c r="K19" s="3"/>
      <c r="L19" s="3"/>
      <c r="M19" s="3"/>
    </row>
  </sheetData>
  <pageMargins left="0.7" right="0.7" top="0.75" bottom="0.75" header="0.3" footer="0.3"/>
  <pageSetup paperSize="9" orientation="portrait" r:id="rId1"/>
  <headerFooter differentFirst="1">
    <oddFooter>&amp;CAuthor:
Rory Moynihan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5698-D2D4-CB44-B952-E9C9815007AC}">
  <dimension ref="A1:I25"/>
  <sheetViews>
    <sheetView workbookViewId="0">
      <selection activeCell="C25" sqref="C25"/>
    </sheetView>
  </sheetViews>
  <sheetFormatPr baseColWidth="10" defaultRowHeight="13" x14ac:dyDescent="0.15"/>
  <sheetData>
    <row r="1" spans="1:9" x14ac:dyDescent="0.15">
      <c r="A1" s="3" t="s">
        <v>81</v>
      </c>
      <c r="B1" s="3" t="s">
        <v>67</v>
      </c>
      <c r="C1" s="3" t="s">
        <v>68</v>
      </c>
    </row>
    <row r="2" spans="1:9" x14ac:dyDescent="0.15">
      <c r="A2" s="8">
        <v>1</v>
      </c>
      <c r="B2">
        <f>IFERROR(INDEX([1]Possessions!$B$1:$B$21, MATCH(A2,[1]Possessions!$A$1:$A$21,0)),0)</f>
        <v>0</v>
      </c>
      <c r="C2">
        <f>IFERROR(INDEX([1]Tackles!$B$1:$B$21, MATCH(A2,[1]Tackles!$A$1:$A$21,0)),0)</f>
        <v>0</v>
      </c>
    </row>
    <row r="3" spans="1:9" x14ac:dyDescent="0.15">
      <c r="A3" s="8">
        <v>2</v>
      </c>
      <c r="B3">
        <f>IFERROR(INDEX([1]Possessions!$B$1:$B$21, MATCH(A3,[1]Possessions!$A$1:$A$21,0)),0)</f>
        <v>0</v>
      </c>
      <c r="C3">
        <f>IFERROR(INDEX([1]Tackles!$B$1:$B$21, MATCH(A3,[1]Tackles!$A$1:$A$21,0)),0)</f>
        <v>2</v>
      </c>
    </row>
    <row r="4" spans="1:9" x14ac:dyDescent="0.15">
      <c r="A4" s="8">
        <v>3</v>
      </c>
      <c r="B4">
        <f>IFERROR(INDEX([1]Possessions!$B$1:$B$21, MATCH(A4,[1]Possessions!$A$1:$A$21,0)),0)</f>
        <v>0</v>
      </c>
      <c r="C4">
        <f>IFERROR(INDEX([1]Tackles!$B$1:$B$21, MATCH(A4,[1]Tackles!$A$1:$A$21,0)),0)</f>
        <v>2</v>
      </c>
    </row>
    <row r="5" spans="1:9" x14ac:dyDescent="0.15">
      <c r="A5" s="8">
        <v>4</v>
      </c>
      <c r="B5">
        <f>IFERROR(INDEX([1]Possessions!$B$1:$B$21, MATCH(A5,[1]Possessions!$A$1:$A$21,0)),0)</f>
        <v>4</v>
      </c>
      <c r="C5">
        <f>IFERROR(INDEX([1]Tackles!$B$1:$B$21, MATCH(A5,[1]Tackles!$A$1:$A$21,0)),0)</f>
        <v>1</v>
      </c>
    </row>
    <row r="6" spans="1:9" x14ac:dyDescent="0.15">
      <c r="A6" s="8">
        <v>5</v>
      </c>
      <c r="B6">
        <f>IFERROR(INDEX([1]Possessions!$B$1:$B$21, MATCH(A6,[1]Possessions!$A$1:$A$21,0)),0)</f>
        <v>3</v>
      </c>
      <c r="C6">
        <f>IFERROR(INDEX([1]Tackles!$B$1:$B$21, MATCH(A6,[1]Tackles!$A$1:$A$21,0)),0)</f>
        <v>6</v>
      </c>
    </row>
    <row r="7" spans="1:9" ht="18" x14ac:dyDescent="0.25">
      <c r="A7" s="8">
        <v>6</v>
      </c>
      <c r="B7">
        <f>IFERROR(INDEX([1]Possessions!$B$1:$B$21, MATCH(A7,[1]Possessions!$A$1:$A$21,0)),0)</f>
        <v>7</v>
      </c>
      <c r="C7">
        <f>IFERROR(INDEX([1]Tackles!$B$1:$B$21, MATCH(A7,[1]Tackles!$A$1:$A$21,0)),0)</f>
        <v>1</v>
      </c>
      <c r="I7" s="9"/>
    </row>
    <row r="8" spans="1:9" x14ac:dyDescent="0.15">
      <c r="A8" s="8">
        <v>7</v>
      </c>
      <c r="B8">
        <f>IFERROR(INDEX([1]Possessions!$B$1:$B$21, MATCH(A8,[1]Possessions!$A$1:$A$21,0)),0)</f>
        <v>6</v>
      </c>
      <c r="C8">
        <f>IFERROR(INDEX([1]Tackles!$B$1:$B$21, MATCH(A8,[1]Tackles!$A$1:$A$21,0)),0)</f>
        <v>2</v>
      </c>
    </row>
    <row r="9" spans="1:9" x14ac:dyDescent="0.15">
      <c r="A9" s="8">
        <v>8</v>
      </c>
      <c r="B9">
        <f>IFERROR(INDEX([1]Possessions!$B$1:$B$21, MATCH(A9,[1]Possessions!$A$1:$A$21,0)),0)</f>
        <v>0</v>
      </c>
      <c r="C9">
        <f>IFERROR(INDEX([1]Tackles!$B$1:$B$21, MATCH(A9,[1]Tackles!$A$1:$A$21,0)),0)</f>
        <v>4</v>
      </c>
    </row>
    <row r="10" spans="1:9" x14ac:dyDescent="0.15">
      <c r="A10" s="8">
        <v>9</v>
      </c>
      <c r="B10">
        <f>IFERROR(INDEX([1]Possessions!$B$1:$B$21, MATCH(A10,[1]Possessions!$A$1:$A$21,0)),0)</f>
        <v>6</v>
      </c>
      <c r="C10">
        <f>IFERROR(INDEX([1]Tackles!$B$1:$B$21, MATCH(A10,[1]Tackles!$A$1:$A$21,0)),0)</f>
        <v>4</v>
      </c>
    </row>
    <row r="11" spans="1:9" x14ac:dyDescent="0.15">
      <c r="A11" s="8">
        <v>10</v>
      </c>
      <c r="B11">
        <f>IFERROR(INDEX([1]Possessions!$B$1:$B$21, MATCH(A11,[1]Possessions!$A$1:$A$21,0)),0)</f>
        <v>12</v>
      </c>
      <c r="C11">
        <f>IFERROR(INDEX([1]Tackles!$B$1:$B$21, MATCH(A11,[1]Tackles!$A$1:$A$21,0)),0)</f>
        <v>1</v>
      </c>
    </row>
    <row r="12" spans="1:9" x14ac:dyDescent="0.15">
      <c r="A12" s="8">
        <v>11</v>
      </c>
      <c r="B12">
        <f>IFERROR(INDEX([1]Possessions!$B$1:$B$21, MATCH(A12,[1]Possessions!$A$1:$A$21,0)),0)</f>
        <v>11</v>
      </c>
      <c r="C12">
        <f>IFERROR(INDEX([1]Tackles!$B$1:$B$21, MATCH(A12,[1]Tackles!$A$1:$A$21,0)),0)</f>
        <v>4</v>
      </c>
    </row>
    <row r="13" spans="1:9" x14ac:dyDescent="0.15">
      <c r="A13" s="8">
        <v>12</v>
      </c>
      <c r="B13">
        <f>IFERROR(INDEX([1]Possessions!$B$1:$B$21, MATCH(A13,[1]Possessions!$A$1:$A$21,0)),0)</f>
        <v>1</v>
      </c>
      <c r="C13">
        <f>IFERROR(INDEX([1]Tackles!$B$1:$B$21, MATCH(A13,[1]Tackles!$A$1:$A$21,0)),0)</f>
        <v>0</v>
      </c>
    </row>
    <row r="14" spans="1:9" x14ac:dyDescent="0.15">
      <c r="A14" s="8">
        <v>13</v>
      </c>
      <c r="B14">
        <f>IFERROR(INDEX([1]Possessions!$B$1:$B$21, MATCH(A14,[1]Possessions!$A$1:$A$21,0)),0)</f>
        <v>2</v>
      </c>
      <c r="C14">
        <f>IFERROR(INDEX([1]Tackles!$B$1:$B$21, MATCH(A14,[1]Tackles!$A$1:$A$21,0)),0)</f>
        <v>0</v>
      </c>
    </row>
    <row r="15" spans="1:9" x14ac:dyDescent="0.15">
      <c r="A15" s="8">
        <v>14</v>
      </c>
      <c r="B15">
        <f>IFERROR(INDEX([1]Possessions!$B$1:$B$21, MATCH(A15,[1]Possessions!$A$1:$A$21,0)),0)</f>
        <v>3</v>
      </c>
      <c r="C15">
        <f>IFERROR(INDEX([1]Tackles!$B$1:$B$21, MATCH(A15,[1]Tackles!$A$1:$A$21,0)),0)</f>
        <v>4</v>
      </c>
    </row>
    <row r="16" spans="1:9" x14ac:dyDescent="0.15">
      <c r="A16" s="8">
        <v>15</v>
      </c>
      <c r="B16">
        <f>IFERROR(INDEX([1]Possessions!$B$1:$B$21, MATCH(A16,[1]Possessions!$A$1:$A$21,0)),0)</f>
        <v>8</v>
      </c>
      <c r="C16">
        <f>IFERROR(INDEX([1]Tackles!$B$1:$B$21, MATCH(A16,[1]Tackles!$A$1:$A$21,0)),0)</f>
        <v>2</v>
      </c>
    </row>
    <row r="17" spans="1:3" x14ac:dyDescent="0.15">
      <c r="A17" s="8">
        <v>16</v>
      </c>
      <c r="B17">
        <f>IFERROR(INDEX([1]Possessions!$B$1:$B$21, MATCH(A17,[1]Possessions!$A$1:$A$21,0)),0)</f>
        <v>1</v>
      </c>
      <c r="C17">
        <f>IFERROR(INDEX([1]Tackles!$B$1:$B$21, MATCH(A17,[1]Tackles!$A$1:$A$21,0)),0)</f>
        <v>1</v>
      </c>
    </row>
    <row r="18" spans="1:3" x14ac:dyDescent="0.15">
      <c r="A18" s="8">
        <v>17</v>
      </c>
      <c r="B18">
        <f>IFERROR(INDEX([1]Possessions!$B$1:$B$21, MATCH(A18,[1]Possessions!$A$1:$A$21,0)),0)</f>
        <v>0</v>
      </c>
      <c r="C18">
        <f>IFERROR(INDEX([1]Tackles!$B$1:$B$21, MATCH(A18,[1]Tackles!$A$1:$A$21,0)),0)</f>
        <v>0</v>
      </c>
    </row>
    <row r="19" spans="1:3" x14ac:dyDescent="0.15">
      <c r="A19" s="8">
        <v>18</v>
      </c>
      <c r="B19">
        <f>IFERROR(INDEX([1]Possessions!$B$1:$B$21, MATCH(A19,[1]Possessions!$A$1:$A$21,0)),0)</f>
        <v>4</v>
      </c>
      <c r="C19">
        <f>IFERROR(INDEX([1]Tackles!$B$1:$B$21, MATCH(A19,[1]Tackles!$A$1:$A$21,0)),0)</f>
        <v>4</v>
      </c>
    </row>
    <row r="20" spans="1:3" x14ac:dyDescent="0.15">
      <c r="A20" s="8">
        <v>19</v>
      </c>
      <c r="B20">
        <f>IFERROR(INDEX([1]Possessions!$B$1:$B$21, MATCH(A20,[1]Possessions!$A$1:$A$21,0)),0)</f>
        <v>0</v>
      </c>
      <c r="C20">
        <f>IFERROR(INDEX([1]Tackles!$B$1:$B$21, MATCH(A20,[1]Tackles!$A$1:$A$21,0)),0)</f>
        <v>0</v>
      </c>
    </row>
    <row r="21" spans="1:3" x14ac:dyDescent="0.15">
      <c r="A21" s="8">
        <v>20</v>
      </c>
      <c r="B21">
        <f>IFERROR(INDEX([1]Possessions!$B$1:$B$21, MATCH(A21,[1]Possessions!$A$1:$A$21,0)),0)</f>
        <v>1</v>
      </c>
      <c r="C21">
        <f>IFERROR(INDEX([1]Tackles!$B$1:$B$21, MATCH(A21,[1]Tackles!$A$1:$A$21,0)),0)</f>
        <v>0</v>
      </c>
    </row>
    <row r="22" spans="1:3" x14ac:dyDescent="0.15">
      <c r="A22" s="8">
        <v>21</v>
      </c>
      <c r="B22">
        <f>IFERROR(INDEX([1]Possessions!$B$1:$B$21, MATCH(A22,[1]Possessions!$A$1:$A$21,0)),0)</f>
        <v>0</v>
      </c>
      <c r="C22">
        <f>IFERROR(INDEX([1]Tackles!$B$1:$B$21, MATCH(A22,[1]Tackles!$A$1:$A$21,0)),0)</f>
        <v>0</v>
      </c>
    </row>
    <row r="25" spans="1:3" x14ac:dyDescent="0.15">
      <c r="B25">
        <f>SUM(B2:B24)</f>
        <v>69</v>
      </c>
      <c r="C25">
        <f>SUM(C2:C24)</f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CBB3-2F17-654D-9459-4162304B79F0}">
  <dimension ref="B11:M52"/>
  <sheetViews>
    <sheetView showGridLines="0" showRowColHeaders="0" tabSelected="1" showRuler="0" view="pageLayout" topLeftCell="AQ1" zoomScale="120" zoomScaleNormal="100" zoomScalePageLayoutView="120" workbookViewId="0">
      <selection activeCell="AX6" sqref="AX6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ht="14" customHeight="1" x14ac:dyDescent="0.15">
      <c r="K14" s="3"/>
      <c r="L14" s="3"/>
      <c r="M14" s="3"/>
    </row>
    <row r="15" spans="11:13" ht="14" customHeight="1" x14ac:dyDescent="0.15">
      <c r="K15" s="3"/>
      <c r="L15" s="3"/>
      <c r="M15" s="3"/>
    </row>
    <row r="16" spans="11:13" ht="14" customHeight="1" x14ac:dyDescent="0.15">
      <c r="K16" s="3"/>
      <c r="L16" s="3"/>
      <c r="M16" s="3"/>
    </row>
    <row r="17" spans="2:13" ht="14" customHeight="1" x14ac:dyDescent="0.15">
      <c r="K17" s="3"/>
      <c r="L17" s="3"/>
      <c r="M17" s="3"/>
    </row>
    <row r="18" spans="2:13" x14ac:dyDescent="0.15">
      <c r="K18" s="3"/>
      <c r="L18" s="3"/>
      <c r="M18" s="3"/>
    </row>
    <row r="19" spans="2:13" x14ac:dyDescent="0.15">
      <c r="K19" s="3"/>
      <c r="L19" s="3"/>
      <c r="M19" s="3"/>
    </row>
    <row r="28" spans="2:13" ht="14" thickBot="1" x14ac:dyDescent="0.2"/>
    <row r="29" spans="2:13" ht="14" customHeight="1" thickTop="1" x14ac:dyDescent="0.15">
      <c r="B29" s="10" t="s">
        <v>65</v>
      </c>
      <c r="C29" s="12" t="str">
        <f>MatchANALYSIS!D3</f>
        <v>home</v>
      </c>
      <c r="D29" s="13"/>
      <c r="E29" s="29" t="str">
        <f>MatchANALYSIS!C3</f>
        <v>away</v>
      </c>
      <c r="F29" s="30"/>
    </row>
    <row r="30" spans="2:13" ht="14" customHeight="1" thickBot="1" x14ac:dyDescent="0.2">
      <c r="B30" s="11"/>
      <c r="C30" s="14"/>
      <c r="D30" s="15"/>
      <c r="E30" s="31"/>
      <c r="F30" s="32"/>
    </row>
    <row r="31" spans="2:13" ht="14" customHeight="1" thickTop="1" x14ac:dyDescent="0.15">
      <c r="B31" s="10" t="str">
        <f>MatchANALYSIS!$B$2</f>
        <v>Score</v>
      </c>
      <c r="C31" s="12">
        <f>MatchANALYSIS!D7</f>
        <v>28</v>
      </c>
      <c r="D31" s="13"/>
      <c r="E31" s="29">
        <f>MatchANALYSIS!C7</f>
        <v>21</v>
      </c>
      <c r="F31" s="30"/>
    </row>
    <row r="32" spans="2:13" ht="14" customHeight="1" thickBot="1" x14ac:dyDescent="0.2">
      <c r="B32" s="11"/>
      <c r="C32" s="14"/>
      <c r="D32" s="15"/>
      <c r="E32" s="31"/>
      <c r="F32" s="32"/>
    </row>
    <row r="33" spans="2:6" ht="14" customHeight="1" thickTop="1" x14ac:dyDescent="0.15">
      <c r="B33" s="10" t="str">
        <f>MatchANALYSIS!$F$21</f>
        <v>Efficiency</v>
      </c>
      <c r="C33" s="20">
        <f>MatchANALYSIS!H21</f>
        <v>0.75</v>
      </c>
      <c r="D33" s="21"/>
      <c r="E33" s="25">
        <f>MatchANALYSIS!G21</f>
        <v>0.5757575757575758</v>
      </c>
      <c r="F33" s="26"/>
    </row>
    <row r="34" spans="2:6" ht="14" customHeight="1" thickBot="1" x14ac:dyDescent="0.2">
      <c r="B34" s="11"/>
      <c r="C34" s="22"/>
      <c r="D34" s="23"/>
      <c r="E34" s="27"/>
      <c r="F34" s="28"/>
    </row>
    <row r="35" spans="2:6" ht="14" customHeight="1" thickTop="1" x14ac:dyDescent="0.15">
      <c r="B35" s="10" t="s">
        <v>15</v>
      </c>
      <c r="C35" s="20">
        <f>MatchANALYSIS!D15</f>
        <v>0.49019607843137253</v>
      </c>
      <c r="D35" s="21"/>
      <c r="E35" s="25">
        <f>MatchANALYSIS!C15</f>
        <v>0.50980392156862742</v>
      </c>
      <c r="F35" s="26"/>
    </row>
    <row r="36" spans="2:6" ht="14" customHeight="1" thickBot="1" x14ac:dyDescent="0.2">
      <c r="B36" s="11"/>
      <c r="C36" s="22"/>
      <c r="D36" s="23"/>
      <c r="E36" s="27"/>
      <c r="F36" s="28"/>
    </row>
    <row r="37" spans="2:6" ht="14" customHeight="1" thickTop="1" x14ac:dyDescent="0.15">
      <c r="B37" s="10" t="s">
        <v>4</v>
      </c>
      <c r="C37" s="12">
        <f>MatchANALYSIS!H28</f>
        <v>12</v>
      </c>
      <c r="D37" s="13"/>
      <c r="E37" s="29">
        <f>MatchANALYSIS!G28</f>
        <v>14</v>
      </c>
      <c r="F37" s="30"/>
    </row>
    <row r="38" spans="2:6" ht="14" customHeight="1" thickBot="1" x14ac:dyDescent="0.2">
      <c r="B38" s="11"/>
      <c r="C38" s="14"/>
      <c r="D38" s="15"/>
      <c r="E38" s="31"/>
      <c r="F38" s="32"/>
    </row>
    <row r="39" spans="2:6" ht="14" thickTop="1" x14ac:dyDescent="0.15"/>
    <row r="41" spans="2:6" ht="14" thickBot="1" x14ac:dyDescent="0.2"/>
    <row r="42" spans="2:6" ht="14" customHeight="1" thickTop="1" x14ac:dyDescent="0.15">
      <c r="B42" s="10" t="s">
        <v>66</v>
      </c>
      <c r="C42" s="12" t="str">
        <f>MatchANALYSIS!D3</f>
        <v>home</v>
      </c>
      <c r="D42" s="13"/>
      <c r="E42" s="16" t="s">
        <v>66</v>
      </c>
      <c r="F42" s="17"/>
    </row>
    <row r="43" spans="2:6" ht="14" customHeight="1" thickBot="1" x14ac:dyDescent="0.2">
      <c r="B43" s="11"/>
      <c r="C43" s="14"/>
      <c r="D43" s="15"/>
      <c r="E43" s="18"/>
      <c r="F43" s="19"/>
    </row>
    <row r="44" spans="2:6" ht="14" customHeight="1" thickTop="1" x14ac:dyDescent="0.15">
      <c r="B44" s="10" t="s">
        <v>14</v>
      </c>
      <c r="C44" s="12">
        <f>MatchANALYSIS!D7</f>
        <v>28</v>
      </c>
      <c r="D44" s="13"/>
      <c r="E44" s="16">
        <v>25</v>
      </c>
      <c r="F44" s="17"/>
    </row>
    <row r="45" spans="2:6" ht="14" customHeight="1" thickBot="1" x14ac:dyDescent="0.2">
      <c r="B45" s="11"/>
      <c r="C45" s="14"/>
      <c r="D45" s="15"/>
      <c r="E45" s="18"/>
      <c r="F45" s="19"/>
    </row>
    <row r="46" spans="2:6" ht="14" customHeight="1" thickTop="1" x14ac:dyDescent="0.15">
      <c r="B46" s="10" t="s">
        <v>29</v>
      </c>
      <c r="C46" s="20">
        <f>MatchANALYSIS!H21</f>
        <v>0.75</v>
      </c>
      <c r="D46" s="21"/>
      <c r="E46" s="24">
        <v>0.66</v>
      </c>
      <c r="F46" s="17"/>
    </row>
    <row r="47" spans="2:6" ht="14" customHeight="1" thickBot="1" x14ac:dyDescent="0.2">
      <c r="B47" s="11"/>
      <c r="C47" s="22"/>
      <c r="D47" s="23"/>
      <c r="E47" s="18"/>
      <c r="F47" s="19"/>
    </row>
    <row r="48" spans="2:6" ht="14" customHeight="1" thickTop="1" x14ac:dyDescent="0.15">
      <c r="B48" s="10" t="s">
        <v>15</v>
      </c>
      <c r="C48" s="20">
        <f>MatchANALYSIS!D15</f>
        <v>0.49019607843137253</v>
      </c>
      <c r="D48" s="21"/>
      <c r="E48" s="24">
        <v>0.53</v>
      </c>
      <c r="F48" s="17"/>
    </row>
    <row r="49" spans="2:6" ht="14" customHeight="1" thickBot="1" x14ac:dyDescent="0.2">
      <c r="B49" s="11"/>
      <c r="C49" s="22"/>
      <c r="D49" s="23"/>
      <c r="E49" s="18"/>
      <c r="F49" s="19"/>
    </row>
    <row r="50" spans="2:6" ht="14" customHeight="1" thickTop="1" x14ac:dyDescent="0.15">
      <c r="B50" s="10" t="s">
        <v>4</v>
      </c>
      <c r="C50" s="12">
        <f>MatchANALYSIS!H28</f>
        <v>12</v>
      </c>
      <c r="D50" s="13"/>
      <c r="E50" s="16">
        <v>10</v>
      </c>
      <c r="F50" s="17"/>
    </row>
    <row r="51" spans="2:6" ht="14" customHeight="1" thickBot="1" x14ac:dyDescent="0.2">
      <c r="B51" s="11"/>
      <c r="C51" s="14"/>
      <c r="D51" s="15"/>
      <c r="E51" s="18"/>
      <c r="F51" s="19"/>
    </row>
    <row r="52" spans="2:6" ht="14" thickTop="1" x14ac:dyDescent="0.15"/>
  </sheetData>
  <mergeCells count="30">
    <mergeCell ref="E29:F30"/>
    <mergeCell ref="E31:F32"/>
    <mergeCell ref="C31:D32"/>
    <mergeCell ref="C29:D30"/>
    <mergeCell ref="E33:F34"/>
    <mergeCell ref="E35:F36"/>
    <mergeCell ref="E37:F38"/>
    <mergeCell ref="C33:D34"/>
    <mergeCell ref="C35:D36"/>
    <mergeCell ref="C37:D38"/>
    <mergeCell ref="C42:D43"/>
    <mergeCell ref="E42:F43"/>
    <mergeCell ref="C44:D45"/>
    <mergeCell ref="E44:F45"/>
    <mergeCell ref="B42:B43"/>
    <mergeCell ref="B44:B45"/>
    <mergeCell ref="C50:D51"/>
    <mergeCell ref="E50:F51"/>
    <mergeCell ref="B50:B51"/>
    <mergeCell ref="C46:D47"/>
    <mergeCell ref="E46:F47"/>
    <mergeCell ref="C48:D49"/>
    <mergeCell ref="E48:F49"/>
    <mergeCell ref="B46:B47"/>
    <mergeCell ref="B48:B49"/>
    <mergeCell ref="B29:B30"/>
    <mergeCell ref="B31:B32"/>
    <mergeCell ref="B33:B34"/>
    <mergeCell ref="B35:B36"/>
    <mergeCell ref="B37:B38"/>
  </mergeCells>
  <pageMargins left="0.7" right="0.7" top="0.75" bottom="0.75" header="0.3" footer="0.3"/>
  <pageSetup paperSize="9" orientation="portrait" r:id="rId1"/>
  <headerFooter differentFirst="1">
    <oddHeader>&amp;C&amp;"Verdana,Italic"&amp;K00-023Galway U20 2019</oddHeader>
    <oddFooter>&amp;C&amp;"System Font,Italic"&amp;K00-023&amp;D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P&amp;T</vt:lpstr>
      <vt:lpstr>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Rory Moynihan</dc:creator>
  <cp:keywords/>
  <dc:description/>
  <cp:lastModifiedBy>Microsoft Office User</cp:lastModifiedBy>
  <cp:revision/>
  <cp:lastPrinted>2019-06-12T12:38:42Z</cp:lastPrinted>
  <dcterms:created xsi:type="dcterms:W3CDTF">2011-04-04T13:53:55Z</dcterms:created>
  <dcterms:modified xsi:type="dcterms:W3CDTF">2019-06-13T15:48:45Z</dcterms:modified>
  <cp:category/>
  <cp:contentStatus/>
</cp:coreProperties>
</file>