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moyniha/PycharmProjects/matchreporter/matchreporter/match-analysis-report_away_home_13-06-2019/"/>
    </mc:Choice>
  </mc:AlternateContent>
  <xr:revisionPtr revIDLastSave="0" documentId="13_ncr:1_{3412F7CA-23EF-B943-A954-1853F3441F9A}" xr6:coauthVersionLast="43" xr6:coauthVersionMax="43" xr10:uidLastSave="{00000000-0000-0000-0000-000000000000}"/>
  <bookViews>
    <workbookView xWindow="2840" yWindow="460" windowWidth="36400" windowHeight="26720" tabRatio="716" activeTab="8" xr2:uid="{00000000-000D-0000-FFFF-FFFF00000000}"/>
  </bookViews>
  <sheets>
    <sheet name="MatchANALYSIS" sheetId="19" r:id="rId1"/>
    <sheet name="Players1ANALYSIS" sheetId="27" r:id="rId2"/>
    <sheet name="Players2ANALYSIS" sheetId="31" r:id="rId3"/>
    <sheet name="TimeSectorANALYSIS" sheetId="20" r:id="rId4"/>
    <sheet name="Location1ANALYSIS" sheetId="21" r:id="rId5"/>
    <sheet name="Location2ANALYSIS" sheetId="22" r:id="rId6"/>
    <sheet name="Report" sheetId="17" r:id="rId7"/>
    <sheet name="P&amp;T" sheetId="36" r:id="rId8"/>
    <sheet name="Scorecard" sheetId="35" r:id="rId9"/>
  </sheets>
  <externalReferences>
    <externalReference r:id="rId10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22" l="1"/>
  <c r="E25" i="22"/>
  <c r="K21" i="22" l="1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G10" i="19"/>
  <c r="H8" i="19"/>
  <c r="G8" i="19"/>
  <c r="H7" i="19"/>
  <c r="G7" i="19"/>
  <c r="H6" i="19"/>
  <c r="G6" i="19"/>
  <c r="J4" i="22"/>
  <c r="J30" i="22" s="1"/>
  <c r="J5" i="22"/>
  <c r="J26" i="22" s="1"/>
  <c r="J6" i="22"/>
  <c r="J25" i="22" s="1"/>
  <c r="J7" i="22"/>
  <c r="J27" i="22" s="1"/>
  <c r="J8" i="22"/>
  <c r="J9" i="22"/>
  <c r="J10" i="22"/>
  <c r="J21" i="22"/>
  <c r="J20" i="22"/>
  <c r="J19" i="22"/>
  <c r="J35" i="22" s="1"/>
  <c r="J18" i="22"/>
  <c r="J17" i="22"/>
  <c r="J16" i="22"/>
  <c r="J34" i="22" s="1"/>
  <c r="J15" i="22"/>
  <c r="J14" i="22"/>
  <c r="J13" i="22"/>
  <c r="J33" i="22" s="1"/>
  <c r="J12" i="22"/>
  <c r="J11" i="22"/>
  <c r="J32" i="22" s="1"/>
  <c r="H11" i="19"/>
  <c r="G11" i="19"/>
  <c r="G14" i="19"/>
  <c r="H14" i="19"/>
  <c r="J22" i="22" l="1"/>
  <c r="J31" i="22"/>
  <c r="J36" i="22" s="1"/>
  <c r="K35" i="22"/>
  <c r="L35" i="22" s="1"/>
  <c r="K34" i="22"/>
  <c r="L34" i="22" s="1"/>
  <c r="K33" i="22"/>
  <c r="L33" i="22" s="1"/>
  <c r="K32" i="22"/>
  <c r="L32" i="22" s="1"/>
  <c r="K25" i="22"/>
  <c r="K26" i="22"/>
  <c r="L26" i="22" s="1"/>
  <c r="K31" i="22"/>
  <c r="K30" i="22"/>
  <c r="K27" i="22"/>
  <c r="L27" i="22" s="1"/>
  <c r="K22" i="22"/>
  <c r="K35" i="21"/>
  <c r="K34" i="21"/>
  <c r="K33" i="21"/>
  <c r="K32" i="21"/>
  <c r="K31" i="21"/>
  <c r="K30" i="21"/>
  <c r="K22" i="21"/>
  <c r="J28" i="22"/>
  <c r="K25" i="21"/>
  <c r="K26" i="21"/>
  <c r="O21" i="22"/>
  <c r="O20" i="22"/>
  <c r="O19" i="22"/>
  <c r="E21" i="22"/>
  <c r="E20" i="22"/>
  <c r="K36" i="21" l="1"/>
  <c r="L31" i="22"/>
  <c r="K36" i="22"/>
  <c r="L36" i="22" s="1"/>
  <c r="L30" i="22"/>
  <c r="L25" i="22"/>
  <c r="K28" i="22"/>
  <c r="L28" i="22" s="1"/>
  <c r="O35" i="22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3" i="36"/>
  <c r="B4" i="36"/>
  <c r="B5" i="36"/>
  <c r="B2" i="36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" i="36"/>
  <c r="J21" i="21"/>
  <c r="J20" i="21"/>
  <c r="J19" i="21"/>
  <c r="C25" i="36" l="1"/>
  <c r="B25" i="36"/>
  <c r="J35" i="21"/>
  <c r="J10" i="20"/>
  <c r="J9" i="20"/>
  <c r="J8" i="20"/>
  <c r="J7" i="20"/>
  <c r="J6" i="20"/>
  <c r="J5" i="20"/>
  <c r="I10" i="20"/>
  <c r="I9" i="20"/>
  <c r="I8" i="20"/>
  <c r="I7" i="20"/>
  <c r="I6" i="20"/>
  <c r="I5" i="20"/>
  <c r="O18" i="22"/>
  <c r="O17" i="22"/>
  <c r="O16" i="22"/>
  <c r="O15" i="22"/>
  <c r="O14" i="22"/>
  <c r="O13" i="22"/>
  <c r="O12" i="22"/>
  <c r="O11" i="22"/>
  <c r="O10" i="22"/>
  <c r="O9" i="22"/>
  <c r="O8" i="22"/>
  <c r="O7" i="22"/>
  <c r="O6" i="22"/>
  <c r="O5" i="22"/>
  <c r="O4" i="22"/>
  <c r="D21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E8" i="22"/>
  <c r="D8" i="22"/>
  <c r="E7" i="22"/>
  <c r="D7" i="22"/>
  <c r="E6" i="22"/>
  <c r="D6" i="22"/>
  <c r="E5" i="22"/>
  <c r="D5" i="22"/>
  <c r="E4" i="22"/>
  <c r="D4" i="22"/>
  <c r="C2" i="22"/>
  <c r="O21" i="21"/>
  <c r="O20" i="21"/>
  <c r="O19" i="21"/>
  <c r="O35" i="21" s="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J18" i="21"/>
  <c r="J17" i="21"/>
  <c r="J16" i="21"/>
  <c r="J15" i="21"/>
  <c r="J14" i="21"/>
  <c r="J13" i="21"/>
  <c r="J12" i="21"/>
  <c r="J11" i="21"/>
  <c r="J10" i="21"/>
  <c r="J32" i="21" s="1"/>
  <c r="J9" i="21"/>
  <c r="J8" i="21"/>
  <c r="J7" i="21"/>
  <c r="J6" i="21"/>
  <c r="J5" i="21"/>
  <c r="J4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E8" i="21"/>
  <c r="D8" i="21"/>
  <c r="E7" i="21"/>
  <c r="D7" i="21"/>
  <c r="E6" i="21"/>
  <c r="D6" i="21"/>
  <c r="E5" i="21"/>
  <c r="D5" i="21"/>
  <c r="E4" i="21"/>
  <c r="D4" i="21"/>
  <c r="C2" i="21"/>
  <c r="D44" i="20"/>
  <c r="D43" i="20"/>
  <c r="D42" i="20"/>
  <c r="D41" i="20"/>
  <c r="D40" i="20"/>
  <c r="D39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D21" i="20"/>
  <c r="D20" i="20"/>
  <c r="D19" i="20"/>
  <c r="D18" i="20"/>
  <c r="D17" i="20"/>
  <c r="D16" i="20"/>
  <c r="C44" i="20"/>
  <c r="C43" i="20"/>
  <c r="C42" i="20"/>
  <c r="C41" i="20"/>
  <c r="C40" i="20"/>
  <c r="C39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C21" i="20"/>
  <c r="C20" i="20"/>
  <c r="C19" i="20"/>
  <c r="C18" i="20"/>
  <c r="C17" i="20"/>
  <c r="C16" i="20"/>
  <c r="D37" i="20"/>
  <c r="C37" i="20"/>
  <c r="J26" i="20"/>
  <c r="C26" i="20"/>
  <c r="D14" i="20"/>
  <c r="C14" i="20"/>
  <c r="G3" i="20"/>
  <c r="D10" i="20"/>
  <c r="C10" i="20"/>
  <c r="D9" i="20"/>
  <c r="C9" i="20"/>
  <c r="D8" i="20"/>
  <c r="C8" i="20"/>
  <c r="D7" i="20"/>
  <c r="C7" i="20"/>
  <c r="D6" i="20"/>
  <c r="C6" i="20"/>
  <c r="D5" i="20"/>
  <c r="C5" i="20"/>
  <c r="C3" i="20"/>
  <c r="G20" i="31"/>
  <c r="D20" i="31"/>
  <c r="C20" i="31"/>
  <c r="B20" i="31"/>
  <c r="E20" i="31" s="1"/>
  <c r="A20" i="31"/>
  <c r="G19" i="31"/>
  <c r="D19" i="31"/>
  <c r="C19" i="31"/>
  <c r="B19" i="31"/>
  <c r="A19" i="31"/>
  <c r="G18" i="31"/>
  <c r="D18" i="31"/>
  <c r="C18" i="31"/>
  <c r="B18" i="31"/>
  <c r="A18" i="31"/>
  <c r="G17" i="31"/>
  <c r="D17" i="31"/>
  <c r="C17" i="31"/>
  <c r="B17" i="31"/>
  <c r="A17" i="31"/>
  <c r="G16" i="31"/>
  <c r="D16" i="31"/>
  <c r="C16" i="31"/>
  <c r="B16" i="31"/>
  <c r="A16" i="31"/>
  <c r="G15" i="31"/>
  <c r="D15" i="31"/>
  <c r="C15" i="31"/>
  <c r="E15" i="31" s="1"/>
  <c r="B15" i="31"/>
  <c r="A15" i="31"/>
  <c r="G14" i="31"/>
  <c r="D14" i="31"/>
  <c r="C14" i="31"/>
  <c r="B14" i="31"/>
  <c r="A14" i="31"/>
  <c r="G13" i="31"/>
  <c r="D13" i="31"/>
  <c r="C13" i="31"/>
  <c r="B13" i="31"/>
  <c r="A13" i="31"/>
  <c r="G12" i="31"/>
  <c r="D12" i="31"/>
  <c r="C12" i="31"/>
  <c r="B12" i="31"/>
  <c r="A12" i="31"/>
  <c r="G11" i="31"/>
  <c r="D11" i="31"/>
  <c r="C11" i="31"/>
  <c r="B11" i="31"/>
  <c r="A11" i="31"/>
  <c r="G10" i="31"/>
  <c r="D10" i="31"/>
  <c r="C10" i="31"/>
  <c r="B10" i="31"/>
  <c r="A10" i="31"/>
  <c r="G9" i="31"/>
  <c r="D9" i="31"/>
  <c r="C9" i="31"/>
  <c r="B9" i="31"/>
  <c r="A9" i="31"/>
  <c r="G8" i="31"/>
  <c r="D8" i="31"/>
  <c r="C8" i="31"/>
  <c r="B8" i="31"/>
  <c r="A8" i="31"/>
  <c r="G7" i="31"/>
  <c r="D7" i="31"/>
  <c r="C7" i="31"/>
  <c r="B7" i="31"/>
  <c r="A7" i="31"/>
  <c r="G6" i="31"/>
  <c r="D6" i="31"/>
  <c r="C6" i="31"/>
  <c r="B6" i="31"/>
  <c r="A6" i="31"/>
  <c r="G5" i="31"/>
  <c r="D5" i="31"/>
  <c r="C5" i="31"/>
  <c r="B5" i="31"/>
  <c r="A5" i="31"/>
  <c r="G4" i="31"/>
  <c r="D4" i="31"/>
  <c r="C4" i="31"/>
  <c r="B4" i="31"/>
  <c r="A4" i="31"/>
  <c r="G3" i="31"/>
  <c r="D3" i="31"/>
  <c r="C3" i="31"/>
  <c r="B3" i="31"/>
  <c r="A3" i="31"/>
  <c r="G2" i="31"/>
  <c r="D2" i="31"/>
  <c r="C2" i="31"/>
  <c r="B2" i="31"/>
  <c r="A2" i="31"/>
  <c r="G20" i="27"/>
  <c r="D20" i="27"/>
  <c r="C20" i="27"/>
  <c r="B20" i="27"/>
  <c r="A20" i="27"/>
  <c r="G19" i="27"/>
  <c r="D19" i="27"/>
  <c r="C19" i="27"/>
  <c r="B19" i="27"/>
  <c r="A19" i="27"/>
  <c r="G18" i="27"/>
  <c r="D18" i="27"/>
  <c r="C18" i="27"/>
  <c r="B18" i="27"/>
  <c r="A18" i="27"/>
  <c r="G17" i="27"/>
  <c r="D17" i="27"/>
  <c r="C17" i="27"/>
  <c r="B17" i="27"/>
  <c r="A17" i="27"/>
  <c r="G16" i="27"/>
  <c r="D16" i="27"/>
  <c r="C16" i="27"/>
  <c r="B16" i="27"/>
  <c r="A16" i="27"/>
  <c r="G15" i="27"/>
  <c r="D15" i="27"/>
  <c r="C15" i="27"/>
  <c r="B15" i="27"/>
  <c r="A15" i="27"/>
  <c r="G14" i="27"/>
  <c r="D14" i="27"/>
  <c r="C14" i="27"/>
  <c r="B14" i="27"/>
  <c r="A14" i="27"/>
  <c r="G13" i="27"/>
  <c r="D13" i="27"/>
  <c r="C13" i="27"/>
  <c r="B13" i="27"/>
  <c r="A13" i="27"/>
  <c r="G12" i="27"/>
  <c r="D12" i="27"/>
  <c r="C12" i="27"/>
  <c r="B12" i="27"/>
  <c r="A12" i="27"/>
  <c r="G11" i="27"/>
  <c r="D11" i="27"/>
  <c r="C11" i="27"/>
  <c r="B11" i="27"/>
  <c r="E11" i="27" s="1"/>
  <c r="A11" i="27"/>
  <c r="G10" i="27"/>
  <c r="D10" i="27"/>
  <c r="C10" i="27"/>
  <c r="B10" i="27"/>
  <c r="A10" i="27"/>
  <c r="G9" i="27"/>
  <c r="D9" i="27"/>
  <c r="C9" i="27"/>
  <c r="B9" i="27"/>
  <c r="A9" i="27"/>
  <c r="G8" i="27"/>
  <c r="D8" i="27"/>
  <c r="C8" i="27"/>
  <c r="B8" i="27"/>
  <c r="A8" i="27"/>
  <c r="G7" i="27"/>
  <c r="D7" i="27"/>
  <c r="C7" i="27"/>
  <c r="B7" i="27"/>
  <c r="A7" i="27"/>
  <c r="G6" i="27"/>
  <c r="D6" i="27"/>
  <c r="C6" i="27"/>
  <c r="B6" i="27"/>
  <c r="A6" i="27"/>
  <c r="G5" i="27"/>
  <c r="D5" i="27"/>
  <c r="C5" i="27"/>
  <c r="B5" i="27"/>
  <c r="A5" i="27"/>
  <c r="G4" i="27"/>
  <c r="D4" i="27"/>
  <c r="C4" i="27"/>
  <c r="B4" i="27"/>
  <c r="A4" i="27"/>
  <c r="G3" i="27"/>
  <c r="D3" i="27"/>
  <c r="C3" i="27"/>
  <c r="B3" i="27"/>
  <c r="E3" i="27" s="1"/>
  <c r="A3" i="27"/>
  <c r="G2" i="27"/>
  <c r="D2" i="27"/>
  <c r="C2" i="27"/>
  <c r="B2" i="27"/>
  <c r="A2" i="27"/>
  <c r="H28" i="19"/>
  <c r="G28" i="19"/>
  <c r="H27" i="19"/>
  <c r="G27" i="19"/>
  <c r="H26" i="19"/>
  <c r="G26" i="19"/>
  <c r="H25" i="19"/>
  <c r="G25" i="19"/>
  <c r="H24" i="19"/>
  <c r="G24" i="19"/>
  <c r="H15" i="19"/>
  <c r="G15" i="19"/>
  <c r="D14" i="19"/>
  <c r="C14" i="19"/>
  <c r="H13" i="19"/>
  <c r="G13" i="19"/>
  <c r="D13" i="19"/>
  <c r="C13" i="19"/>
  <c r="H12" i="19"/>
  <c r="G12" i="19"/>
  <c r="D11" i="19"/>
  <c r="C11" i="19"/>
  <c r="H10" i="19"/>
  <c r="H9" i="19"/>
  <c r="G9" i="19"/>
  <c r="H5" i="19"/>
  <c r="G5" i="19"/>
  <c r="D5" i="19"/>
  <c r="C5" i="19"/>
  <c r="H4" i="19"/>
  <c r="G4" i="19"/>
  <c r="D4" i="19"/>
  <c r="C4" i="19"/>
  <c r="H3" i="19"/>
  <c r="G3" i="19"/>
  <c r="D3" i="19"/>
  <c r="C3" i="19"/>
  <c r="D34" i="21" l="1"/>
  <c r="E6" i="27"/>
  <c r="E14" i="27"/>
  <c r="E11" i="31"/>
  <c r="D33" i="21"/>
  <c r="O22" i="21"/>
  <c r="J22" i="21"/>
  <c r="E2" i="27"/>
  <c r="E10" i="27"/>
  <c r="E16" i="31"/>
  <c r="O32" i="21"/>
  <c r="J26" i="21"/>
  <c r="E18" i="27"/>
  <c r="J25" i="21"/>
  <c r="O33" i="21"/>
  <c r="J31" i="21"/>
  <c r="K27" i="21"/>
  <c r="O22" i="22"/>
  <c r="E19" i="27"/>
  <c r="E3" i="31"/>
  <c r="E19" i="31"/>
  <c r="D26" i="21"/>
  <c r="O30" i="21"/>
  <c r="O27" i="21"/>
  <c r="O26" i="21"/>
  <c r="E9" i="31"/>
  <c r="E5" i="31"/>
  <c r="D25" i="21"/>
  <c r="D32" i="21"/>
  <c r="J30" i="21"/>
  <c r="J34" i="21"/>
  <c r="O25" i="21"/>
  <c r="E7" i="27"/>
  <c r="E2" i="31"/>
  <c r="E7" i="31"/>
  <c r="O31" i="21"/>
  <c r="J27" i="21"/>
  <c r="D27" i="21"/>
  <c r="D30" i="21"/>
  <c r="E6" i="31"/>
  <c r="E15" i="27"/>
  <c r="E4" i="31"/>
  <c r="D31" i="21"/>
  <c r="D35" i="21"/>
  <c r="J33" i="21"/>
  <c r="O34" i="21"/>
  <c r="E16" i="27"/>
  <c r="E17" i="27"/>
  <c r="E20" i="27"/>
  <c r="E9" i="27"/>
  <c r="E12" i="27"/>
  <c r="E10" i="31"/>
  <c r="E13" i="31"/>
  <c r="E5" i="27"/>
  <c r="E8" i="27"/>
  <c r="E12" i="31"/>
  <c r="E18" i="31"/>
  <c r="E13" i="27"/>
  <c r="E4" i="27"/>
  <c r="E8" i="31"/>
  <c r="E14" i="31"/>
  <c r="E17" i="31"/>
  <c r="J36" i="21" l="1"/>
  <c r="O28" i="21"/>
  <c r="L35" i="21"/>
  <c r="L34" i="21"/>
  <c r="F21" i="21"/>
  <c r="F20" i="21"/>
  <c r="F19" i="21"/>
  <c r="E35" i="21" s="1"/>
  <c r="L25" i="21" l="1"/>
  <c r="L27" i="21"/>
  <c r="L33" i="21"/>
  <c r="L31" i="21"/>
  <c r="L26" i="21"/>
  <c r="F35" i="21"/>
  <c r="L32" i="21"/>
  <c r="D35" i="22"/>
  <c r="L30" i="21"/>
  <c r="K28" i="21"/>
  <c r="O36" i="21"/>
  <c r="P28" i="21"/>
  <c r="P30" i="21"/>
  <c r="J28" i="21"/>
  <c r="D36" i="21"/>
  <c r="D28" i="21"/>
  <c r="I12" i="20"/>
  <c r="O34" i="22"/>
  <c r="O33" i="22"/>
  <c r="O32" i="22"/>
  <c r="O26" i="22"/>
  <c r="O27" i="22"/>
  <c r="O25" i="22"/>
  <c r="O31" i="22"/>
  <c r="O30" i="22"/>
  <c r="F21" i="22"/>
  <c r="F20" i="22"/>
  <c r="E35" i="22" s="1"/>
  <c r="F19" i="22"/>
  <c r="G5" i="20"/>
  <c r="P36" i="21" l="1"/>
  <c r="P35" i="21"/>
  <c r="L36" i="21"/>
  <c r="L28" i="21"/>
  <c r="P31" i="21"/>
  <c r="P26" i="21"/>
  <c r="D30" i="22"/>
  <c r="D26" i="22"/>
  <c r="D25" i="22"/>
  <c r="D27" i="22"/>
  <c r="D32" i="22"/>
  <c r="P34" i="21"/>
  <c r="P33" i="21"/>
  <c r="P25" i="21"/>
  <c r="P32" i="21"/>
  <c r="P27" i="21"/>
  <c r="D33" i="22"/>
  <c r="F35" i="22"/>
  <c r="D31" i="22"/>
  <c r="D34" i="22"/>
  <c r="F7" i="21"/>
  <c r="F10" i="22"/>
  <c r="F18" i="22"/>
  <c r="F5" i="21"/>
  <c r="F13" i="21"/>
  <c r="E22" i="21"/>
  <c r="F15" i="22"/>
  <c r="F11" i="22"/>
  <c r="F8" i="22"/>
  <c r="F12" i="22"/>
  <c r="F16" i="22"/>
  <c r="F14" i="22"/>
  <c r="F5" i="22"/>
  <c r="F13" i="22"/>
  <c r="F17" i="22"/>
  <c r="F9" i="22"/>
  <c r="F7" i="22"/>
  <c r="F6" i="22"/>
  <c r="D22" i="22"/>
  <c r="E22" i="22"/>
  <c r="F4" i="22"/>
  <c r="F11" i="21"/>
  <c r="F8" i="21"/>
  <c r="F4" i="21"/>
  <c r="F12" i="21"/>
  <c r="F9" i="21"/>
  <c r="F17" i="21"/>
  <c r="F10" i="21"/>
  <c r="F18" i="21"/>
  <c r="F6" i="21"/>
  <c r="F14" i="21"/>
  <c r="D22" i="21"/>
  <c r="F16" i="21"/>
  <c r="F15" i="21"/>
  <c r="E32" i="21" l="1"/>
  <c r="F27" i="22"/>
  <c r="E31" i="21"/>
  <c r="E27" i="21"/>
  <c r="F27" i="21" s="1"/>
  <c r="E30" i="21"/>
  <c r="E26" i="21"/>
  <c r="F26" i="21" s="1"/>
  <c r="E34" i="21"/>
  <c r="E33" i="21"/>
  <c r="F33" i="21" s="1"/>
  <c r="E25" i="21"/>
  <c r="E31" i="22"/>
  <c r="F31" i="22" s="1"/>
  <c r="E33" i="22"/>
  <c r="F33" i="22" s="1"/>
  <c r="E26" i="22"/>
  <c r="F26" i="22" s="1"/>
  <c r="F32" i="21"/>
  <c r="E34" i="22"/>
  <c r="F34" i="22" s="1"/>
  <c r="F31" i="21"/>
  <c r="F30" i="21"/>
  <c r="E32" i="22"/>
  <c r="F32" i="22" s="1"/>
  <c r="E30" i="22"/>
  <c r="O28" i="22"/>
  <c r="F22" i="22"/>
  <c r="P30" i="22"/>
  <c r="O36" i="22"/>
  <c r="D36" i="22"/>
  <c r="D28" i="22"/>
  <c r="F22" i="21"/>
  <c r="P34" i="22" l="1"/>
  <c r="P35" i="22"/>
  <c r="P28" i="22"/>
  <c r="P25" i="22"/>
  <c r="P26" i="22"/>
  <c r="P27" i="22"/>
  <c r="F25" i="21"/>
  <c r="E28" i="21"/>
  <c r="F28" i="21" s="1"/>
  <c r="F34" i="21"/>
  <c r="E36" i="21"/>
  <c r="F36" i="21" s="1"/>
  <c r="P36" i="22"/>
  <c r="P31" i="22"/>
  <c r="P32" i="22"/>
  <c r="P33" i="22"/>
  <c r="F30" i="22"/>
  <c r="E36" i="22"/>
  <c r="F36" i="22" s="1"/>
  <c r="F25" i="22"/>
  <c r="E28" i="22"/>
  <c r="F28" i="22" s="1"/>
  <c r="C50" i="35" l="1"/>
  <c r="C42" i="35"/>
  <c r="B31" i="35" l="1"/>
  <c r="B33" i="35"/>
  <c r="M28" i="20" l="1"/>
  <c r="N32" i="20"/>
  <c r="N31" i="20"/>
  <c r="M32" i="20"/>
  <c r="M31" i="20"/>
  <c r="N33" i="20"/>
  <c r="N28" i="20"/>
  <c r="C37" i="35"/>
  <c r="E37" i="35"/>
  <c r="C29" i="35"/>
  <c r="E29" i="35"/>
  <c r="M33" i="20" l="1"/>
  <c r="N29" i="20"/>
  <c r="M29" i="20"/>
  <c r="N30" i="20"/>
  <c r="M30" i="20"/>
  <c r="G32" i="20"/>
  <c r="C22" i="20"/>
  <c r="D22" i="20"/>
  <c r="F33" i="20"/>
  <c r="F32" i="20"/>
  <c r="F31" i="20"/>
  <c r="F30" i="20"/>
  <c r="F29" i="20"/>
  <c r="F28" i="20"/>
  <c r="G33" i="20"/>
  <c r="G31" i="20"/>
  <c r="G30" i="20"/>
  <c r="G29" i="20"/>
  <c r="G28" i="20"/>
  <c r="D45" i="20"/>
  <c r="C45" i="20"/>
  <c r="N34" i="20" l="1"/>
  <c r="G34" i="20"/>
  <c r="F20" i="27"/>
  <c r="F17" i="31"/>
  <c r="F8" i="31"/>
  <c r="F17" i="27"/>
  <c r="F14" i="31"/>
  <c r="F7" i="27"/>
  <c r="F13" i="27"/>
  <c r="F13" i="31"/>
  <c r="F12" i="27"/>
  <c r="F15" i="31"/>
  <c r="F6" i="27"/>
  <c r="F3" i="31"/>
  <c r="F19" i="31"/>
  <c r="F9" i="27"/>
  <c r="F6" i="31"/>
  <c r="F18" i="27"/>
  <c r="F5" i="27"/>
  <c r="F2" i="31"/>
  <c r="F18" i="31"/>
  <c r="F14" i="27"/>
  <c r="F11" i="31"/>
  <c r="F3" i="27"/>
  <c r="F16" i="27"/>
  <c r="F2" i="27"/>
  <c r="F10" i="27"/>
  <c r="F8" i="27"/>
  <c r="F7" i="31"/>
  <c r="F19" i="27"/>
  <c r="F20" i="31"/>
  <c r="F15" i="27"/>
  <c r="F4" i="31"/>
  <c r="F10" i="31"/>
  <c r="F11" i="27"/>
  <c r="F16" i="31"/>
  <c r="F12" i="31"/>
  <c r="F9" i="31"/>
  <c r="F5" i="31"/>
  <c r="F4" i="27"/>
  <c r="J34" i="20"/>
  <c r="K34" i="20"/>
  <c r="M34" i="20"/>
  <c r="D34" i="20"/>
  <c r="C34" i="20"/>
  <c r="C12" i="19"/>
  <c r="D17" i="19" s="1"/>
  <c r="D12" i="19"/>
  <c r="C17" i="19" s="1"/>
  <c r="H19" i="19"/>
  <c r="H18" i="19"/>
  <c r="G19" i="19"/>
  <c r="G18" i="19"/>
  <c r="H16" i="19"/>
  <c r="H20" i="19" s="1"/>
  <c r="G16" i="19"/>
  <c r="G10" i="20"/>
  <c r="H10" i="20"/>
  <c r="G21" i="20" s="1"/>
  <c r="F10" i="20"/>
  <c r="E10" i="20"/>
  <c r="F21" i="20" s="1"/>
  <c r="G9" i="20"/>
  <c r="H9" i="20"/>
  <c r="G20" i="20" s="1"/>
  <c r="F9" i="20"/>
  <c r="E9" i="20"/>
  <c r="F20" i="20" s="1"/>
  <c r="G8" i="20"/>
  <c r="H8" i="20"/>
  <c r="G19" i="20" s="1"/>
  <c r="F8" i="20"/>
  <c r="E8" i="20"/>
  <c r="F19" i="20" s="1"/>
  <c r="G7" i="20"/>
  <c r="H7" i="20"/>
  <c r="G18" i="20" s="1"/>
  <c r="F7" i="20"/>
  <c r="E7" i="20"/>
  <c r="F18" i="20" s="1"/>
  <c r="G6" i="20"/>
  <c r="H6" i="20"/>
  <c r="G17" i="20" s="1"/>
  <c r="F6" i="20"/>
  <c r="E6" i="20"/>
  <c r="F17" i="20" s="1"/>
  <c r="H5" i="20"/>
  <c r="G16" i="20" s="1"/>
  <c r="F5" i="20"/>
  <c r="E5" i="20"/>
  <c r="H17" i="19"/>
  <c r="G17" i="19"/>
  <c r="D7" i="19"/>
  <c r="C7" i="19"/>
  <c r="E31" i="35" s="1"/>
  <c r="D6" i="19"/>
  <c r="C6" i="19"/>
  <c r="C31" i="35" l="1"/>
  <c r="C44" i="35"/>
  <c r="F11" i="20"/>
  <c r="H11" i="20"/>
  <c r="G22" i="20" s="1"/>
  <c r="F16" i="20"/>
  <c r="E11" i="20"/>
  <c r="F22" i="20" s="1"/>
  <c r="G11" i="20"/>
  <c r="C15" i="19"/>
  <c r="E35" i="35" s="1"/>
  <c r="H21" i="19"/>
  <c r="C16" i="19"/>
  <c r="F34" i="20"/>
  <c r="G21" i="19"/>
  <c r="E33" i="35" s="1"/>
  <c r="G20" i="19"/>
  <c r="D15" i="19"/>
  <c r="D16" i="19"/>
  <c r="C33" i="35" l="1"/>
  <c r="C46" i="35"/>
  <c r="C35" i="35"/>
  <c r="C48" i="35"/>
</calcChain>
</file>

<file path=xl/sharedStrings.xml><?xml version="1.0" encoding="utf-8"?>
<sst xmlns="http://schemas.openxmlformats.org/spreadsheetml/2006/main" count="288" uniqueCount="82">
  <si>
    <t>Total</t>
  </si>
  <si>
    <t>Scores</t>
  </si>
  <si>
    <t>Short</t>
  </si>
  <si>
    <t>Out for 65</t>
  </si>
  <si>
    <t>Frees</t>
  </si>
  <si>
    <t>1A</t>
  </si>
  <si>
    <t>1B</t>
  </si>
  <si>
    <t>1C</t>
  </si>
  <si>
    <t>2A</t>
  </si>
  <si>
    <t>2B</t>
  </si>
  <si>
    <t>2C</t>
  </si>
  <si>
    <t>3B</t>
  </si>
  <si>
    <t>3C</t>
  </si>
  <si>
    <t>3A</t>
  </si>
  <si>
    <t>Score</t>
  </si>
  <si>
    <t>Puckouts</t>
  </si>
  <si>
    <t>Won</t>
  </si>
  <si>
    <t>Lost</t>
  </si>
  <si>
    <t>Goals</t>
  </si>
  <si>
    <t>Points</t>
  </si>
  <si>
    <t>Scoring</t>
  </si>
  <si>
    <t>Shots</t>
  </si>
  <si>
    <t>Wides</t>
  </si>
  <si>
    <t>Off-post</t>
  </si>
  <si>
    <t>Saved</t>
  </si>
  <si>
    <t>Goals from Play</t>
  </si>
  <si>
    <t>Goals from Frees</t>
  </si>
  <si>
    <t>Points from Play</t>
  </si>
  <si>
    <t>Points from Frees</t>
  </si>
  <si>
    <t>Efficiency</t>
  </si>
  <si>
    <t>Scored</t>
  </si>
  <si>
    <t>S1</t>
  </si>
  <si>
    <t>S2</t>
  </si>
  <si>
    <t>S3</t>
  </si>
  <si>
    <t>S4</t>
  </si>
  <si>
    <t>S5</t>
  </si>
  <si>
    <t>S6</t>
  </si>
  <si>
    <t>Goal</t>
  </si>
  <si>
    <t>Point</t>
  </si>
  <si>
    <t>Number</t>
  </si>
  <si>
    <t>Discipline</t>
  </si>
  <si>
    <t>%</t>
  </si>
  <si>
    <t>Own Puckouts</t>
  </si>
  <si>
    <t>Attacks</t>
  </si>
  <si>
    <t>Effectiveness</t>
  </si>
  <si>
    <t>Scores from Play</t>
  </si>
  <si>
    <t>Scores from Frees</t>
  </si>
  <si>
    <t>Own</t>
  </si>
  <si>
    <t>Opp</t>
  </si>
  <si>
    <t>Own won</t>
  </si>
  <si>
    <t>Yellow Card</t>
  </si>
  <si>
    <t>Red Card</t>
  </si>
  <si>
    <t>Black Card</t>
  </si>
  <si>
    <t>goals</t>
  </si>
  <si>
    <t>points</t>
  </si>
  <si>
    <t>placed balls</t>
  </si>
  <si>
    <t>shots</t>
  </si>
  <si>
    <t>success</t>
  </si>
  <si>
    <t>frees</t>
  </si>
  <si>
    <t>UPDATE IF DATA IS AVAILABLE</t>
  </si>
  <si>
    <t>Conceded</t>
  </si>
  <si>
    <t>Sector</t>
  </si>
  <si>
    <t>Total Won</t>
  </si>
  <si>
    <t>Total Lost</t>
  </si>
  <si>
    <t>Own lost</t>
  </si>
  <si>
    <t>Scorecard</t>
  </si>
  <si>
    <t>Target</t>
  </si>
  <si>
    <t>possessions</t>
  </si>
  <si>
    <t>tackles</t>
  </si>
  <si>
    <t>4A</t>
  </si>
  <si>
    <t>5A</t>
  </si>
  <si>
    <t>6A</t>
  </si>
  <si>
    <t>4B</t>
  </si>
  <si>
    <t>4C</t>
  </si>
  <si>
    <t>5B</t>
  </si>
  <si>
    <t>5C</t>
  </si>
  <si>
    <t>6B</t>
  </si>
  <si>
    <t>6C</t>
  </si>
  <si>
    <t>c</t>
  </si>
  <si>
    <t>b</t>
  </si>
  <si>
    <t>a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</si>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</sst>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Verdana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rgb="FF00808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5" fillId="0" borderId="0" xfId="192"/>
    <xf numFmtId="0" fontId="6" fillId="0" borderId="0" xfId="192" applyFont="1"/>
    <xf numFmtId="0" fontId="3" fillId="0" borderId="0" xfId="0" applyFont="1"/>
    <xf numFmtId="9" fontId="5" fillId="0" borderId="0" xfId="192" applyNumberFormat="1"/>
    <xf numFmtId="0" fontId="5" fillId="0" borderId="0" xfId="192" applyFill="1"/>
    <xf numFmtId="9" fontId="0" fillId="0" borderId="0" xfId="0" applyNumberFormat="1"/>
    <xf numFmtId="0" fontId="7" fillId="0" borderId="0" xfId="0" applyFont="1"/>
    <xf numFmtId="0" fontId="0" fillId="0" borderId="0" xfId="0" applyNumberFormat="1"/>
    <xf numFmtId="0" fontId="12" fillId="0" borderId="0" xfId="0" applyFont="1"/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9" fontId="10" fillId="0" borderId="2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</cellXfs>
  <cellStyles count="193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102" builtinId="8" hidden="1"/>
    <cellStyle name="Hyperlink" xfId="104" builtinId="8" hidden="1"/>
    <cellStyle name="Hyperlink" xfId="106" builtinId="8" hidden="1"/>
    <cellStyle name="Hyperlink" xfId="110" builtinId="8" hidden="1"/>
    <cellStyle name="Hyperlink" xfId="112" builtinId="8" hidden="1"/>
    <cellStyle name="Hyperlink" xfId="114" builtinId="8" hidden="1"/>
    <cellStyle name="Hyperlink" xfId="118" builtinId="8" hidden="1"/>
    <cellStyle name="Hyperlink" xfId="120" builtinId="8" hidden="1"/>
    <cellStyle name="Hyperlink" xfId="122" builtinId="8" hidden="1"/>
    <cellStyle name="Hyperlink" xfId="126" builtinId="8" hidden="1"/>
    <cellStyle name="Hyperlink" xfId="128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4" builtinId="8" hidden="1"/>
    <cellStyle name="Hyperlink" xfId="146" builtinId="8" hidden="1"/>
    <cellStyle name="Hyperlink" xfId="150" builtinId="8" hidden="1"/>
    <cellStyle name="Hyperlink" xfId="152" builtinId="8" hidden="1"/>
    <cellStyle name="Hyperlink" xfId="154" builtinId="8" hidden="1"/>
    <cellStyle name="Hyperlink" xfId="158" builtinId="8" hidden="1"/>
    <cellStyle name="Hyperlink" xfId="160" builtinId="8" hidden="1"/>
    <cellStyle name="Hyperlink" xfId="162" builtinId="8" hidden="1"/>
    <cellStyle name="Hyperlink" xfId="166" builtinId="8" hidden="1"/>
    <cellStyle name="Hyperlink" xfId="168" builtinId="8" hidden="1"/>
    <cellStyle name="Hyperlink" xfId="170" builtinId="8" hidden="1"/>
    <cellStyle name="Hyperlink" xfId="174" builtinId="8" hidden="1"/>
    <cellStyle name="Hyperlink" xfId="176" builtinId="8" hidden="1"/>
    <cellStyle name="Hyperlink" xfId="178" builtinId="8" hidden="1"/>
    <cellStyle name="Hyperlink" xfId="182" builtinId="8" hidden="1"/>
    <cellStyle name="Hyperlink" xfId="184" builtinId="8" hidden="1"/>
    <cellStyle name="Hyperlink" xfId="186" builtinId="8" hidden="1"/>
    <cellStyle name="Hyperlink" xfId="190" builtinId="8" hidden="1"/>
    <cellStyle name="Hyperlink" xfId="188" builtinId="8" hidden="1"/>
    <cellStyle name="Hyperlink" xfId="180" builtinId="8" hidden="1"/>
    <cellStyle name="Hyperlink" xfId="172" builtinId="8" hidden="1"/>
    <cellStyle name="Hyperlink" xfId="164" builtinId="8" hidden="1"/>
    <cellStyle name="Hyperlink" xfId="156" builtinId="8" hidden="1"/>
    <cellStyle name="Hyperlink" xfId="148" builtinId="8" hidden="1"/>
    <cellStyle name="Hyperlink" xfId="140" builtinId="8" hidden="1"/>
    <cellStyle name="Hyperlink" xfId="132" builtinId="8" hidden="1"/>
    <cellStyle name="Hyperlink" xfId="124" builtinId="8" hidden="1"/>
    <cellStyle name="Hyperlink" xfId="116" builtinId="8" hidden="1"/>
    <cellStyle name="Hyperlink" xfId="108" builtinId="8" hidden="1"/>
    <cellStyle name="Hyperlink" xfId="100" builtinId="8" hidden="1"/>
    <cellStyle name="Hyperlink" xfId="92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6" builtinId="8" hidden="1"/>
    <cellStyle name="Hyperlink" xfId="88" builtinId="8" hidden="1"/>
    <cellStyle name="Hyperlink" xfId="84" builtinId="8" hidden="1"/>
    <cellStyle name="Hyperlink" xfId="68" builtinId="8" hidden="1"/>
    <cellStyle name="Hyperlink" xfId="52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29" xr:uid="{00000000-0005-0000-0000-0000BF000000}"/>
    <cellStyle name="Normal 3" xfId="192" xr:uid="{A0519DC2-F5BE-AB43-A96C-4B626D0BE60B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008080"/>
      <color rgb="FF006201"/>
      <color rgb="FF64003D"/>
      <color rgb="FF3F5968"/>
      <color rgb="FFE70922"/>
      <color rgb="FFABDAF3"/>
      <color rgb="FF91B9CD"/>
      <color rgb="FF192329"/>
      <color rgb="FF1923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64003D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F8-CC42-B5EE-DC07C8EECF39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1F8-CC42-B5EE-DC07C8EECF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0.50980392156862742</c:v>
                </c:pt>
                <c:pt idx="1">
                  <c:v>0.49019607843137253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F8-CC42-B5EE-DC07C8EECF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TimeSectorANALYSIS!$F$16:$F$21</c:f>
              <c:numCache>
                <c:formatCode>0%</c:formatCode>
                <c:ptCount val="6"/>
                <c:pt idx="0">
                  <c:v>0.375</c:v>
                </c:pt>
                <c:pt idx="1">
                  <c:v>0.83333333333333337</c:v>
                </c:pt>
                <c:pt idx="2">
                  <c:v>0.75</c:v>
                </c:pt>
                <c:pt idx="3">
                  <c:v>1</c:v>
                </c:pt>
                <c:pt idx="4">
                  <c:v>0.66666666666666663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6-E341-8435-B2207B23254C}"/>
            </c:ext>
          </c:extLst>
        </c:ser>
        <c:ser>
          <c:idx val="1"/>
          <c:order val="1"/>
          <c:tx>
            <c:v>%</c:v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TimeSectorANALYSIS!$G$16:$G$21</c:f>
              <c:numCache>
                <c:formatCode>0%</c:formatCode>
                <c:ptCount val="6"/>
                <c:pt idx="0">
                  <c:v>1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0.8571428571428571</c:v>
                </c:pt>
                <c:pt idx="4">
                  <c:v>0.5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6-E341-8435-B2207B23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TimeSectorANALYSIS!$F$27</c:f>
              <c:strCache>
                <c:ptCount val="1"/>
                <c:pt idx="0">
                  <c:v>Total Won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TimeSectorANALYSIS!$F$28:$F$33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1C46-A918-4CF7B7C18028}"/>
            </c:ext>
          </c:extLst>
        </c:ser>
        <c:ser>
          <c:idx val="1"/>
          <c:order val="1"/>
          <c:tx>
            <c:strRef>
              <c:f>TimeSectorANALYSIS!$G$27</c:f>
              <c:strCache>
                <c:ptCount val="1"/>
                <c:pt idx="0">
                  <c:v>Total Lost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TimeSectorANALYSIS!$G$28:$G$33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C-1C46-A918-4CF7B7C1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Frees</a:t>
            </a:r>
            <a:r>
              <a:rPr lang="en-US" b="1" baseline="0">
                <a:solidFill>
                  <a:schemeClr val="tx1"/>
                </a:solidFill>
              </a:rPr>
              <a:t> (Round by Round)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TimeSectorANALYSIS!$C$39:$C$44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0-D741-B2CA-2103CFE7E0DD}"/>
            </c:ext>
          </c:extLst>
        </c:ser>
        <c:ser>
          <c:idx val="1"/>
          <c:order val="1"/>
          <c:tx>
            <c:strRef>
              <c:f>TimeSectorANALYSIS!$D$38</c:f>
              <c:strCache>
                <c:ptCount val="1"/>
                <c:pt idx="0">
                  <c:v>Conceded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TimeSectorANALYSIS!$D$39:$D$44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0-D741-B2CA-2103CFE7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small">
                <a:solidFill>
                  <a:schemeClr val="tx1"/>
                </a:solidFill>
                <a:effectLst/>
              </a:rPr>
              <a:t>Possessions</a:t>
            </a:r>
            <a:r>
              <a:rPr lang="en-US" sz="1800" b="1" i="0" cap="small" baseline="0">
                <a:solidFill>
                  <a:schemeClr val="tx1"/>
                </a:solidFill>
                <a:effectLst/>
              </a:rPr>
              <a:t> / Tackles</a:t>
            </a:r>
            <a:endParaRPr lang="en-IE">
              <a:solidFill>
                <a:schemeClr val="tx1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chemeClr val="tx1"/>
                </a:solidFill>
              </a:defRPr>
            </a:pP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'P&amp;T'!$B$1</c:f>
              <c:strCache>
                <c:ptCount val="1"/>
                <c:pt idx="0">
                  <c:v>possessions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'P&amp;T'!$B$2:$B$22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  <c:pt idx="8">
                  <c:v>6</c:v>
                </c:pt>
                <c:pt idx="9">
                  <c:v>12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8-1C4B-97A1-197E37E215F0}"/>
            </c:ext>
          </c:extLst>
        </c:ser>
        <c:ser>
          <c:idx val="2"/>
          <c:order val="1"/>
          <c:tx>
            <c:strRef>
              <c:f>'P&amp;T'!$C$1</c:f>
              <c:strCache>
                <c:ptCount val="1"/>
                <c:pt idx="0">
                  <c:v>tackles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'P&amp;T'!$C$2:$C$22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8-1C4B-97A1-197E37E2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0872399"/>
        <c:axId val="2111193999"/>
      </c:barChart>
      <c:catAx>
        <c:axId val="21108723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93999"/>
        <c:crosses val="autoZero"/>
        <c:auto val="1"/>
        <c:lblAlgn val="ctr"/>
        <c:lblOffset val="100"/>
        <c:noMultiLvlLbl val="0"/>
      </c:catAx>
      <c:valAx>
        <c:axId val="211119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7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00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71D-2E42-AA4D-60348699666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1D-2E42-AA4D-603486996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MatchANALYSIS!$C$16:$C$17</c:f>
              <c:numCache>
                <c:formatCode>0%</c:formatCode>
                <c:ptCount val="2"/>
                <c:pt idx="0">
                  <c:v>0.56521739130434778</c:v>
                </c:pt>
                <c:pt idx="1">
                  <c:v>0.4642857142857143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E-D049-A0D2-FE76168F53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2A6-AA49-B6A3-B2445002FF23}"/>
              </c:ext>
            </c:extLst>
          </c:dPt>
          <c:dPt>
            <c:idx val="1"/>
            <c:invertIfNegative val="0"/>
            <c:bubble3D val="0"/>
            <c:spPr>
              <a:solidFill>
                <a:srgbClr val="6400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6-AA49-B6A3-B2445002FF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MatchANALYSIS!$B$16:$B$17</c:f>
              <c:strCache>
                <c:ptCount val="2"/>
                <c:pt idx="0">
                  <c:v>Own</c:v>
                </c:pt>
                <c:pt idx="1">
                  <c:v>Opp</c:v>
                </c:pt>
              </c:strCache>
            </c:strRef>
          </c:cat>
          <c:val>
            <c:numRef>
              <c:f>MatchANALYSIS!$D$16:$D$17</c:f>
              <c:numCache>
                <c:formatCode>0%</c:formatCode>
                <c:ptCount val="2"/>
                <c:pt idx="0">
                  <c:v>0.5357142857142857</c:v>
                </c:pt>
                <c:pt idx="1">
                  <c:v>0.43478260869565216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D-9F47-867A-68616EBB1F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25327728"/>
        <c:axId val="1325329408"/>
      </c:barChart>
      <c:catAx>
        <c:axId val="13253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9408"/>
        <c:crosses val="autoZero"/>
        <c:auto val="1"/>
        <c:lblAlgn val="ctr"/>
        <c:lblOffset val="100"/>
        <c:noMultiLvlLbl val="0"/>
      </c:catAx>
      <c:valAx>
        <c:axId val="1325329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9A-9D45-AB3D-34160CDC395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A39A-9D45-AB3D-34160CDC39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0.7021276595744681</c:v>
                </c:pt>
                <c:pt idx="1">
                  <c:v>0.5757575757575758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A-9D45-AB3D-34160CDC3957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64003D"/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0.8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A-9D45-AB3D-34160CDC39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TimeSectorANALYSIS!$C$3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TimeSectorANALYSIS!$F$5:$F$10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134E-ADF2-CE8C637B205E}"/>
            </c:ext>
          </c:extLst>
        </c:ser>
        <c:ser>
          <c:idx val="1"/>
          <c:order val="1"/>
          <c:tx>
            <c:strRef>
              <c:f>TimeSectorANALYSIS!$G$3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TimeSectorANALYSIS!$G$5:$G$10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134E-ADF2-CE8C637B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TimeSectorANALYSIS!$C$26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rgbClr val="64003D"/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TimeSectorANALYSIS!$F$28:$F$33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C-F744-B76A-3F0DBC59EC20}"/>
            </c:ext>
          </c:extLst>
        </c:ser>
        <c:ser>
          <c:idx val="1"/>
          <c:order val="1"/>
          <c:tx>
            <c:strRef>
              <c:f>TimeSectorANALYSIS!$J$26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TimeSectorANALYSIS!$B$5:$B$10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TimeSectorANALYSIS!$M$28:$M$33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C-F744-B76A-3F0DBC59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  <a:ln w="12700"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rgbClr val="008080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2-E54B-B78A-6A7AC10F4AE2}"/>
              </c:ext>
            </c:extLst>
          </c:dPt>
          <c:dPt>
            <c:idx val="1"/>
            <c:bubble3D val="0"/>
            <c:spPr>
              <a:solidFill>
                <a:srgbClr val="800000"/>
              </a:solidFill>
              <a:ln w="12700">
                <a:solidFill>
                  <a:schemeClr val="bg1">
                    <a:lumMod val="50000"/>
                  </a:schemeClr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2-E54B-B78A-6A7AC10F4AE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MatchANALYSIS!$C$15:$D$15</c:f>
              <c:numCache>
                <c:formatCode>0%</c:formatCode>
                <c:ptCount val="2"/>
                <c:pt idx="0">
                  <c:v>0.50980392156862742</c:v>
                </c:pt>
                <c:pt idx="1">
                  <c:v>0.49019607843137253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E54B-B78A-6A7AC10F4A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MatchANALYSIS!$G$3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rgbClr val="008080"/>
            </a:solidFill>
            <a:ln w="38100" cap="flat" cmpd="sng" algn="ctr">
              <a:noFill/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B3D-0A47-9BE6-419224BA9A0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B3D-0A47-9BE6-419224BA9A0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3D-0A47-9BE6-419224BA9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MatchANALYSIS!$G$20:$G$21</c:f>
              <c:numCache>
                <c:formatCode>0%</c:formatCode>
                <c:ptCount val="2"/>
                <c:pt idx="0">
                  <c:v>0.7021276595744681</c:v>
                </c:pt>
                <c:pt idx="1">
                  <c:v>0.5757575757575758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D-0A47-9BE6-419224BA9A00}"/>
            </c:ext>
          </c:extLst>
        </c:ser>
        <c:ser>
          <c:idx val="0"/>
          <c:order val="1"/>
          <c:tx>
            <c:strRef>
              <c:f>MatchANALYSIS!$H$3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800000"/>
            </a:solidFill>
            <a:ln w="38100" cap="flat" cmpd="sng" algn="ctr">
              <a:noFill/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MatchANALYSIS!$F$20:$F$21</c:f>
              <c:strCache>
                <c:ptCount val="2"/>
                <c:pt idx="0">
                  <c:v>Effectiveness</c:v>
                </c:pt>
                <c:pt idx="1">
                  <c:v>Efficiency</c:v>
                </c:pt>
              </c:strCache>
            </c:strRef>
          </c:cat>
          <c:val>
            <c:numRef>
              <c:f>MatchANALYSIS!$H$20:$H$21</c:f>
              <c:numCache>
                <c:formatCode>0%</c:formatCode>
                <c:ptCount val="2"/>
                <c:pt idx="0">
                  <c:v>0.8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D-0A47-9BE6-419224BA9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35456288"/>
        <c:axId val="535458608"/>
      </c:barChart>
      <c:catAx>
        <c:axId val="535456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35458608"/>
        <c:crosses val="autoZero"/>
        <c:auto val="1"/>
        <c:lblAlgn val="ctr"/>
        <c:lblOffset val="100"/>
        <c:noMultiLvlLbl val="0"/>
      </c:catAx>
      <c:valAx>
        <c:axId val="5354586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crossAx val="53545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TimeSectorANALYSIS!$F$4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TimeSectorANALYSIS!$F$5:$F$10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6-8D4D-A726-84DCEB635AFD}"/>
            </c:ext>
          </c:extLst>
        </c:ser>
        <c:ser>
          <c:idx val="1"/>
          <c:order val="1"/>
          <c:tx>
            <c:strRef>
              <c:f>TimeSectorANALYSIS!$G$4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val>
            <c:numRef>
              <c:f>TimeSectorANALYSIS!$G$5:$G$10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6-8D4D-A726-84DCEB63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92320"/>
        <c:axId val="1919471040"/>
      </c:barChart>
      <c:catAx>
        <c:axId val="19297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71040"/>
        <c:crosses val="autoZero"/>
        <c:auto val="1"/>
        <c:lblAlgn val="ctr"/>
        <c:lblOffset val="100"/>
        <c:noMultiLvlLbl val="0"/>
      </c:catAx>
      <c:valAx>
        <c:axId val="1919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6.xml"/><Relationship Id="rId4" Type="http://schemas.openxmlformats.org/officeDocument/2006/relationships/chart" Target="../charts/chart2.xml"/><Relationship Id="rId9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2.png"/><Relationship Id="rId7" Type="http://schemas.openxmlformats.org/officeDocument/2006/relationships/chart" Target="../charts/chart10.xml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199570</xdr:colOff>
      <xdr:row>13</xdr:row>
      <xdr:rowOff>139343</xdr:rowOff>
    </xdr:from>
    <xdr:ext cx="1669143" cy="593304"/>
    <xdr:sp macro="" textlink="[1]Match!$B$1">
      <xdr:nvSpPr>
        <xdr:cNvPr id="2" name="TextBox 1">
          <a:extLst>
            <a:ext uri="{FF2B5EF4-FFF2-40B4-BE49-F238E27FC236}">
              <a16:creationId xmlns:a16="http://schemas.microsoft.com/office/drawing/2014/main" id="{8CDA18EF-224D-2C4D-9EDC-1AFBF460D54C}"/>
            </a:ext>
          </a:extLst>
        </xdr:cNvPr>
        <xdr:cNvSpPr txBox="1"/>
      </xdr:nvSpPr>
      <xdr:spPr>
        <a:xfrm>
          <a:off x="1034141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76616781-D4F1-714D-A929-A01B6441D975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332913</xdr:colOff>
      <xdr:row>30</xdr:row>
      <xdr:rowOff>5552</xdr:rowOff>
    </xdr:from>
    <xdr:to>
      <xdr:col>3</xdr:col>
      <xdr:colOff>798629</xdr:colOff>
      <xdr:row>35</xdr:row>
      <xdr:rowOff>101328</xdr:rowOff>
    </xdr:to>
    <xdr:sp macro="" textlink="MatchANALYSIS!D4">
      <xdr:nvSpPr>
        <xdr:cNvPr id="3" name="TextBox 2">
          <a:extLst>
            <a:ext uri="{FF2B5EF4-FFF2-40B4-BE49-F238E27FC236}">
              <a16:creationId xmlns:a16="http://schemas.microsoft.com/office/drawing/2014/main" id="{A6E3E86E-0204-B549-9A8E-0C5CAFB39217}"/>
            </a:ext>
          </a:extLst>
        </xdr:cNvPr>
        <xdr:cNvSpPr txBox="1"/>
      </xdr:nvSpPr>
      <xdr:spPr>
        <a:xfrm>
          <a:off x="2836627" y="4904123"/>
          <a:ext cx="465716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2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824015</xdr:colOff>
      <xdr:row>30</xdr:row>
      <xdr:rowOff>5552</xdr:rowOff>
    </xdr:from>
    <xdr:to>
      <xdr:col>4</xdr:col>
      <xdr:colOff>413110</xdr:colOff>
      <xdr:row>35</xdr:row>
      <xdr:rowOff>101328</xdr:rowOff>
    </xdr:to>
    <xdr:sp macro="" textlink="#REF!">
      <xdr:nvSpPr>
        <xdr:cNvPr id="4" name="TextBox 3">
          <a:extLst>
            <a:ext uri="{FF2B5EF4-FFF2-40B4-BE49-F238E27FC236}">
              <a16:creationId xmlns:a16="http://schemas.microsoft.com/office/drawing/2014/main" id="{808AEEDB-0051-A24F-9108-20DCE7C25771}"/>
            </a:ext>
          </a:extLst>
        </xdr:cNvPr>
        <xdr:cNvSpPr txBox="1"/>
      </xdr:nvSpPr>
      <xdr:spPr>
        <a:xfrm>
          <a:off x="3327729" y="4904123"/>
          <a:ext cx="423667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30</xdr:row>
      <xdr:rowOff>5552</xdr:rowOff>
    </xdr:from>
    <xdr:to>
      <xdr:col>5</xdr:col>
      <xdr:colOff>544284</xdr:colOff>
      <xdr:row>35</xdr:row>
      <xdr:rowOff>101328</xdr:rowOff>
    </xdr:to>
    <xdr:sp macro="" textlink="MatchANALYSIS!D5">
      <xdr:nvSpPr>
        <xdr:cNvPr id="5" name="TextBox 4">
          <a:extLst>
            <a:ext uri="{FF2B5EF4-FFF2-40B4-BE49-F238E27FC236}">
              <a16:creationId xmlns:a16="http://schemas.microsoft.com/office/drawing/2014/main" id="{EB9DE034-89F5-1349-A878-5DDBCB150D38}"/>
            </a:ext>
          </a:extLst>
        </xdr:cNvPr>
        <xdr:cNvSpPr txBox="1"/>
      </xdr:nvSpPr>
      <xdr:spPr>
        <a:xfrm>
          <a:off x="3837282" y="4904123"/>
          <a:ext cx="879859" cy="91220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22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332913</xdr:colOff>
      <xdr:row>22</xdr:row>
      <xdr:rowOff>151824</xdr:rowOff>
    </xdr:from>
    <xdr:to>
      <xdr:col>4</xdr:col>
      <xdr:colOff>8533</xdr:colOff>
      <xdr:row>28</xdr:row>
      <xdr:rowOff>94186</xdr:rowOff>
    </xdr:to>
    <xdr:sp macro="" textlink="MatchANALYSIS!C4">
      <xdr:nvSpPr>
        <xdr:cNvPr id="7" name="TextBox 6">
          <a:extLst>
            <a:ext uri="{FF2B5EF4-FFF2-40B4-BE49-F238E27FC236}">
              <a16:creationId xmlns:a16="http://schemas.microsoft.com/office/drawing/2014/main" id="{903561ED-C32A-184D-A6EA-3A69E14CF8F7}"/>
            </a:ext>
          </a:extLst>
        </xdr:cNvPr>
        <xdr:cNvSpPr txBox="1"/>
      </xdr:nvSpPr>
      <xdr:spPr>
        <a:xfrm>
          <a:off x="2836627" y="3744110"/>
          <a:ext cx="510192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</xdr:col>
      <xdr:colOff>32897</xdr:colOff>
      <xdr:row>22</xdr:row>
      <xdr:rowOff>151824</xdr:rowOff>
    </xdr:from>
    <xdr:to>
      <xdr:col>4</xdr:col>
      <xdr:colOff>439526</xdr:colOff>
      <xdr:row>28</xdr:row>
      <xdr:rowOff>94186</xdr:rowOff>
    </xdr:to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594AF406-8397-D34E-AAB5-810B2F5602D5}"/>
            </a:ext>
          </a:extLst>
        </xdr:cNvPr>
        <xdr:cNvSpPr txBox="1"/>
      </xdr:nvSpPr>
      <xdr:spPr>
        <a:xfrm>
          <a:off x="3371183" y="3744110"/>
          <a:ext cx="406629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498996</xdr:colOff>
      <xdr:row>22</xdr:row>
      <xdr:rowOff>151824</xdr:rowOff>
    </xdr:from>
    <xdr:to>
      <xdr:col>5</xdr:col>
      <xdr:colOff>503179</xdr:colOff>
      <xdr:row>28</xdr:row>
      <xdr:rowOff>94186</xdr:rowOff>
    </xdr:to>
    <xdr:sp macro="" textlink="MatchANALYSIS!C5">
      <xdr:nvSpPr>
        <xdr:cNvPr id="9" name="TextBox 8">
          <a:extLst>
            <a:ext uri="{FF2B5EF4-FFF2-40B4-BE49-F238E27FC236}">
              <a16:creationId xmlns:a16="http://schemas.microsoft.com/office/drawing/2014/main" id="{3D64DDA9-1C45-CD4E-8BF4-9467B6560003}"/>
            </a:ext>
          </a:extLst>
        </xdr:cNvPr>
        <xdr:cNvSpPr txBox="1"/>
      </xdr:nvSpPr>
      <xdr:spPr>
        <a:xfrm>
          <a:off x="3837282" y="3744110"/>
          <a:ext cx="838754" cy="922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/>
            <a:t>18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317481</xdr:colOff>
      <xdr:row>30</xdr:row>
      <xdr:rowOff>84067</xdr:rowOff>
    </xdr:from>
    <xdr:to>
      <xdr:col>3</xdr:col>
      <xdr:colOff>299802</xdr:colOff>
      <xdr:row>37</xdr:row>
      <xdr:rowOff>38347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F0ED97-36C1-454F-BF9A-6FAC882E9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1152052" y="4982638"/>
          <a:ext cx="1651464" cy="1097280"/>
        </a:xfrm>
        <a:prstGeom prst="rect">
          <a:avLst/>
        </a:prstGeom>
      </xdr:spPr>
    </xdr:pic>
    <xdr:clientData/>
  </xdr:twoCellAnchor>
  <xdr:twoCellAnchor editAs="oneCell">
    <xdr:from>
      <xdr:col>1</xdr:col>
      <xdr:colOff>644513</xdr:colOff>
      <xdr:row>22</xdr:row>
      <xdr:rowOff>12496</xdr:rowOff>
    </xdr:from>
    <xdr:to>
      <xdr:col>3</xdr:col>
      <xdr:colOff>4687</xdr:colOff>
      <xdr:row>29</xdr:row>
      <xdr:rowOff>149656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7B8DAA-6564-F747-8ACA-9E0CFF82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479084" y="3604782"/>
          <a:ext cx="1029317" cy="1280160"/>
        </a:xfrm>
        <a:prstGeom prst="rect">
          <a:avLst/>
        </a:prstGeom>
      </xdr:spPr>
    </xdr:pic>
    <xdr:clientData/>
  </xdr:twoCellAnchor>
  <xdr:oneCellAnchor>
    <xdr:from>
      <xdr:col>4</xdr:col>
      <xdr:colOff>206827</xdr:colOff>
      <xdr:row>13</xdr:row>
      <xdr:rowOff>139343</xdr:rowOff>
    </xdr:from>
    <xdr:ext cx="1669143" cy="593304"/>
    <xdr:sp macro="" textlink="[1]Match!$C$1">
      <xdr:nvSpPr>
        <xdr:cNvPr id="12" name="TextBox 11">
          <a:extLst>
            <a:ext uri="{FF2B5EF4-FFF2-40B4-BE49-F238E27FC236}">
              <a16:creationId xmlns:a16="http://schemas.microsoft.com/office/drawing/2014/main" id="{072A251C-1426-7F43-947D-00666CA3F8CD}"/>
            </a:ext>
          </a:extLst>
        </xdr:cNvPr>
        <xdr:cNvSpPr txBox="1"/>
      </xdr:nvSpPr>
      <xdr:spPr>
        <a:xfrm>
          <a:off x="3545113" y="2262057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E3D4BA12-C3B1-6A43-B12D-4F00B12D411A}" type="TxLink">
            <a:rPr lang="en-US" sz="3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624112</xdr:colOff>
      <xdr:row>13</xdr:row>
      <xdr:rowOff>139344</xdr:rowOff>
    </xdr:from>
    <xdr:ext cx="1669143" cy="593304"/>
    <xdr:sp macro="" textlink="[1]Match!$B1">
      <xdr:nvSpPr>
        <xdr:cNvPr id="13" name="TextBox 12">
          <a:extLst>
            <a:ext uri="{FF2B5EF4-FFF2-40B4-BE49-F238E27FC236}">
              <a16:creationId xmlns:a16="http://schemas.microsoft.com/office/drawing/2014/main" id="{2142890D-90F8-EE47-844D-A7DBE5DB3A4F}"/>
            </a:ext>
          </a:extLst>
        </xdr:cNvPr>
        <xdr:cNvSpPr txBox="1"/>
      </xdr:nvSpPr>
      <xdr:spPr>
        <a:xfrm>
          <a:off x="2293255" y="2262058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t>vs.</a:t>
          </a:r>
          <a:endParaRPr lang="en-US" sz="3200" b="0" i="0"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C1CDB4-C5C0-8A4A-889C-A60BE6A9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780222</xdr:colOff>
      <xdr:row>10</xdr:row>
      <xdr:rowOff>97979</xdr:rowOff>
    </xdr:from>
    <xdr:to>
      <xdr:col>13</xdr:col>
      <xdr:colOff>768610</xdr:colOff>
      <xdr:row>12</xdr:row>
      <xdr:rowOff>45727</xdr:rowOff>
    </xdr:to>
    <xdr:sp macro="" textlink="[1]Match!$C$1">
      <xdr:nvSpPr>
        <xdr:cNvPr id="17" name="Rectangle 16">
          <a:extLst>
            <a:ext uri="{FF2B5EF4-FFF2-40B4-BE49-F238E27FC236}">
              <a16:creationId xmlns:a16="http://schemas.microsoft.com/office/drawing/2014/main" id="{92B4DC7F-ACE3-734C-AEA8-35AACC060B74}"/>
            </a:ext>
          </a:extLst>
        </xdr:cNvPr>
        <xdr:cNvSpPr>
          <a:spLocks noChangeAspect="1"/>
        </xdr:cNvSpPr>
      </xdr:nvSpPr>
      <xdr:spPr>
        <a:xfrm>
          <a:off x="10795079" y="173083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07763B-6B89-334A-B011-532ED7AA0D69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10</xdr:row>
      <xdr:rowOff>97979</xdr:rowOff>
    </xdr:from>
    <xdr:to>
      <xdr:col>12</xdr:col>
      <xdr:colOff>706808</xdr:colOff>
      <xdr:row>12</xdr:row>
      <xdr:rowOff>45727</xdr:rowOff>
    </xdr:to>
    <xdr:sp macro="" textlink="[1]Match!$B$1">
      <xdr:nvSpPr>
        <xdr:cNvPr id="18" name="Rectangle 17">
          <a:extLst>
            <a:ext uri="{FF2B5EF4-FFF2-40B4-BE49-F238E27FC236}">
              <a16:creationId xmlns:a16="http://schemas.microsoft.com/office/drawing/2014/main" id="{6DBE6BE3-70CF-794D-834D-0A4C2496CB6D}"/>
            </a:ext>
          </a:extLst>
        </xdr:cNvPr>
        <xdr:cNvSpPr>
          <a:spLocks noChangeAspect="1"/>
        </xdr:cNvSpPr>
      </xdr:nvSpPr>
      <xdr:spPr>
        <a:xfrm>
          <a:off x="9898705" y="173083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6DB47FF-73F1-0140-9309-136979CF8EA0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12</xdr:row>
      <xdr:rowOff>123378</xdr:rowOff>
    </xdr:from>
    <xdr:to>
      <xdr:col>13</xdr:col>
      <xdr:colOff>768610</xdr:colOff>
      <xdr:row>14</xdr:row>
      <xdr:rowOff>71127</xdr:rowOff>
    </xdr:to>
    <xdr:sp macro="" textlink="MatchANALYSIS!$D12">
      <xdr:nvSpPr>
        <xdr:cNvPr id="20" name="Rectangle 19">
          <a:extLst>
            <a:ext uri="{FF2B5EF4-FFF2-40B4-BE49-F238E27FC236}">
              <a16:creationId xmlns:a16="http://schemas.microsoft.com/office/drawing/2014/main" id="{D7FD9BD0-95C6-4D44-A3F7-8FC95A8E294D}"/>
            </a:ext>
          </a:extLst>
        </xdr:cNvPr>
        <xdr:cNvSpPr>
          <a:spLocks noChangeAspect="1"/>
        </xdr:cNvSpPr>
      </xdr:nvSpPr>
      <xdr:spPr>
        <a:xfrm>
          <a:off x="10795079" y="20828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2D03AB-C165-ED49-8D53-67568E8A10CA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28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12</xdr:row>
      <xdr:rowOff>123378</xdr:rowOff>
    </xdr:from>
    <xdr:to>
      <xdr:col>12</xdr:col>
      <xdr:colOff>706808</xdr:colOff>
      <xdr:row>14</xdr:row>
      <xdr:rowOff>71127</xdr:rowOff>
    </xdr:to>
    <xdr:sp macro="" textlink="MatchANALYSIS!$C12">
      <xdr:nvSpPr>
        <xdr:cNvPr id="21" name="Rectangle 20">
          <a:extLst>
            <a:ext uri="{FF2B5EF4-FFF2-40B4-BE49-F238E27FC236}">
              <a16:creationId xmlns:a16="http://schemas.microsoft.com/office/drawing/2014/main" id="{AD4BA122-064D-2C4B-9CF3-86A9751F1C0E}"/>
            </a:ext>
          </a:extLst>
        </xdr:cNvPr>
        <xdr:cNvSpPr>
          <a:spLocks noChangeAspect="1"/>
        </xdr:cNvSpPr>
      </xdr:nvSpPr>
      <xdr:spPr>
        <a:xfrm>
          <a:off x="9898705" y="208280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2749C92-EBAC-DC40-A0C6-A593B4769C74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23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14</xdr:row>
      <xdr:rowOff>148779</xdr:rowOff>
    </xdr:from>
    <xdr:to>
      <xdr:col>13</xdr:col>
      <xdr:colOff>768610</xdr:colOff>
      <xdr:row>16</xdr:row>
      <xdr:rowOff>96528</xdr:rowOff>
    </xdr:to>
    <xdr:sp macro="" textlink="MatchANALYSIS!$D13">
      <xdr:nvSpPr>
        <xdr:cNvPr id="22" name="Rectangle 21">
          <a:extLst>
            <a:ext uri="{FF2B5EF4-FFF2-40B4-BE49-F238E27FC236}">
              <a16:creationId xmlns:a16="http://schemas.microsoft.com/office/drawing/2014/main" id="{4AF518D9-550D-DF4D-94ED-A08D3B094041}"/>
            </a:ext>
          </a:extLst>
        </xdr:cNvPr>
        <xdr:cNvSpPr>
          <a:spLocks noChangeAspect="1"/>
        </xdr:cNvSpPr>
      </xdr:nvSpPr>
      <xdr:spPr>
        <a:xfrm>
          <a:off x="10795079" y="243477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272561-ED72-B94E-AF0D-CFCCBF3BFEFF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15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14</xdr:row>
      <xdr:rowOff>148779</xdr:rowOff>
    </xdr:from>
    <xdr:to>
      <xdr:col>12</xdr:col>
      <xdr:colOff>706808</xdr:colOff>
      <xdr:row>16</xdr:row>
      <xdr:rowOff>96528</xdr:rowOff>
    </xdr:to>
    <xdr:sp macro="" textlink="MatchANALYSIS!$C13">
      <xdr:nvSpPr>
        <xdr:cNvPr id="23" name="Rectangle 22">
          <a:extLst>
            <a:ext uri="{FF2B5EF4-FFF2-40B4-BE49-F238E27FC236}">
              <a16:creationId xmlns:a16="http://schemas.microsoft.com/office/drawing/2014/main" id="{B8EFF721-7024-0342-B0AE-1ECE1D2AF41B}"/>
            </a:ext>
          </a:extLst>
        </xdr:cNvPr>
        <xdr:cNvSpPr>
          <a:spLocks noChangeAspect="1"/>
        </xdr:cNvSpPr>
      </xdr:nvSpPr>
      <xdr:spPr>
        <a:xfrm>
          <a:off x="9898705" y="2434779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776D8DD-FA6E-654A-B47F-353C8CE9B356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17</xdr:row>
      <xdr:rowOff>9</xdr:rowOff>
    </xdr:from>
    <xdr:to>
      <xdr:col>13</xdr:col>
      <xdr:colOff>768610</xdr:colOff>
      <xdr:row>18</xdr:row>
      <xdr:rowOff>111043</xdr:rowOff>
    </xdr:to>
    <xdr:sp macro="" textlink="MatchANALYSIS!$D14">
      <xdr:nvSpPr>
        <xdr:cNvPr id="24" name="Rectangle 23">
          <a:extLst>
            <a:ext uri="{FF2B5EF4-FFF2-40B4-BE49-F238E27FC236}">
              <a16:creationId xmlns:a16="http://schemas.microsoft.com/office/drawing/2014/main" id="{4FA6B2C8-0AA2-B34B-B60E-3650DBB43F75}"/>
            </a:ext>
          </a:extLst>
        </xdr:cNvPr>
        <xdr:cNvSpPr>
          <a:spLocks noChangeAspect="1"/>
        </xdr:cNvSpPr>
      </xdr:nvSpPr>
      <xdr:spPr>
        <a:xfrm>
          <a:off x="10795079" y="277586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B963FC4-8DCC-C74A-9290-B58BD344B699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17</xdr:row>
      <xdr:rowOff>9</xdr:rowOff>
    </xdr:from>
    <xdr:to>
      <xdr:col>12</xdr:col>
      <xdr:colOff>706808</xdr:colOff>
      <xdr:row>18</xdr:row>
      <xdr:rowOff>111043</xdr:rowOff>
    </xdr:to>
    <xdr:sp macro="" textlink="MatchANALYSIS!$C14">
      <xdr:nvSpPr>
        <xdr:cNvPr id="25" name="Rectangle 24">
          <a:extLst>
            <a:ext uri="{FF2B5EF4-FFF2-40B4-BE49-F238E27FC236}">
              <a16:creationId xmlns:a16="http://schemas.microsoft.com/office/drawing/2014/main" id="{22F0866D-4AFB-644E-A4A5-6C4519DA863F}"/>
            </a:ext>
          </a:extLst>
        </xdr:cNvPr>
        <xdr:cNvSpPr>
          <a:spLocks noChangeAspect="1"/>
        </xdr:cNvSpPr>
      </xdr:nvSpPr>
      <xdr:spPr>
        <a:xfrm>
          <a:off x="9898705" y="277586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E1EFAE3-6DAA-AF4A-A4E6-701757040E7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780222</xdr:colOff>
      <xdr:row>19</xdr:row>
      <xdr:rowOff>18151</xdr:rowOff>
    </xdr:from>
    <xdr:to>
      <xdr:col>13</xdr:col>
      <xdr:colOff>768610</xdr:colOff>
      <xdr:row>20</xdr:row>
      <xdr:rowOff>129186</xdr:rowOff>
    </xdr:to>
    <xdr:sp macro="" textlink="MatchANALYSIS!$D15">
      <xdr:nvSpPr>
        <xdr:cNvPr id="26" name="Rectangle 25">
          <a:extLst>
            <a:ext uri="{FF2B5EF4-FFF2-40B4-BE49-F238E27FC236}">
              <a16:creationId xmlns:a16="http://schemas.microsoft.com/office/drawing/2014/main" id="{85DC46B7-9BC1-8B4C-A5FB-F406E3AF1517}"/>
            </a:ext>
          </a:extLst>
        </xdr:cNvPr>
        <xdr:cNvSpPr>
          <a:spLocks noChangeAspect="1"/>
        </xdr:cNvSpPr>
      </xdr:nvSpPr>
      <xdr:spPr>
        <a:xfrm>
          <a:off x="10795079" y="312058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5AC453B-A317-A84B-95B6-824BCF71CF3C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49%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718419</xdr:colOff>
      <xdr:row>19</xdr:row>
      <xdr:rowOff>18151</xdr:rowOff>
    </xdr:from>
    <xdr:to>
      <xdr:col>12</xdr:col>
      <xdr:colOff>706808</xdr:colOff>
      <xdr:row>20</xdr:row>
      <xdr:rowOff>129186</xdr:rowOff>
    </xdr:to>
    <xdr:sp macro="" textlink="MatchANALYSIS!$C15">
      <xdr:nvSpPr>
        <xdr:cNvPr id="27" name="Rectangle 26">
          <a:extLst>
            <a:ext uri="{FF2B5EF4-FFF2-40B4-BE49-F238E27FC236}">
              <a16:creationId xmlns:a16="http://schemas.microsoft.com/office/drawing/2014/main" id="{8B6E6245-D090-2243-B4AD-DC0FF500EB81}"/>
            </a:ext>
          </a:extLst>
        </xdr:cNvPr>
        <xdr:cNvSpPr>
          <a:spLocks noChangeAspect="1"/>
        </xdr:cNvSpPr>
      </xdr:nvSpPr>
      <xdr:spPr>
        <a:xfrm>
          <a:off x="9898705" y="312058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435BBC1-747C-8B47-BB86-45ECC6CD61D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51%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10</xdr:col>
      <xdr:colOff>671248</xdr:colOff>
      <xdr:row>12</xdr:row>
      <xdr:rowOff>123378</xdr:rowOff>
    </xdr:from>
    <xdr:to>
      <xdr:col>11</xdr:col>
      <xdr:colOff>659636</xdr:colOff>
      <xdr:row>14</xdr:row>
      <xdr:rowOff>71127</xdr:rowOff>
    </xdr:to>
    <xdr:sp macro="" textlink="MatchANALYSIS!$B12">
      <xdr:nvSpPr>
        <xdr:cNvPr id="28" name="Rectangle 27">
          <a:extLst>
            <a:ext uri="{FF2B5EF4-FFF2-40B4-BE49-F238E27FC236}">
              <a16:creationId xmlns:a16="http://schemas.microsoft.com/office/drawing/2014/main" id="{0E2F9DC1-2222-E345-90B6-B9B308FEC35D}"/>
            </a:ext>
          </a:extLst>
        </xdr:cNvPr>
        <xdr:cNvSpPr>
          <a:spLocks noChangeAspect="1"/>
        </xdr:cNvSpPr>
      </xdr:nvSpPr>
      <xdr:spPr>
        <a:xfrm>
          <a:off x="9016962" y="208280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B940BC5-3DAE-6449-AEE5-18A0D7E8F052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Total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14</xdr:row>
      <xdr:rowOff>148779</xdr:rowOff>
    </xdr:from>
    <xdr:to>
      <xdr:col>11</xdr:col>
      <xdr:colOff>659636</xdr:colOff>
      <xdr:row>16</xdr:row>
      <xdr:rowOff>96528</xdr:rowOff>
    </xdr:to>
    <xdr:sp macro="" textlink="MatchANALYSIS!$B13">
      <xdr:nvSpPr>
        <xdr:cNvPr id="29" name="Rectangle 28">
          <a:extLst>
            <a:ext uri="{FF2B5EF4-FFF2-40B4-BE49-F238E27FC236}">
              <a16:creationId xmlns:a16="http://schemas.microsoft.com/office/drawing/2014/main" id="{D20B9DFD-90B6-5047-AAE7-8B0AAB32DFFE}"/>
            </a:ext>
          </a:extLst>
        </xdr:cNvPr>
        <xdr:cNvSpPr>
          <a:spLocks noChangeAspect="1"/>
        </xdr:cNvSpPr>
      </xdr:nvSpPr>
      <xdr:spPr>
        <a:xfrm>
          <a:off x="9016962" y="243477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0868193-6F66-4C4A-BD10-CBC120A971C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Won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17</xdr:row>
      <xdr:rowOff>9</xdr:rowOff>
    </xdr:from>
    <xdr:to>
      <xdr:col>11</xdr:col>
      <xdr:colOff>659636</xdr:colOff>
      <xdr:row>18</xdr:row>
      <xdr:rowOff>111043</xdr:rowOff>
    </xdr:to>
    <xdr:sp macro="" textlink="MatchANALYSIS!$B14">
      <xdr:nvSpPr>
        <xdr:cNvPr id="30" name="Rectangle 29">
          <a:extLst>
            <a:ext uri="{FF2B5EF4-FFF2-40B4-BE49-F238E27FC236}">
              <a16:creationId xmlns:a16="http://schemas.microsoft.com/office/drawing/2014/main" id="{5E71DEB2-8D2E-2944-8AFB-3C59F1FFD22D}"/>
            </a:ext>
          </a:extLst>
        </xdr:cNvPr>
        <xdr:cNvSpPr>
          <a:spLocks noChangeAspect="1"/>
        </xdr:cNvSpPr>
      </xdr:nvSpPr>
      <xdr:spPr>
        <a:xfrm>
          <a:off x="9016962" y="277586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5FE2C5C-BC35-9D40-B892-581D5904669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Lost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19</xdr:row>
      <xdr:rowOff>18151</xdr:rowOff>
    </xdr:from>
    <xdr:to>
      <xdr:col>11</xdr:col>
      <xdr:colOff>659636</xdr:colOff>
      <xdr:row>20</xdr:row>
      <xdr:rowOff>129186</xdr:rowOff>
    </xdr:to>
    <xdr:sp macro="" textlink="MatchANALYSIS!$B15">
      <xdr:nvSpPr>
        <xdr:cNvPr id="31" name="Rectangle 30">
          <a:extLst>
            <a:ext uri="{FF2B5EF4-FFF2-40B4-BE49-F238E27FC236}">
              <a16:creationId xmlns:a16="http://schemas.microsoft.com/office/drawing/2014/main" id="{0160CDD4-1498-EC4B-9900-D48340F5BA5C}"/>
            </a:ext>
          </a:extLst>
        </xdr:cNvPr>
        <xdr:cNvSpPr>
          <a:spLocks noChangeAspect="1"/>
        </xdr:cNvSpPr>
      </xdr:nvSpPr>
      <xdr:spPr>
        <a:xfrm>
          <a:off x="9016962" y="312058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3D00A4D-3AE9-A04F-8D95-87D0E6681A6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7</xdr:col>
      <xdr:colOff>145144</xdr:colOff>
      <xdr:row>29</xdr:row>
      <xdr:rowOff>62421</xdr:rowOff>
    </xdr:from>
    <xdr:to>
      <xdr:col>10</xdr:col>
      <xdr:colOff>435430</xdr:colOff>
      <xdr:row>46</xdr:row>
      <xdr:rowOff>29764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F7F687-F512-DB48-BFC0-6D52E4B37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471715</xdr:colOff>
      <xdr:row>29</xdr:row>
      <xdr:rowOff>62421</xdr:rowOff>
    </xdr:from>
    <xdr:to>
      <xdr:col>13</xdr:col>
      <xdr:colOff>725714</xdr:colOff>
      <xdr:row>46</xdr:row>
      <xdr:rowOff>29764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A840A39-A75B-944F-9ED1-0BA1D3CA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812802</xdr:colOff>
      <xdr:row>37</xdr:row>
      <xdr:rowOff>50800</xdr:rowOff>
    </xdr:from>
    <xdr:to>
      <xdr:col>15</xdr:col>
      <xdr:colOff>515260</xdr:colOff>
      <xdr:row>40</xdr:row>
      <xdr:rowOff>18142</xdr:rowOff>
    </xdr:to>
    <xdr:sp macro="" textlink="Location2ANALYSIS!F27">
      <xdr:nvSpPr>
        <xdr:cNvPr id="167" name="Rectangle 166">
          <a:extLst>
            <a:ext uri="{FF2B5EF4-FFF2-40B4-BE49-F238E27FC236}">
              <a16:creationId xmlns:a16="http://schemas.microsoft.com/office/drawing/2014/main" id="{00A80130-A772-F047-9842-4299AFE19638}"/>
            </a:ext>
          </a:extLst>
        </xdr:cNvPr>
        <xdr:cNvSpPr>
          <a:spLocks noChangeAspect="1"/>
        </xdr:cNvSpPr>
      </xdr:nvSpPr>
      <xdr:spPr>
        <a:xfrm>
          <a:off x="11662231" y="6092371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3030DCF-E063-D14F-8D0C-A777C1216FC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830945</xdr:colOff>
      <xdr:row>43</xdr:row>
      <xdr:rowOff>148770</xdr:rowOff>
    </xdr:from>
    <xdr:to>
      <xdr:col>15</xdr:col>
      <xdr:colOff>533403</xdr:colOff>
      <xdr:row>46</xdr:row>
      <xdr:rowOff>116113</xdr:rowOff>
    </xdr:to>
    <xdr:sp macro="" textlink="Location2ANALYSIS!F25">
      <xdr:nvSpPr>
        <xdr:cNvPr id="168" name="Rectangle 167">
          <a:extLst>
            <a:ext uri="{FF2B5EF4-FFF2-40B4-BE49-F238E27FC236}">
              <a16:creationId xmlns:a16="http://schemas.microsoft.com/office/drawing/2014/main" id="{AB42CF42-3284-7545-8B30-A4B5B348755A}"/>
            </a:ext>
          </a:extLst>
        </xdr:cNvPr>
        <xdr:cNvSpPr>
          <a:spLocks noChangeAspect="1"/>
        </xdr:cNvSpPr>
      </xdr:nvSpPr>
      <xdr:spPr>
        <a:xfrm>
          <a:off x="11680374" y="717005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BFB9CDF-061B-CE47-8A8D-F2BEAB0C6FE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i="0"/>
        </a:p>
      </xdr:txBody>
    </xdr:sp>
    <xdr:clientData/>
  </xdr:twoCellAnchor>
  <xdr:twoCellAnchor>
    <xdr:from>
      <xdr:col>25</xdr:col>
      <xdr:colOff>21340</xdr:colOff>
      <xdr:row>5</xdr:row>
      <xdr:rowOff>6</xdr:rowOff>
    </xdr:from>
    <xdr:to>
      <xdr:col>27</xdr:col>
      <xdr:colOff>743818</xdr:colOff>
      <xdr:row>19</xdr:row>
      <xdr:rowOff>67951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75B80799-1BF1-7040-8FEC-3BEA78D5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36952</xdr:colOff>
      <xdr:row>11</xdr:row>
      <xdr:rowOff>119169</xdr:rowOff>
    </xdr:from>
    <xdr:to>
      <xdr:col>23</xdr:col>
      <xdr:colOff>580691</xdr:colOff>
      <xdr:row>13</xdr:row>
      <xdr:rowOff>54208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98A78215-999C-1C46-826A-5E09B11A9992}"/>
            </a:ext>
          </a:extLst>
        </xdr:cNvPr>
        <xdr:cNvSpPr txBox="1"/>
      </xdr:nvSpPr>
      <xdr:spPr>
        <a:xfrm>
          <a:off x="19232095" y="1915312"/>
          <a:ext cx="54373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824623</xdr:colOff>
      <xdr:row>15</xdr:row>
      <xdr:rowOff>59344</xdr:rowOff>
    </xdr:from>
    <xdr:to>
      <xdr:col>23</xdr:col>
      <xdr:colOff>665199</xdr:colOff>
      <xdr:row>16</xdr:row>
      <xdr:rowOff>150616</xdr:rowOff>
    </xdr:to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1708BD2-407E-3E4C-ABD9-15EA83CFEB3A}"/>
            </a:ext>
          </a:extLst>
        </xdr:cNvPr>
        <xdr:cNvSpPr txBox="1"/>
      </xdr:nvSpPr>
      <xdr:spPr>
        <a:xfrm>
          <a:off x="19185194" y="2508630"/>
          <a:ext cx="67514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23</xdr:col>
      <xdr:colOff>25025</xdr:colOff>
      <xdr:row>8</xdr:row>
      <xdr:rowOff>12378</xdr:rowOff>
    </xdr:from>
    <xdr:to>
      <xdr:col>23</xdr:col>
      <xdr:colOff>685038</xdr:colOff>
      <xdr:row>9</xdr:row>
      <xdr:rowOff>110703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496B18DF-A7C6-9E4A-AC93-042088200A9E}"/>
            </a:ext>
          </a:extLst>
        </xdr:cNvPr>
        <xdr:cNvSpPr txBox="1"/>
      </xdr:nvSpPr>
      <xdr:spPr>
        <a:xfrm>
          <a:off x="19220168" y="1318664"/>
          <a:ext cx="660013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733095</xdr:colOff>
      <xdr:row>26</xdr:row>
      <xdr:rowOff>36285</xdr:rowOff>
    </xdr:from>
    <xdr:to>
      <xdr:col>26</xdr:col>
      <xdr:colOff>721484</xdr:colOff>
      <xdr:row>27</xdr:row>
      <xdr:rowOff>147320</xdr:rowOff>
    </xdr:to>
    <xdr:sp macro="" textlink="MatchANALYSIS!H16">
      <xdr:nvSpPr>
        <xdr:cNvPr id="179" name="Rectangle 178">
          <a:extLst>
            <a:ext uri="{FF2B5EF4-FFF2-40B4-BE49-F238E27FC236}">
              <a16:creationId xmlns:a16="http://schemas.microsoft.com/office/drawing/2014/main" id="{62ECADDD-A3EC-7E4B-8D25-9D8B496C2111}"/>
            </a:ext>
          </a:extLst>
        </xdr:cNvPr>
        <xdr:cNvSpPr>
          <a:spLocks noChangeAspect="1"/>
        </xdr:cNvSpPr>
      </xdr:nvSpPr>
      <xdr:spPr>
        <a:xfrm>
          <a:off x="21597381" y="4281714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90F563D-F11B-D843-9567-8ED16686022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32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26</xdr:row>
      <xdr:rowOff>36285</xdr:rowOff>
    </xdr:from>
    <xdr:to>
      <xdr:col>23</xdr:col>
      <xdr:colOff>670559</xdr:colOff>
      <xdr:row>27</xdr:row>
      <xdr:rowOff>147320</xdr:rowOff>
    </xdr:to>
    <xdr:sp macro="" textlink="MatchANALYSIS!G16">
      <xdr:nvSpPr>
        <xdr:cNvPr id="180" name="Rectangle 179">
          <a:extLst>
            <a:ext uri="{FF2B5EF4-FFF2-40B4-BE49-F238E27FC236}">
              <a16:creationId xmlns:a16="http://schemas.microsoft.com/office/drawing/2014/main" id="{776E1DE5-CF76-AE4D-B971-B6404780FDD5}"/>
            </a:ext>
          </a:extLst>
        </xdr:cNvPr>
        <xdr:cNvSpPr>
          <a:spLocks noChangeAspect="1"/>
        </xdr:cNvSpPr>
      </xdr:nvSpPr>
      <xdr:spPr>
        <a:xfrm>
          <a:off x="19042742" y="4281714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0B73A08-D86F-4A4B-8FFF-1CDAC71BA1E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33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26</xdr:row>
      <xdr:rowOff>36285</xdr:rowOff>
    </xdr:from>
    <xdr:to>
      <xdr:col>25</xdr:col>
      <xdr:colOff>629194</xdr:colOff>
      <xdr:row>27</xdr:row>
      <xdr:rowOff>147320</xdr:rowOff>
    </xdr:to>
    <xdr:sp macro="" textlink="MatchANALYSIS!$F16">
      <xdr:nvSpPr>
        <xdr:cNvPr id="181" name="Rectangle 180">
          <a:extLst>
            <a:ext uri="{FF2B5EF4-FFF2-40B4-BE49-F238E27FC236}">
              <a16:creationId xmlns:a16="http://schemas.microsoft.com/office/drawing/2014/main" id="{29FA1B0C-6395-FA4B-BF25-F55C181E279E}"/>
            </a:ext>
          </a:extLst>
        </xdr:cNvPr>
        <xdr:cNvSpPr>
          <a:spLocks/>
        </xdr:cNvSpPr>
      </xdr:nvSpPr>
      <xdr:spPr>
        <a:xfrm>
          <a:off x="19939000" y="428171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24</xdr:row>
      <xdr:rowOff>1</xdr:rowOff>
    </xdr:from>
    <xdr:to>
      <xdr:col>26</xdr:col>
      <xdr:colOff>721484</xdr:colOff>
      <xdr:row>25</xdr:row>
      <xdr:rowOff>111035</xdr:rowOff>
    </xdr:to>
    <xdr:sp macro="" textlink="[1]Match!$C$1">
      <xdr:nvSpPr>
        <xdr:cNvPr id="182" name="Rectangle 181">
          <a:extLst>
            <a:ext uri="{FF2B5EF4-FFF2-40B4-BE49-F238E27FC236}">
              <a16:creationId xmlns:a16="http://schemas.microsoft.com/office/drawing/2014/main" id="{267D5C81-D2D4-2F4D-B6C3-3D5DA6F7D607}"/>
            </a:ext>
          </a:extLst>
        </xdr:cNvPr>
        <xdr:cNvSpPr>
          <a:spLocks noChangeAspect="1"/>
        </xdr:cNvSpPr>
      </xdr:nvSpPr>
      <xdr:spPr>
        <a:xfrm>
          <a:off x="21597381" y="3918858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09626DC-D717-D74C-886F-5DC9658247A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24</xdr:row>
      <xdr:rowOff>1</xdr:rowOff>
    </xdr:from>
    <xdr:to>
      <xdr:col>23</xdr:col>
      <xdr:colOff>670559</xdr:colOff>
      <xdr:row>25</xdr:row>
      <xdr:rowOff>111035</xdr:rowOff>
    </xdr:to>
    <xdr:sp macro="" textlink="[1]Match!$B$1">
      <xdr:nvSpPr>
        <xdr:cNvPr id="183" name="Rectangle 182">
          <a:extLst>
            <a:ext uri="{FF2B5EF4-FFF2-40B4-BE49-F238E27FC236}">
              <a16:creationId xmlns:a16="http://schemas.microsoft.com/office/drawing/2014/main" id="{BEE44D06-DDEC-3A42-814C-EB57939741CE}"/>
            </a:ext>
          </a:extLst>
        </xdr:cNvPr>
        <xdr:cNvSpPr>
          <a:spLocks noChangeAspect="1"/>
        </xdr:cNvSpPr>
      </xdr:nvSpPr>
      <xdr:spPr>
        <a:xfrm>
          <a:off x="19042742" y="3918858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CFDC804-ADEB-8244-9743-49B2787D5376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733095</xdr:colOff>
      <xdr:row>28</xdr:row>
      <xdr:rowOff>61686</xdr:rowOff>
    </xdr:from>
    <xdr:to>
      <xdr:col>26</xdr:col>
      <xdr:colOff>721484</xdr:colOff>
      <xdr:row>30</xdr:row>
      <xdr:rowOff>9435</xdr:rowOff>
    </xdr:to>
    <xdr:sp macro="" textlink="MatchANALYSIS!H18">
      <xdr:nvSpPr>
        <xdr:cNvPr id="184" name="Rectangle 183">
          <a:extLst>
            <a:ext uri="{FF2B5EF4-FFF2-40B4-BE49-F238E27FC236}">
              <a16:creationId xmlns:a16="http://schemas.microsoft.com/office/drawing/2014/main" id="{2B0C92A6-18DF-B140-BBB6-AD56A065A552}"/>
            </a:ext>
          </a:extLst>
        </xdr:cNvPr>
        <xdr:cNvSpPr>
          <a:spLocks noChangeAspect="1"/>
        </xdr:cNvSpPr>
      </xdr:nvSpPr>
      <xdr:spPr>
        <a:xfrm>
          <a:off x="21597381" y="46336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51061-9D9C-7B41-A053-B584BFD753E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17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28</xdr:row>
      <xdr:rowOff>61686</xdr:rowOff>
    </xdr:from>
    <xdr:to>
      <xdr:col>23</xdr:col>
      <xdr:colOff>670559</xdr:colOff>
      <xdr:row>30</xdr:row>
      <xdr:rowOff>9435</xdr:rowOff>
    </xdr:to>
    <xdr:sp macro="" textlink="MatchANALYSIS!G18">
      <xdr:nvSpPr>
        <xdr:cNvPr id="185" name="Rectangle 184">
          <a:extLst>
            <a:ext uri="{FF2B5EF4-FFF2-40B4-BE49-F238E27FC236}">
              <a16:creationId xmlns:a16="http://schemas.microsoft.com/office/drawing/2014/main" id="{FF854B68-239D-CE42-90B9-362FE8DE2788}"/>
            </a:ext>
          </a:extLst>
        </xdr:cNvPr>
        <xdr:cNvSpPr>
          <a:spLocks noChangeAspect="1"/>
        </xdr:cNvSpPr>
      </xdr:nvSpPr>
      <xdr:spPr>
        <a:xfrm>
          <a:off x="19042742" y="463368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87EA374-5185-334E-87F0-982EE3A95E6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28</xdr:row>
      <xdr:rowOff>61686</xdr:rowOff>
    </xdr:from>
    <xdr:to>
      <xdr:col>25</xdr:col>
      <xdr:colOff>629194</xdr:colOff>
      <xdr:row>30</xdr:row>
      <xdr:rowOff>9435</xdr:rowOff>
    </xdr:to>
    <xdr:sp macro="" textlink="MatchANALYSIS!F18">
      <xdr:nvSpPr>
        <xdr:cNvPr id="186" name="Rectangle 185">
          <a:extLst>
            <a:ext uri="{FF2B5EF4-FFF2-40B4-BE49-F238E27FC236}">
              <a16:creationId xmlns:a16="http://schemas.microsoft.com/office/drawing/2014/main" id="{0E6EF72B-20F5-1F43-AE09-0DC4C6A09BE4}"/>
            </a:ext>
          </a:extLst>
        </xdr:cNvPr>
        <xdr:cNvSpPr>
          <a:spLocks/>
        </xdr:cNvSpPr>
      </xdr:nvSpPr>
      <xdr:spPr>
        <a:xfrm>
          <a:off x="19939000" y="463368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30</xdr:row>
      <xdr:rowOff>87086</xdr:rowOff>
    </xdr:from>
    <xdr:to>
      <xdr:col>26</xdr:col>
      <xdr:colOff>721484</xdr:colOff>
      <xdr:row>32</xdr:row>
      <xdr:rowOff>34834</xdr:rowOff>
    </xdr:to>
    <xdr:sp macro="" textlink="MatchANALYSIS!H19">
      <xdr:nvSpPr>
        <xdr:cNvPr id="187" name="Rectangle 186">
          <a:extLst>
            <a:ext uri="{FF2B5EF4-FFF2-40B4-BE49-F238E27FC236}">
              <a16:creationId xmlns:a16="http://schemas.microsoft.com/office/drawing/2014/main" id="{84664C65-0B23-DE4E-ABEA-592FE3A0AD73}"/>
            </a:ext>
          </a:extLst>
        </xdr:cNvPr>
        <xdr:cNvSpPr>
          <a:spLocks noChangeAspect="1"/>
        </xdr:cNvSpPr>
      </xdr:nvSpPr>
      <xdr:spPr>
        <a:xfrm>
          <a:off x="21597381" y="498565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645D74F-6FBE-3C41-99B3-B4720FB1B329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30</xdr:row>
      <xdr:rowOff>87086</xdr:rowOff>
    </xdr:from>
    <xdr:to>
      <xdr:col>23</xdr:col>
      <xdr:colOff>670559</xdr:colOff>
      <xdr:row>32</xdr:row>
      <xdr:rowOff>34834</xdr:rowOff>
    </xdr:to>
    <xdr:sp macro="" textlink="MatchANALYSIS!G19">
      <xdr:nvSpPr>
        <xdr:cNvPr id="188" name="Rectangle 187">
          <a:extLst>
            <a:ext uri="{FF2B5EF4-FFF2-40B4-BE49-F238E27FC236}">
              <a16:creationId xmlns:a16="http://schemas.microsoft.com/office/drawing/2014/main" id="{D54ED311-5425-144D-B2C2-41D688ED94D0}"/>
            </a:ext>
          </a:extLst>
        </xdr:cNvPr>
        <xdr:cNvSpPr>
          <a:spLocks noChangeAspect="1"/>
        </xdr:cNvSpPr>
      </xdr:nvSpPr>
      <xdr:spPr>
        <a:xfrm>
          <a:off x="19042742" y="498565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E46A0CA-CB8A-094C-8660-F56EF211DC9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30</xdr:row>
      <xdr:rowOff>87086</xdr:rowOff>
    </xdr:from>
    <xdr:to>
      <xdr:col>25</xdr:col>
      <xdr:colOff>629194</xdr:colOff>
      <xdr:row>32</xdr:row>
      <xdr:rowOff>34834</xdr:rowOff>
    </xdr:to>
    <xdr:sp macro="" textlink="MatchANALYSIS!F19">
      <xdr:nvSpPr>
        <xdr:cNvPr id="189" name="Rectangle 188">
          <a:extLst>
            <a:ext uri="{FF2B5EF4-FFF2-40B4-BE49-F238E27FC236}">
              <a16:creationId xmlns:a16="http://schemas.microsoft.com/office/drawing/2014/main" id="{66EA1E3B-DBC6-F846-8729-CF49FD14448C}"/>
            </a:ext>
          </a:extLst>
        </xdr:cNvPr>
        <xdr:cNvSpPr>
          <a:spLocks/>
        </xdr:cNvSpPr>
      </xdr:nvSpPr>
      <xdr:spPr>
        <a:xfrm>
          <a:off x="19939000" y="498565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32</xdr:row>
      <xdr:rowOff>112486</xdr:rowOff>
    </xdr:from>
    <xdr:to>
      <xdr:col>26</xdr:col>
      <xdr:colOff>721484</xdr:colOff>
      <xdr:row>34</xdr:row>
      <xdr:rowOff>60235</xdr:rowOff>
    </xdr:to>
    <xdr:sp macro="" textlink="MatchANALYSIS!H13">
      <xdr:nvSpPr>
        <xdr:cNvPr id="190" name="Rectangle 189">
          <a:extLst>
            <a:ext uri="{FF2B5EF4-FFF2-40B4-BE49-F238E27FC236}">
              <a16:creationId xmlns:a16="http://schemas.microsoft.com/office/drawing/2014/main" id="{6E018F8A-5264-DC4A-AAE4-F28145460D36}"/>
            </a:ext>
          </a:extLst>
        </xdr:cNvPr>
        <xdr:cNvSpPr>
          <a:spLocks noChangeAspect="1"/>
        </xdr:cNvSpPr>
      </xdr:nvSpPr>
      <xdr:spPr>
        <a:xfrm>
          <a:off x="21597381" y="5337629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6FC7C11-2AFE-E741-B943-7CB0AD688E3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15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32</xdr:row>
      <xdr:rowOff>112486</xdr:rowOff>
    </xdr:from>
    <xdr:to>
      <xdr:col>23</xdr:col>
      <xdr:colOff>670559</xdr:colOff>
      <xdr:row>34</xdr:row>
      <xdr:rowOff>60235</xdr:rowOff>
    </xdr:to>
    <xdr:sp macro="" textlink="MatchANALYSIS!G13">
      <xdr:nvSpPr>
        <xdr:cNvPr id="191" name="Rectangle 190">
          <a:extLst>
            <a:ext uri="{FF2B5EF4-FFF2-40B4-BE49-F238E27FC236}">
              <a16:creationId xmlns:a16="http://schemas.microsoft.com/office/drawing/2014/main" id="{6806085E-6DBA-2640-83EE-4689855302DA}"/>
            </a:ext>
          </a:extLst>
        </xdr:cNvPr>
        <xdr:cNvSpPr>
          <a:spLocks noChangeAspect="1"/>
        </xdr:cNvSpPr>
      </xdr:nvSpPr>
      <xdr:spPr>
        <a:xfrm>
          <a:off x="19042742" y="5337629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C18ECE-94A8-844E-B832-EBF6BF0309B1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32</xdr:row>
      <xdr:rowOff>112486</xdr:rowOff>
    </xdr:from>
    <xdr:to>
      <xdr:col>25</xdr:col>
      <xdr:colOff>629194</xdr:colOff>
      <xdr:row>34</xdr:row>
      <xdr:rowOff>60235</xdr:rowOff>
    </xdr:to>
    <xdr:sp macro="" textlink="MatchANALYSIS!F13">
      <xdr:nvSpPr>
        <xdr:cNvPr id="192" name="Rectangle 191">
          <a:extLst>
            <a:ext uri="{FF2B5EF4-FFF2-40B4-BE49-F238E27FC236}">
              <a16:creationId xmlns:a16="http://schemas.microsoft.com/office/drawing/2014/main" id="{63AB557C-EDE3-7341-B665-642C673C5427}"/>
            </a:ext>
          </a:extLst>
        </xdr:cNvPr>
        <xdr:cNvSpPr>
          <a:spLocks/>
        </xdr:cNvSpPr>
      </xdr:nvSpPr>
      <xdr:spPr>
        <a:xfrm>
          <a:off x="19939000" y="5337629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745795</xdr:colOff>
      <xdr:row>34</xdr:row>
      <xdr:rowOff>119744</xdr:rowOff>
    </xdr:from>
    <xdr:to>
      <xdr:col>26</xdr:col>
      <xdr:colOff>721484</xdr:colOff>
      <xdr:row>36</xdr:row>
      <xdr:rowOff>67492</xdr:rowOff>
    </xdr:to>
    <xdr:sp macro="" textlink="MatchANALYSIS!H14">
      <xdr:nvSpPr>
        <xdr:cNvPr id="193" name="Rectangle 192">
          <a:extLst>
            <a:ext uri="{FF2B5EF4-FFF2-40B4-BE49-F238E27FC236}">
              <a16:creationId xmlns:a16="http://schemas.microsoft.com/office/drawing/2014/main" id="{71E75F21-08C5-CE43-8032-52BEB2AA9853}"/>
            </a:ext>
          </a:extLst>
        </xdr:cNvPr>
        <xdr:cNvSpPr>
          <a:spLocks noChangeAspect="1"/>
        </xdr:cNvSpPr>
      </xdr:nvSpPr>
      <xdr:spPr>
        <a:xfrm>
          <a:off x="21610081" y="5671458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66B78A2-4E76-814A-BFAF-4964E43EA9F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34</xdr:row>
      <xdr:rowOff>119744</xdr:rowOff>
    </xdr:from>
    <xdr:to>
      <xdr:col>23</xdr:col>
      <xdr:colOff>670559</xdr:colOff>
      <xdr:row>36</xdr:row>
      <xdr:rowOff>67492</xdr:rowOff>
    </xdr:to>
    <xdr:sp macro="" textlink="MatchANALYSIS!G14">
      <xdr:nvSpPr>
        <xdr:cNvPr id="194" name="Rectangle 193">
          <a:extLst>
            <a:ext uri="{FF2B5EF4-FFF2-40B4-BE49-F238E27FC236}">
              <a16:creationId xmlns:a16="http://schemas.microsoft.com/office/drawing/2014/main" id="{4EBA5B97-A7F6-3744-A4B1-865B0940C195}"/>
            </a:ext>
          </a:extLst>
        </xdr:cNvPr>
        <xdr:cNvSpPr>
          <a:spLocks noChangeAspect="1"/>
        </xdr:cNvSpPr>
      </xdr:nvSpPr>
      <xdr:spPr>
        <a:xfrm>
          <a:off x="19042742" y="5671458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C0321AF-7F51-5844-871C-41895D2AF95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34</xdr:row>
      <xdr:rowOff>119744</xdr:rowOff>
    </xdr:from>
    <xdr:to>
      <xdr:col>25</xdr:col>
      <xdr:colOff>629194</xdr:colOff>
      <xdr:row>36</xdr:row>
      <xdr:rowOff>67492</xdr:rowOff>
    </xdr:to>
    <xdr:sp macro="" textlink="MatchANALYSIS!F14">
      <xdr:nvSpPr>
        <xdr:cNvPr id="195" name="Rectangle 194">
          <a:extLst>
            <a:ext uri="{FF2B5EF4-FFF2-40B4-BE49-F238E27FC236}">
              <a16:creationId xmlns:a16="http://schemas.microsoft.com/office/drawing/2014/main" id="{B3C0EDEE-67A9-1840-9C03-E1A65E1C6CE3}"/>
            </a:ext>
          </a:extLst>
        </xdr:cNvPr>
        <xdr:cNvSpPr>
          <a:spLocks/>
        </xdr:cNvSpPr>
      </xdr:nvSpPr>
      <xdr:spPr>
        <a:xfrm>
          <a:off x="19939000" y="5671458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37</xdr:row>
      <xdr:rowOff>2</xdr:rowOff>
    </xdr:from>
    <xdr:to>
      <xdr:col>26</xdr:col>
      <xdr:colOff>721484</xdr:colOff>
      <xdr:row>38</xdr:row>
      <xdr:rowOff>111036</xdr:rowOff>
    </xdr:to>
    <xdr:sp macro="" textlink="MatchANALYSIS!H9">
      <xdr:nvSpPr>
        <xdr:cNvPr id="196" name="Rectangle 195">
          <a:extLst>
            <a:ext uri="{FF2B5EF4-FFF2-40B4-BE49-F238E27FC236}">
              <a16:creationId xmlns:a16="http://schemas.microsoft.com/office/drawing/2014/main" id="{2D230FDA-B5B1-4C4B-A80E-FAF7A168C381}"/>
            </a:ext>
          </a:extLst>
        </xdr:cNvPr>
        <xdr:cNvSpPr>
          <a:spLocks noChangeAspect="1"/>
        </xdr:cNvSpPr>
      </xdr:nvSpPr>
      <xdr:spPr>
        <a:xfrm>
          <a:off x="21597381" y="6041573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4019CB8-CE98-4D4A-AC18-CC9EBD01546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37</xdr:row>
      <xdr:rowOff>2</xdr:rowOff>
    </xdr:from>
    <xdr:to>
      <xdr:col>23</xdr:col>
      <xdr:colOff>670559</xdr:colOff>
      <xdr:row>38</xdr:row>
      <xdr:rowOff>111036</xdr:rowOff>
    </xdr:to>
    <xdr:sp macro="" textlink="MatchANALYSIS!G9">
      <xdr:nvSpPr>
        <xdr:cNvPr id="197" name="Rectangle 196">
          <a:extLst>
            <a:ext uri="{FF2B5EF4-FFF2-40B4-BE49-F238E27FC236}">
              <a16:creationId xmlns:a16="http://schemas.microsoft.com/office/drawing/2014/main" id="{DB34CA33-05E1-164B-8A0C-B8C8DDE7E122}"/>
            </a:ext>
          </a:extLst>
        </xdr:cNvPr>
        <xdr:cNvSpPr>
          <a:spLocks noChangeAspect="1"/>
        </xdr:cNvSpPr>
      </xdr:nvSpPr>
      <xdr:spPr>
        <a:xfrm>
          <a:off x="19042742" y="6041573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EC57837-B5E8-4047-8593-E1B7D967880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37</xdr:row>
      <xdr:rowOff>2</xdr:rowOff>
    </xdr:from>
    <xdr:to>
      <xdr:col>25</xdr:col>
      <xdr:colOff>629194</xdr:colOff>
      <xdr:row>38</xdr:row>
      <xdr:rowOff>111036</xdr:rowOff>
    </xdr:to>
    <xdr:sp macro="" textlink="MatchANALYSIS!F9">
      <xdr:nvSpPr>
        <xdr:cNvPr id="198" name="Rectangle 197">
          <a:extLst>
            <a:ext uri="{FF2B5EF4-FFF2-40B4-BE49-F238E27FC236}">
              <a16:creationId xmlns:a16="http://schemas.microsoft.com/office/drawing/2014/main" id="{C34199C7-8DE4-C144-8F8E-AA9F92420A7A}"/>
            </a:ext>
          </a:extLst>
        </xdr:cNvPr>
        <xdr:cNvSpPr>
          <a:spLocks/>
        </xdr:cNvSpPr>
      </xdr:nvSpPr>
      <xdr:spPr>
        <a:xfrm>
          <a:off x="19939000" y="6041573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39</xdr:row>
      <xdr:rowOff>25402</xdr:rowOff>
    </xdr:from>
    <xdr:to>
      <xdr:col>26</xdr:col>
      <xdr:colOff>721484</xdr:colOff>
      <xdr:row>40</xdr:row>
      <xdr:rowOff>136436</xdr:rowOff>
    </xdr:to>
    <xdr:sp macro="" textlink="MatchANALYSIS!H4">
      <xdr:nvSpPr>
        <xdr:cNvPr id="199" name="Rectangle 198">
          <a:extLst>
            <a:ext uri="{FF2B5EF4-FFF2-40B4-BE49-F238E27FC236}">
              <a16:creationId xmlns:a16="http://schemas.microsoft.com/office/drawing/2014/main" id="{E7E2CC4E-3E3A-974B-9365-EDF153D0956D}"/>
            </a:ext>
          </a:extLst>
        </xdr:cNvPr>
        <xdr:cNvSpPr>
          <a:spLocks noChangeAspect="1"/>
        </xdr:cNvSpPr>
      </xdr:nvSpPr>
      <xdr:spPr>
        <a:xfrm>
          <a:off x="21597381" y="6393545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860D54E-1373-7C4F-9ED8-2762B27AADBA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39</xdr:row>
      <xdr:rowOff>25402</xdr:rowOff>
    </xdr:from>
    <xdr:to>
      <xdr:col>23</xdr:col>
      <xdr:colOff>670559</xdr:colOff>
      <xdr:row>40</xdr:row>
      <xdr:rowOff>136436</xdr:rowOff>
    </xdr:to>
    <xdr:sp macro="" textlink="MatchANALYSIS!G4">
      <xdr:nvSpPr>
        <xdr:cNvPr id="200" name="Rectangle 199">
          <a:extLst>
            <a:ext uri="{FF2B5EF4-FFF2-40B4-BE49-F238E27FC236}">
              <a16:creationId xmlns:a16="http://schemas.microsoft.com/office/drawing/2014/main" id="{41E1909C-90CF-FA45-8587-36CBB7F2DF41}"/>
            </a:ext>
          </a:extLst>
        </xdr:cNvPr>
        <xdr:cNvSpPr>
          <a:spLocks noChangeAspect="1"/>
        </xdr:cNvSpPr>
      </xdr:nvSpPr>
      <xdr:spPr>
        <a:xfrm>
          <a:off x="19042742" y="639354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13E0EB-34EB-7143-AA9A-97792726DA0A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39</xdr:row>
      <xdr:rowOff>25402</xdr:rowOff>
    </xdr:from>
    <xdr:to>
      <xdr:col>25</xdr:col>
      <xdr:colOff>629194</xdr:colOff>
      <xdr:row>40</xdr:row>
      <xdr:rowOff>136436</xdr:rowOff>
    </xdr:to>
    <xdr:sp macro="" textlink="MatchANALYSIS!F4">
      <xdr:nvSpPr>
        <xdr:cNvPr id="201" name="Rectangle 200">
          <a:extLst>
            <a:ext uri="{FF2B5EF4-FFF2-40B4-BE49-F238E27FC236}">
              <a16:creationId xmlns:a16="http://schemas.microsoft.com/office/drawing/2014/main" id="{41DE11DE-E2B0-2D45-8784-91952B31E7FF}"/>
            </a:ext>
          </a:extLst>
        </xdr:cNvPr>
        <xdr:cNvSpPr>
          <a:spLocks/>
        </xdr:cNvSpPr>
      </xdr:nvSpPr>
      <xdr:spPr>
        <a:xfrm>
          <a:off x="19939000" y="639354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41</xdr:row>
      <xdr:rowOff>50802</xdr:rowOff>
    </xdr:from>
    <xdr:to>
      <xdr:col>26</xdr:col>
      <xdr:colOff>721484</xdr:colOff>
      <xdr:row>42</xdr:row>
      <xdr:rowOff>161836</xdr:rowOff>
    </xdr:to>
    <xdr:sp macro="" textlink="MatchANALYSIS!H5">
      <xdr:nvSpPr>
        <xdr:cNvPr id="202" name="Rectangle 201">
          <a:extLst>
            <a:ext uri="{FF2B5EF4-FFF2-40B4-BE49-F238E27FC236}">
              <a16:creationId xmlns:a16="http://schemas.microsoft.com/office/drawing/2014/main" id="{F6528624-AF0E-2C46-8B00-49ECCA8B469B}"/>
            </a:ext>
          </a:extLst>
        </xdr:cNvPr>
        <xdr:cNvSpPr>
          <a:spLocks noChangeAspect="1"/>
        </xdr:cNvSpPr>
      </xdr:nvSpPr>
      <xdr:spPr>
        <a:xfrm>
          <a:off x="21597381" y="674551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B6AF725-88E6-724C-9818-A24BD002862E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41</xdr:row>
      <xdr:rowOff>50802</xdr:rowOff>
    </xdr:from>
    <xdr:to>
      <xdr:col>23</xdr:col>
      <xdr:colOff>670559</xdr:colOff>
      <xdr:row>42</xdr:row>
      <xdr:rowOff>161836</xdr:rowOff>
    </xdr:to>
    <xdr:sp macro="" textlink="MatchANALYSIS!G5">
      <xdr:nvSpPr>
        <xdr:cNvPr id="203" name="Rectangle 202">
          <a:extLst>
            <a:ext uri="{FF2B5EF4-FFF2-40B4-BE49-F238E27FC236}">
              <a16:creationId xmlns:a16="http://schemas.microsoft.com/office/drawing/2014/main" id="{60C5F4D0-0F14-D046-B602-2480C9416D9F}"/>
            </a:ext>
          </a:extLst>
        </xdr:cNvPr>
        <xdr:cNvSpPr>
          <a:spLocks noChangeAspect="1"/>
        </xdr:cNvSpPr>
      </xdr:nvSpPr>
      <xdr:spPr>
        <a:xfrm>
          <a:off x="19042742" y="6745516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9E4C0DA-5BAC-7A49-AF2F-83E39F489D6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41</xdr:row>
      <xdr:rowOff>50802</xdr:rowOff>
    </xdr:from>
    <xdr:to>
      <xdr:col>25</xdr:col>
      <xdr:colOff>629194</xdr:colOff>
      <xdr:row>42</xdr:row>
      <xdr:rowOff>161836</xdr:rowOff>
    </xdr:to>
    <xdr:sp macro="" textlink="MatchANALYSIS!F5">
      <xdr:nvSpPr>
        <xdr:cNvPr id="204" name="Rectangle 203">
          <a:extLst>
            <a:ext uri="{FF2B5EF4-FFF2-40B4-BE49-F238E27FC236}">
              <a16:creationId xmlns:a16="http://schemas.microsoft.com/office/drawing/2014/main" id="{F43C256E-5F56-9242-A5B8-9B6FCBE1FC99}"/>
            </a:ext>
          </a:extLst>
        </xdr:cNvPr>
        <xdr:cNvSpPr>
          <a:spLocks/>
        </xdr:cNvSpPr>
      </xdr:nvSpPr>
      <xdr:spPr>
        <a:xfrm>
          <a:off x="19939000" y="6745516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43</xdr:row>
      <xdr:rowOff>76201</xdr:rowOff>
    </xdr:from>
    <xdr:to>
      <xdr:col>26</xdr:col>
      <xdr:colOff>721484</xdr:colOff>
      <xdr:row>45</xdr:row>
      <xdr:rowOff>23950</xdr:rowOff>
    </xdr:to>
    <xdr:sp macro="" textlink="MatchANALYSIS!H6">
      <xdr:nvSpPr>
        <xdr:cNvPr id="205" name="Rectangle 204">
          <a:extLst>
            <a:ext uri="{FF2B5EF4-FFF2-40B4-BE49-F238E27FC236}">
              <a16:creationId xmlns:a16="http://schemas.microsoft.com/office/drawing/2014/main" id="{29963FEC-EE07-1C43-9F13-7B5AB7D2189A}"/>
            </a:ext>
          </a:extLst>
        </xdr:cNvPr>
        <xdr:cNvSpPr>
          <a:spLocks noChangeAspect="1"/>
        </xdr:cNvSpPr>
      </xdr:nvSpPr>
      <xdr:spPr>
        <a:xfrm>
          <a:off x="21597381" y="70974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B94575E4-3711-2F4B-BCAD-EC969B5DE807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43</xdr:row>
      <xdr:rowOff>76201</xdr:rowOff>
    </xdr:from>
    <xdr:to>
      <xdr:col>23</xdr:col>
      <xdr:colOff>670559</xdr:colOff>
      <xdr:row>45</xdr:row>
      <xdr:rowOff>23950</xdr:rowOff>
    </xdr:to>
    <xdr:sp macro="" textlink="MatchANALYSIS!G6">
      <xdr:nvSpPr>
        <xdr:cNvPr id="206" name="Rectangle 205">
          <a:extLst>
            <a:ext uri="{FF2B5EF4-FFF2-40B4-BE49-F238E27FC236}">
              <a16:creationId xmlns:a16="http://schemas.microsoft.com/office/drawing/2014/main" id="{45BFFD34-121D-2345-9C4F-D7AA194B5346}"/>
            </a:ext>
          </a:extLst>
        </xdr:cNvPr>
        <xdr:cNvSpPr>
          <a:spLocks noChangeAspect="1"/>
        </xdr:cNvSpPr>
      </xdr:nvSpPr>
      <xdr:spPr>
        <a:xfrm>
          <a:off x="19042742" y="709748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848A025-D70A-0547-97FA-83CABAEB3D3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43</xdr:row>
      <xdr:rowOff>76201</xdr:rowOff>
    </xdr:from>
    <xdr:to>
      <xdr:col>25</xdr:col>
      <xdr:colOff>629194</xdr:colOff>
      <xdr:row>45</xdr:row>
      <xdr:rowOff>23950</xdr:rowOff>
    </xdr:to>
    <xdr:sp macro="" textlink="MatchANALYSIS!F6">
      <xdr:nvSpPr>
        <xdr:cNvPr id="207" name="Rectangle 206">
          <a:extLst>
            <a:ext uri="{FF2B5EF4-FFF2-40B4-BE49-F238E27FC236}">
              <a16:creationId xmlns:a16="http://schemas.microsoft.com/office/drawing/2014/main" id="{41E9E578-2209-2A4E-80F5-431DE5FB1BA0}"/>
            </a:ext>
          </a:extLst>
        </xdr:cNvPr>
        <xdr:cNvSpPr>
          <a:spLocks/>
        </xdr:cNvSpPr>
      </xdr:nvSpPr>
      <xdr:spPr>
        <a:xfrm>
          <a:off x="19939000" y="70974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FD01BEE-F1FD-7343-8FAA-24365AD77CB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Off-post</a:t>
          </a:fld>
          <a:endParaRPr lang="en-US" sz="1100" b="0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745795</xdr:colOff>
      <xdr:row>45</xdr:row>
      <xdr:rowOff>83458</xdr:rowOff>
    </xdr:from>
    <xdr:to>
      <xdr:col>26</xdr:col>
      <xdr:colOff>721484</xdr:colOff>
      <xdr:row>47</xdr:row>
      <xdr:rowOff>31206</xdr:rowOff>
    </xdr:to>
    <xdr:sp macro="" textlink="MatchANALYSIS!H7">
      <xdr:nvSpPr>
        <xdr:cNvPr id="208" name="Rectangle 207">
          <a:extLst>
            <a:ext uri="{FF2B5EF4-FFF2-40B4-BE49-F238E27FC236}">
              <a16:creationId xmlns:a16="http://schemas.microsoft.com/office/drawing/2014/main" id="{8FEA6E46-5DDE-E14B-9FF7-BF3A3F4019E9}"/>
            </a:ext>
          </a:extLst>
        </xdr:cNvPr>
        <xdr:cNvSpPr>
          <a:spLocks noChangeAspect="1"/>
        </xdr:cNvSpPr>
      </xdr:nvSpPr>
      <xdr:spPr>
        <a:xfrm>
          <a:off x="21610081" y="7431315"/>
          <a:ext cx="8102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A0C8B36-54C6-9C49-8A1F-1B0C9F321F3C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45</xdr:row>
      <xdr:rowOff>83458</xdr:rowOff>
    </xdr:from>
    <xdr:to>
      <xdr:col>23</xdr:col>
      <xdr:colOff>670559</xdr:colOff>
      <xdr:row>47</xdr:row>
      <xdr:rowOff>31206</xdr:rowOff>
    </xdr:to>
    <xdr:sp macro="" textlink="MatchANALYSIS!G7">
      <xdr:nvSpPr>
        <xdr:cNvPr id="209" name="Rectangle 208">
          <a:extLst>
            <a:ext uri="{FF2B5EF4-FFF2-40B4-BE49-F238E27FC236}">
              <a16:creationId xmlns:a16="http://schemas.microsoft.com/office/drawing/2014/main" id="{0B0816CD-B21A-1F44-9CE7-B093FB67A3AB}"/>
            </a:ext>
          </a:extLst>
        </xdr:cNvPr>
        <xdr:cNvSpPr>
          <a:spLocks noChangeAspect="1"/>
        </xdr:cNvSpPr>
      </xdr:nvSpPr>
      <xdr:spPr>
        <a:xfrm>
          <a:off x="19042742" y="743131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461CCB0-9B67-AB41-A549-82D69D28A6D8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45</xdr:row>
      <xdr:rowOff>83458</xdr:rowOff>
    </xdr:from>
    <xdr:to>
      <xdr:col>25</xdr:col>
      <xdr:colOff>629194</xdr:colOff>
      <xdr:row>47</xdr:row>
      <xdr:rowOff>31206</xdr:rowOff>
    </xdr:to>
    <xdr:sp macro="" textlink="MatchANALYSIS!F7">
      <xdr:nvSpPr>
        <xdr:cNvPr id="210" name="Rectangle 209">
          <a:extLst>
            <a:ext uri="{FF2B5EF4-FFF2-40B4-BE49-F238E27FC236}">
              <a16:creationId xmlns:a16="http://schemas.microsoft.com/office/drawing/2014/main" id="{E1D8164C-04E6-F84A-B279-531DBFC6E257}"/>
            </a:ext>
          </a:extLst>
        </xdr:cNvPr>
        <xdr:cNvSpPr>
          <a:spLocks/>
        </xdr:cNvSpPr>
      </xdr:nvSpPr>
      <xdr:spPr>
        <a:xfrm>
          <a:off x="19939000" y="743131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733095</xdr:colOff>
      <xdr:row>47</xdr:row>
      <xdr:rowOff>108858</xdr:rowOff>
    </xdr:from>
    <xdr:to>
      <xdr:col>26</xdr:col>
      <xdr:colOff>721484</xdr:colOff>
      <xdr:row>49</xdr:row>
      <xdr:rowOff>56607</xdr:rowOff>
    </xdr:to>
    <xdr:sp macro="" textlink="MatchANALYSIS!H8">
      <xdr:nvSpPr>
        <xdr:cNvPr id="211" name="Rectangle 210">
          <a:extLst>
            <a:ext uri="{FF2B5EF4-FFF2-40B4-BE49-F238E27FC236}">
              <a16:creationId xmlns:a16="http://schemas.microsoft.com/office/drawing/2014/main" id="{A81258E1-8712-9240-8456-151633BE7617}"/>
            </a:ext>
          </a:extLst>
        </xdr:cNvPr>
        <xdr:cNvSpPr>
          <a:spLocks noChangeAspect="1"/>
        </xdr:cNvSpPr>
      </xdr:nvSpPr>
      <xdr:spPr>
        <a:xfrm>
          <a:off x="21597381" y="7783287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A802ED-A452-244C-89E6-8ADAC515DE7B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682171</xdr:colOff>
      <xdr:row>47</xdr:row>
      <xdr:rowOff>108858</xdr:rowOff>
    </xdr:from>
    <xdr:to>
      <xdr:col>23</xdr:col>
      <xdr:colOff>670559</xdr:colOff>
      <xdr:row>49</xdr:row>
      <xdr:rowOff>56607</xdr:rowOff>
    </xdr:to>
    <xdr:sp macro="" textlink="MatchANALYSIS!G8">
      <xdr:nvSpPr>
        <xdr:cNvPr id="212" name="Rectangle 211">
          <a:extLst>
            <a:ext uri="{FF2B5EF4-FFF2-40B4-BE49-F238E27FC236}">
              <a16:creationId xmlns:a16="http://schemas.microsoft.com/office/drawing/2014/main" id="{019AC37D-4696-834F-9C9E-FF1876D4D77D}"/>
            </a:ext>
          </a:extLst>
        </xdr:cNvPr>
        <xdr:cNvSpPr>
          <a:spLocks noChangeAspect="1"/>
        </xdr:cNvSpPr>
      </xdr:nvSpPr>
      <xdr:spPr>
        <a:xfrm>
          <a:off x="19042742" y="778328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1D83EC1-F54C-4248-891F-3C766977399E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743857</xdr:colOff>
      <xdr:row>47</xdr:row>
      <xdr:rowOff>108858</xdr:rowOff>
    </xdr:from>
    <xdr:to>
      <xdr:col>25</xdr:col>
      <xdr:colOff>629194</xdr:colOff>
      <xdr:row>49</xdr:row>
      <xdr:rowOff>56607</xdr:rowOff>
    </xdr:to>
    <xdr:sp macro="" textlink="MatchANALYSIS!F8">
      <xdr:nvSpPr>
        <xdr:cNvPr id="213" name="Rectangle 212">
          <a:extLst>
            <a:ext uri="{FF2B5EF4-FFF2-40B4-BE49-F238E27FC236}">
              <a16:creationId xmlns:a16="http://schemas.microsoft.com/office/drawing/2014/main" id="{53F074EA-588C-9040-9CB3-9140E1240B07}"/>
            </a:ext>
          </a:extLst>
        </xdr:cNvPr>
        <xdr:cNvSpPr>
          <a:spLocks/>
        </xdr:cNvSpPr>
      </xdr:nvSpPr>
      <xdr:spPr>
        <a:xfrm>
          <a:off x="19939000" y="778328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11</xdr:col>
      <xdr:colOff>704066</xdr:colOff>
      <xdr:row>27</xdr:row>
      <xdr:rowOff>90718</xdr:rowOff>
    </xdr:from>
    <xdr:to>
      <xdr:col>12</xdr:col>
      <xdr:colOff>692455</xdr:colOff>
      <xdr:row>29</xdr:row>
      <xdr:rowOff>38466</xdr:rowOff>
    </xdr:to>
    <xdr:sp macro="" textlink="[1]Match!$C$1">
      <xdr:nvSpPr>
        <xdr:cNvPr id="220" name="Rectangle 219">
          <a:extLst>
            <a:ext uri="{FF2B5EF4-FFF2-40B4-BE49-F238E27FC236}">
              <a16:creationId xmlns:a16="http://schemas.microsoft.com/office/drawing/2014/main" id="{EDA47628-974A-C442-968B-E2E5BA26942C}"/>
            </a:ext>
          </a:extLst>
        </xdr:cNvPr>
        <xdr:cNvSpPr>
          <a:spLocks noChangeAspect="1"/>
        </xdr:cNvSpPr>
      </xdr:nvSpPr>
      <xdr:spPr>
        <a:xfrm>
          <a:off x="9884352" y="4499432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8EBFDEE-C607-B445-85FE-6FBEADA0E883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100" b="1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8</xdr:col>
      <xdr:colOff>381000</xdr:colOff>
      <xdr:row>27</xdr:row>
      <xdr:rowOff>90718</xdr:rowOff>
    </xdr:from>
    <xdr:to>
      <xdr:col>9</xdr:col>
      <xdr:colOff>369388</xdr:colOff>
      <xdr:row>29</xdr:row>
      <xdr:rowOff>38466</xdr:rowOff>
    </xdr:to>
    <xdr:sp macro="" textlink="[1]Match!$B$1">
      <xdr:nvSpPr>
        <xdr:cNvPr id="221" name="Rectangle 220">
          <a:extLst>
            <a:ext uri="{FF2B5EF4-FFF2-40B4-BE49-F238E27FC236}">
              <a16:creationId xmlns:a16="http://schemas.microsoft.com/office/drawing/2014/main" id="{BE085597-73E0-6B44-BAF3-A4ADE245202B}"/>
            </a:ext>
          </a:extLst>
        </xdr:cNvPr>
        <xdr:cNvSpPr>
          <a:spLocks noChangeAspect="1"/>
        </xdr:cNvSpPr>
      </xdr:nvSpPr>
      <xdr:spPr>
        <a:xfrm>
          <a:off x="7057571" y="4499432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937E62-F93B-3649-8354-8F76DEF76135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oneCellAnchor>
    <xdr:from>
      <xdr:col>9</xdr:col>
      <xdr:colOff>254000</xdr:colOff>
      <xdr:row>0</xdr:row>
      <xdr:rowOff>18144</xdr:rowOff>
    </xdr:from>
    <xdr:ext cx="2651760" cy="403013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3DE30BB-D92A-CF4A-BCE1-73010A5B7AA7}"/>
            </a:ext>
          </a:extLst>
        </xdr:cNvPr>
        <xdr:cNvSpPr txBox="1"/>
      </xdr:nvSpPr>
      <xdr:spPr>
        <a:xfrm>
          <a:off x="7765143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</a:t>
          </a:r>
        </a:p>
      </xdr:txBody>
    </xdr:sp>
    <xdr:clientData/>
  </xdr:oneCellAnchor>
  <xdr:oneCellAnchor>
    <xdr:from>
      <xdr:col>15</xdr:col>
      <xdr:colOff>224966</xdr:colOff>
      <xdr:row>0</xdr:row>
      <xdr:rowOff>18144</xdr:rowOff>
    </xdr:from>
    <xdr:ext cx="4114800" cy="403013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7EE74CC6-8A38-724F-8273-C2FA8339D337}"/>
            </a:ext>
          </a:extLst>
        </xdr:cNvPr>
        <xdr:cNvSpPr txBox="1"/>
      </xdr:nvSpPr>
      <xdr:spPr>
        <a:xfrm>
          <a:off x="1274353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Primary Possession - Distribution</a:t>
          </a:r>
        </a:p>
      </xdr:txBody>
    </xdr:sp>
    <xdr:clientData/>
  </xdr:oneCellAnchor>
  <xdr:oneCellAnchor>
    <xdr:from>
      <xdr:col>23</xdr:col>
      <xdr:colOff>388257</xdr:colOff>
      <xdr:row>0</xdr:row>
      <xdr:rowOff>18144</xdr:rowOff>
    </xdr:from>
    <xdr:ext cx="2651760" cy="403013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B96A917B-070B-B84D-B9F5-73575414A85E}"/>
            </a:ext>
          </a:extLst>
        </xdr:cNvPr>
        <xdr:cNvSpPr txBox="1"/>
      </xdr:nvSpPr>
      <xdr:spPr>
        <a:xfrm>
          <a:off x="19583400" y="18144"/>
          <a:ext cx="265176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oneCellAnchor>
  <xdr:oneCellAnchor>
    <xdr:from>
      <xdr:col>29</xdr:col>
      <xdr:colOff>290286</xdr:colOff>
      <xdr:row>0</xdr:row>
      <xdr:rowOff>18144</xdr:rowOff>
    </xdr:from>
    <xdr:ext cx="4114800" cy="403013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C9C6B5E-82A7-724B-A6B9-1C8F544CCA65}"/>
            </a:ext>
          </a:extLst>
        </xdr:cNvPr>
        <xdr:cNvSpPr txBox="1"/>
      </xdr:nvSpPr>
      <xdr:spPr>
        <a:xfrm>
          <a:off x="24492857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  <a:r>
            <a:rPr lang="en-US" sz="2000" b="1" i="0" u="none" cap="small" baseline="0">
              <a:latin typeface="Arial" charset="0"/>
              <a:ea typeface="Arial" charset="0"/>
              <a:cs typeface="Arial" charset="0"/>
            </a:rPr>
            <a:t> </a:t>
          </a:r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- Distribution</a:t>
          </a:r>
        </a:p>
      </xdr:txBody>
    </xdr:sp>
    <xdr:clientData/>
  </xdr:oneCellAnchor>
  <xdr:twoCellAnchor>
    <xdr:from>
      <xdr:col>14</xdr:col>
      <xdr:colOff>14517</xdr:colOff>
      <xdr:row>3</xdr:row>
      <xdr:rowOff>43543</xdr:rowOff>
    </xdr:from>
    <xdr:to>
      <xdr:col>20</xdr:col>
      <xdr:colOff>550830</xdr:colOff>
      <xdr:row>50</xdr:row>
      <xdr:rowOff>132807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416F240-BFCD-4E76-8D07-6E1EF8A5AEE3}"/>
            </a:ext>
          </a:extLst>
        </xdr:cNvPr>
        <xdr:cNvGrpSpPr/>
      </xdr:nvGrpSpPr>
      <xdr:grpSpPr>
        <a:xfrm>
          <a:off x="11749317" y="576943"/>
          <a:ext cx="5565513" cy="8445864"/>
          <a:chOff x="12460517" y="560614"/>
          <a:chExt cx="5870313" cy="8190050"/>
        </a:xfrm>
      </xdr:grpSpPr>
      <xdr:sp macro="" textlink="Location1ANALYSIS!F25">
        <xdr:nvSpPr>
          <xdr:cNvPr id="122" name="Rectangle 121">
            <a:extLst>
              <a:ext uri="{FF2B5EF4-FFF2-40B4-BE49-F238E27FC236}">
                <a16:creationId xmlns:a16="http://schemas.microsoft.com/office/drawing/2014/main" id="{D024B807-AE82-C841-B9A0-ED0A5E29B6C6}"/>
              </a:ext>
            </a:extLst>
          </xdr:cNvPr>
          <xdr:cNvSpPr>
            <a:spLocks noChangeAspect="1"/>
          </xdr:cNvSpPr>
        </xdr:nvSpPr>
        <xdr:spPr>
          <a:xfrm>
            <a:off x="12914086" y="4323441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C3626E69-E22D-0341-95B3-E1A9F3D67FC9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i="0"/>
          </a:p>
        </xdr:txBody>
      </xdr:sp>
      <xdr:sp macro="" textlink="Location1ANALYSIS!F31">
        <xdr:nvSpPr>
          <xdr:cNvPr id="123" name="Rectangle 122">
            <a:extLst>
              <a:ext uri="{FF2B5EF4-FFF2-40B4-BE49-F238E27FC236}">
                <a16:creationId xmlns:a16="http://schemas.microsoft.com/office/drawing/2014/main" id="{B822244A-D45C-944C-8BB8-3684FF538751}"/>
              </a:ext>
            </a:extLst>
          </xdr:cNvPr>
          <xdr:cNvSpPr>
            <a:spLocks noChangeAspect="1"/>
          </xdr:cNvSpPr>
        </xdr:nvSpPr>
        <xdr:spPr>
          <a:xfrm>
            <a:off x="13955488" y="4323441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D047C4EA-1D48-6F40-893B-09566ADCE57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67%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32">
        <xdr:nvSpPr>
          <xdr:cNvPr id="124" name="Rectangle 123">
            <a:extLst>
              <a:ext uri="{FF2B5EF4-FFF2-40B4-BE49-F238E27FC236}">
                <a16:creationId xmlns:a16="http://schemas.microsoft.com/office/drawing/2014/main" id="{2A8CB4D7-920A-D749-AB7A-733B00BEDE7C}"/>
              </a:ext>
            </a:extLst>
          </xdr:cNvPr>
          <xdr:cNvSpPr>
            <a:spLocks noChangeAspect="1"/>
          </xdr:cNvSpPr>
        </xdr:nvSpPr>
        <xdr:spPr>
          <a:xfrm>
            <a:off x="15269033" y="4323441"/>
            <a:ext cx="8646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F4037E7-3A33-DC46-9C17-9985F7330DF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25%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33">
        <xdr:nvSpPr>
          <xdr:cNvPr id="125" name="Rectangle 124">
            <a:extLst>
              <a:ext uri="{FF2B5EF4-FFF2-40B4-BE49-F238E27FC236}">
                <a16:creationId xmlns:a16="http://schemas.microsoft.com/office/drawing/2014/main" id="{188C3BD6-0A47-AC4F-AF6C-0E63C4E9FAE9}"/>
              </a:ext>
            </a:extLst>
          </xdr:cNvPr>
          <xdr:cNvSpPr>
            <a:spLocks noChangeAspect="1"/>
          </xdr:cNvSpPr>
        </xdr:nvSpPr>
        <xdr:spPr>
          <a:xfrm>
            <a:off x="16491863" y="4323441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417DE3B-AC10-A84A-8126-417A2B4696CE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34">
        <xdr:nvSpPr>
          <xdr:cNvPr id="126" name="Rectangle 125">
            <a:extLst>
              <a:ext uri="{FF2B5EF4-FFF2-40B4-BE49-F238E27FC236}">
                <a16:creationId xmlns:a16="http://schemas.microsoft.com/office/drawing/2014/main" id="{597D8227-D659-6F4A-A383-1A34619EDD99}"/>
              </a:ext>
            </a:extLst>
          </xdr:cNvPr>
          <xdr:cNvSpPr>
            <a:spLocks noChangeAspect="1"/>
          </xdr:cNvSpPr>
        </xdr:nvSpPr>
        <xdr:spPr>
          <a:xfrm>
            <a:off x="17279262" y="4323441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04601E-E124-CD40-B9BD-A8F02C145DA2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80%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25">
        <xdr:nvSpPr>
          <xdr:cNvPr id="92" name="Rectangle 91">
            <a:extLst>
              <a:ext uri="{FF2B5EF4-FFF2-40B4-BE49-F238E27FC236}">
                <a16:creationId xmlns:a16="http://schemas.microsoft.com/office/drawing/2014/main" id="{D76BC544-1255-F346-A3CE-B0A638BD48CB}"/>
              </a:ext>
            </a:extLst>
          </xdr:cNvPr>
          <xdr:cNvSpPr>
            <a:spLocks noChangeAspect="1"/>
          </xdr:cNvSpPr>
        </xdr:nvSpPr>
        <xdr:spPr>
          <a:xfrm>
            <a:off x="12895943" y="8467273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CBDADE8B-4152-C24B-91A6-11B340F4FDCD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i="0"/>
          </a:p>
        </xdr:txBody>
      </xdr:sp>
      <xdr:sp macro="" textlink="Location2ANALYSIS!F31">
        <xdr:nvSpPr>
          <xdr:cNvPr id="93" name="Rectangle 92">
            <a:extLst>
              <a:ext uri="{FF2B5EF4-FFF2-40B4-BE49-F238E27FC236}">
                <a16:creationId xmlns:a16="http://schemas.microsoft.com/office/drawing/2014/main" id="{812AF9BA-5D8B-7B4E-BAB2-F147C962C9BA}"/>
              </a:ext>
            </a:extLst>
          </xdr:cNvPr>
          <xdr:cNvSpPr>
            <a:spLocks noChangeAspect="1"/>
          </xdr:cNvSpPr>
        </xdr:nvSpPr>
        <xdr:spPr>
          <a:xfrm>
            <a:off x="13919202" y="8467273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3662102-D7DA-5A44-A706-E9F49364D567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75%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32">
        <xdr:nvSpPr>
          <xdr:cNvPr id="94" name="Rectangle 93">
            <a:extLst>
              <a:ext uri="{FF2B5EF4-FFF2-40B4-BE49-F238E27FC236}">
                <a16:creationId xmlns:a16="http://schemas.microsoft.com/office/drawing/2014/main" id="{72FA2937-FC10-8640-88E4-C8F11C8031C8}"/>
              </a:ext>
            </a:extLst>
          </xdr:cNvPr>
          <xdr:cNvSpPr>
            <a:spLocks noChangeAspect="1"/>
          </xdr:cNvSpPr>
        </xdr:nvSpPr>
        <xdr:spPr>
          <a:xfrm>
            <a:off x="15214604" y="8467273"/>
            <a:ext cx="8646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F40B7B7-89C9-F343-BF88-16BCDE8AEEC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34">
        <xdr:nvSpPr>
          <xdr:cNvPr id="98" name="Rectangle 97">
            <a:extLst>
              <a:ext uri="{FF2B5EF4-FFF2-40B4-BE49-F238E27FC236}">
                <a16:creationId xmlns:a16="http://schemas.microsoft.com/office/drawing/2014/main" id="{5292FCC6-BCA3-1A48-A18F-C0AAA49D8C54}"/>
              </a:ext>
            </a:extLst>
          </xdr:cNvPr>
          <xdr:cNvSpPr>
            <a:spLocks noChangeAspect="1"/>
          </xdr:cNvSpPr>
        </xdr:nvSpPr>
        <xdr:spPr>
          <a:xfrm>
            <a:off x="17453442" y="8467273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A666B43-0336-E74E-B59F-5282ED4620D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33">
        <xdr:nvSpPr>
          <xdr:cNvPr id="102" name="Rectangle 101">
            <a:extLst>
              <a:ext uri="{FF2B5EF4-FFF2-40B4-BE49-F238E27FC236}">
                <a16:creationId xmlns:a16="http://schemas.microsoft.com/office/drawing/2014/main" id="{B4CF671F-2DE3-2A41-BBF1-DECFF7B5A8D1}"/>
              </a:ext>
            </a:extLst>
          </xdr:cNvPr>
          <xdr:cNvSpPr>
            <a:spLocks noChangeAspect="1"/>
          </xdr:cNvSpPr>
        </xdr:nvSpPr>
        <xdr:spPr>
          <a:xfrm>
            <a:off x="16480974" y="8449130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D826A31-71D0-3146-8DBD-D9C95108FCC0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26">
        <xdr:nvSpPr>
          <xdr:cNvPr id="163" name="Rectangle 162">
            <a:extLst>
              <a:ext uri="{FF2B5EF4-FFF2-40B4-BE49-F238E27FC236}">
                <a16:creationId xmlns:a16="http://schemas.microsoft.com/office/drawing/2014/main" id="{F537EC13-40B2-504F-AB92-893631A9318E}"/>
              </a:ext>
            </a:extLst>
          </xdr:cNvPr>
          <xdr:cNvSpPr>
            <a:spLocks noChangeAspect="1"/>
          </xdr:cNvSpPr>
        </xdr:nvSpPr>
        <xdr:spPr>
          <a:xfrm>
            <a:off x="12507688" y="1224643"/>
            <a:ext cx="1426029" cy="47534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EEAA395-21FC-634F-9650-8862AD08095B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100%</a:t>
            </a:fld>
            <a:endParaRPr lang="en-US" sz="1000" i="0"/>
          </a:p>
        </xdr:txBody>
      </xdr:sp>
      <xdr:sp macro="" textlink="Location1ANALYSIS!F27">
        <xdr:nvSpPr>
          <xdr:cNvPr id="164" name="Rectangle 163">
            <a:extLst>
              <a:ext uri="{FF2B5EF4-FFF2-40B4-BE49-F238E27FC236}">
                <a16:creationId xmlns:a16="http://schemas.microsoft.com/office/drawing/2014/main" id="{C3B4EAFC-DE62-1C4F-80AC-812C29870D97}"/>
              </a:ext>
            </a:extLst>
          </xdr:cNvPr>
          <xdr:cNvSpPr>
            <a:spLocks noChangeAspect="1"/>
          </xdr:cNvSpPr>
        </xdr:nvSpPr>
        <xdr:spPr>
          <a:xfrm>
            <a:off x="12507688" y="2284186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F345D332-4976-5C4A-8316-6CB63E8DF992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56%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1ANALYSIS!F25">
        <xdr:nvSpPr>
          <xdr:cNvPr id="165" name="Rectangle 164">
            <a:extLst>
              <a:ext uri="{FF2B5EF4-FFF2-40B4-BE49-F238E27FC236}">
                <a16:creationId xmlns:a16="http://schemas.microsoft.com/office/drawing/2014/main" id="{0CDD86C2-76EC-3D4D-9A4C-3703778A2B94}"/>
              </a:ext>
            </a:extLst>
          </xdr:cNvPr>
          <xdr:cNvSpPr>
            <a:spLocks noChangeAspect="1"/>
          </xdr:cNvSpPr>
        </xdr:nvSpPr>
        <xdr:spPr>
          <a:xfrm>
            <a:off x="12507688" y="3361871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A8548065-5F5A-FC44-B783-1D336C1B5BD8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50%</a:t>
            </a:fld>
            <a:endParaRPr lang="en-US" sz="1000" i="0"/>
          </a:p>
        </xdr:txBody>
      </xdr:sp>
      <xdr:sp macro="" textlink="Location2ANALYSIS!F26">
        <xdr:nvSpPr>
          <xdr:cNvPr id="166" name="Rectangle 165">
            <a:extLst>
              <a:ext uri="{FF2B5EF4-FFF2-40B4-BE49-F238E27FC236}">
                <a16:creationId xmlns:a16="http://schemas.microsoft.com/office/drawing/2014/main" id="{45336401-39BF-6049-9C11-8D1C09C8736E}"/>
              </a:ext>
            </a:extLst>
          </xdr:cNvPr>
          <xdr:cNvSpPr>
            <a:spLocks noChangeAspect="1"/>
          </xdr:cNvSpPr>
        </xdr:nvSpPr>
        <xdr:spPr>
          <a:xfrm>
            <a:off x="12460517" y="5304971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6E84DDCF-4036-DA45-A295-C6BE7BAFA86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50%</a:t>
            </a:fld>
            <a:endParaRPr lang="en-US" sz="1000" i="0"/>
          </a:p>
        </xdr:txBody>
      </xdr:sp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B1D7383A-BF0B-884C-81EA-73ED0D501C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2990287" y="923482"/>
            <a:ext cx="5328252" cy="3279850"/>
          </a:xfrm>
          <a:prstGeom prst="rect">
            <a:avLst/>
          </a:prstGeom>
        </xdr:spPr>
      </xdr:pic>
      <xdr:sp macro="" textlink="Location1ANALYSIS!D14">
        <xdr:nvSpPr>
          <xdr:cNvPr id="39" name="TextBox 38">
            <a:extLst>
              <a:ext uri="{FF2B5EF4-FFF2-40B4-BE49-F238E27FC236}">
                <a16:creationId xmlns:a16="http://schemas.microsoft.com/office/drawing/2014/main" id="{84ED2402-8EAE-C244-8B18-221FCDBB0BE7}"/>
              </a:ext>
            </a:extLst>
          </xdr:cNvPr>
          <xdr:cNvSpPr txBox="1"/>
        </xdr:nvSpPr>
        <xdr:spPr>
          <a:xfrm>
            <a:off x="12972144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0ABABB-505C-7D48-996F-479E4B5C058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4">
        <xdr:nvSpPr>
          <xdr:cNvPr id="40" name="TextBox 39">
            <a:extLst>
              <a:ext uri="{FF2B5EF4-FFF2-40B4-BE49-F238E27FC236}">
                <a16:creationId xmlns:a16="http://schemas.microsoft.com/office/drawing/2014/main" id="{528DAAB7-2D1D-B841-A5E6-9B55398AC648}"/>
              </a:ext>
            </a:extLst>
          </xdr:cNvPr>
          <xdr:cNvSpPr txBox="1"/>
        </xdr:nvSpPr>
        <xdr:spPr>
          <a:xfrm>
            <a:off x="13451116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C07C795-D7A4-5642-B06B-CEFD5E2B970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B39A549A-910E-2E43-8B41-1B8296CE91B0}"/>
              </a:ext>
            </a:extLst>
          </xdr:cNvPr>
          <xdr:cNvSpPr txBox="1"/>
        </xdr:nvSpPr>
        <xdr:spPr>
          <a:xfrm>
            <a:off x="13208001" y="11858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Location1ANALYSIS!D15">
        <xdr:nvSpPr>
          <xdr:cNvPr id="43" name="TextBox 42">
            <a:extLst>
              <a:ext uri="{FF2B5EF4-FFF2-40B4-BE49-F238E27FC236}">
                <a16:creationId xmlns:a16="http://schemas.microsoft.com/office/drawing/2014/main" id="{3B30A745-2C59-C64D-AF11-7A8A1D0A7283}"/>
              </a:ext>
            </a:extLst>
          </xdr:cNvPr>
          <xdr:cNvSpPr txBox="1"/>
        </xdr:nvSpPr>
        <xdr:spPr>
          <a:xfrm>
            <a:off x="14013547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DEAF80-04CD-BE4A-B1B7-BA090D157CD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5">
        <xdr:nvSpPr>
          <xdr:cNvPr id="44" name="TextBox 43">
            <a:extLst>
              <a:ext uri="{FF2B5EF4-FFF2-40B4-BE49-F238E27FC236}">
                <a16:creationId xmlns:a16="http://schemas.microsoft.com/office/drawing/2014/main" id="{D05707F2-17B6-BD45-A282-D77988968045}"/>
              </a:ext>
            </a:extLst>
          </xdr:cNvPr>
          <xdr:cNvSpPr txBox="1"/>
        </xdr:nvSpPr>
        <xdr:spPr>
          <a:xfrm>
            <a:off x="14492518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DFB5722-C461-0B4D-96AE-4B623D06C3D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5" name="TextBox 44">
            <a:extLst>
              <a:ext uri="{FF2B5EF4-FFF2-40B4-BE49-F238E27FC236}">
                <a16:creationId xmlns:a16="http://schemas.microsoft.com/office/drawing/2014/main" id="{716CF1D4-F085-5B42-99A8-1A57C41ECED3}"/>
              </a:ext>
            </a:extLst>
          </xdr:cNvPr>
          <xdr:cNvSpPr txBox="1"/>
        </xdr:nvSpPr>
        <xdr:spPr>
          <a:xfrm>
            <a:off x="14303832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6">
        <xdr:nvSpPr>
          <xdr:cNvPr id="47" name="TextBox 46">
            <a:extLst>
              <a:ext uri="{FF2B5EF4-FFF2-40B4-BE49-F238E27FC236}">
                <a16:creationId xmlns:a16="http://schemas.microsoft.com/office/drawing/2014/main" id="{5D9B9866-9FD4-864C-8BF5-C8D766A0CF6F}"/>
              </a:ext>
            </a:extLst>
          </xdr:cNvPr>
          <xdr:cNvSpPr txBox="1"/>
        </xdr:nvSpPr>
        <xdr:spPr>
          <a:xfrm>
            <a:off x="15272664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EE307EF-F0B3-5E4D-826D-7E3F7E5640A3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6">
        <xdr:nvSpPr>
          <xdr:cNvPr id="48" name="TextBox 47">
            <a:extLst>
              <a:ext uri="{FF2B5EF4-FFF2-40B4-BE49-F238E27FC236}">
                <a16:creationId xmlns:a16="http://schemas.microsoft.com/office/drawing/2014/main" id="{75A318DE-64FB-9740-B0F6-86471155BC62}"/>
              </a:ext>
            </a:extLst>
          </xdr:cNvPr>
          <xdr:cNvSpPr txBox="1"/>
        </xdr:nvSpPr>
        <xdr:spPr>
          <a:xfrm>
            <a:off x="15697207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3E37AC2-18DB-6E4B-A6EE-6BD37EFB9200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49" name="TextBox 48">
            <a:extLst>
              <a:ext uri="{FF2B5EF4-FFF2-40B4-BE49-F238E27FC236}">
                <a16:creationId xmlns:a16="http://schemas.microsoft.com/office/drawing/2014/main" id="{A35BED95-7B81-BA43-BA5E-4BD6A3E8E094}"/>
              </a:ext>
            </a:extLst>
          </xdr:cNvPr>
          <xdr:cNvSpPr txBox="1"/>
        </xdr:nvSpPr>
        <xdr:spPr>
          <a:xfrm>
            <a:off x="15508521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7">
        <xdr:nvSpPr>
          <xdr:cNvPr id="51" name="TextBox 50">
            <a:extLst>
              <a:ext uri="{FF2B5EF4-FFF2-40B4-BE49-F238E27FC236}">
                <a16:creationId xmlns:a16="http://schemas.microsoft.com/office/drawing/2014/main" id="{C791335E-D320-854D-A143-833ABA16F83A}"/>
              </a:ext>
            </a:extLst>
          </xdr:cNvPr>
          <xdr:cNvSpPr txBox="1"/>
        </xdr:nvSpPr>
        <xdr:spPr>
          <a:xfrm>
            <a:off x="16531780" y="1185820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AE9FB-FBEC-394C-9548-5DAFD5BA35B2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7">
        <xdr:nvSpPr>
          <xdr:cNvPr id="52" name="TextBox 51">
            <a:extLst>
              <a:ext uri="{FF2B5EF4-FFF2-40B4-BE49-F238E27FC236}">
                <a16:creationId xmlns:a16="http://schemas.microsoft.com/office/drawing/2014/main" id="{4E6FF952-8AAD-8C40-8A00-094328FE34FF}"/>
              </a:ext>
            </a:extLst>
          </xdr:cNvPr>
          <xdr:cNvSpPr txBox="1"/>
        </xdr:nvSpPr>
        <xdr:spPr>
          <a:xfrm>
            <a:off x="17010752" y="11858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EBE3BCA-C39F-5846-A76D-078334722438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53" name="TextBox 52">
            <a:extLst>
              <a:ext uri="{FF2B5EF4-FFF2-40B4-BE49-F238E27FC236}">
                <a16:creationId xmlns:a16="http://schemas.microsoft.com/office/drawing/2014/main" id="{46CE2265-0BC1-164D-9515-DD43A1895EA6}"/>
              </a:ext>
            </a:extLst>
          </xdr:cNvPr>
          <xdr:cNvSpPr txBox="1"/>
        </xdr:nvSpPr>
        <xdr:spPr>
          <a:xfrm>
            <a:off x="16767637" y="11858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8">
        <xdr:nvSpPr>
          <xdr:cNvPr id="55" name="TextBox 54">
            <a:extLst>
              <a:ext uri="{FF2B5EF4-FFF2-40B4-BE49-F238E27FC236}">
                <a16:creationId xmlns:a16="http://schemas.microsoft.com/office/drawing/2014/main" id="{B5F1D6FA-03ED-9449-8560-777D76537AF2}"/>
              </a:ext>
            </a:extLst>
          </xdr:cNvPr>
          <xdr:cNvSpPr txBox="1"/>
        </xdr:nvSpPr>
        <xdr:spPr>
          <a:xfrm>
            <a:off x="17500609" y="11858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1424D8A-7FEC-9644-A63C-5E7EAB500710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8">
        <xdr:nvSpPr>
          <xdr:cNvPr id="56" name="TextBox 55">
            <a:extLst>
              <a:ext uri="{FF2B5EF4-FFF2-40B4-BE49-F238E27FC236}">
                <a16:creationId xmlns:a16="http://schemas.microsoft.com/office/drawing/2014/main" id="{7DC4DF93-1D7A-5749-8951-C345C3BE68FD}"/>
              </a:ext>
            </a:extLst>
          </xdr:cNvPr>
          <xdr:cNvSpPr txBox="1"/>
        </xdr:nvSpPr>
        <xdr:spPr>
          <a:xfrm>
            <a:off x="17979580" y="118582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ECE268-7617-2C40-91C4-034A9AAC322D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4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57" name="TextBox 56">
            <a:extLst>
              <a:ext uri="{FF2B5EF4-FFF2-40B4-BE49-F238E27FC236}">
                <a16:creationId xmlns:a16="http://schemas.microsoft.com/office/drawing/2014/main" id="{F06F709F-53E9-2B47-A984-AE501AC1D28F}"/>
              </a:ext>
            </a:extLst>
          </xdr:cNvPr>
          <xdr:cNvSpPr txBox="1"/>
        </xdr:nvSpPr>
        <xdr:spPr>
          <a:xfrm>
            <a:off x="17827180" y="11858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9">
        <xdr:nvSpPr>
          <xdr:cNvPr id="71" name="TextBox 70">
            <a:extLst>
              <a:ext uri="{FF2B5EF4-FFF2-40B4-BE49-F238E27FC236}">
                <a16:creationId xmlns:a16="http://schemas.microsoft.com/office/drawing/2014/main" id="{1986954F-50EA-6D45-B7C5-F673C8C7CF23}"/>
              </a:ext>
            </a:extLst>
          </xdr:cNvPr>
          <xdr:cNvSpPr txBox="1"/>
        </xdr:nvSpPr>
        <xdr:spPr>
          <a:xfrm>
            <a:off x="12961258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E62510-DBC0-B94D-91F7-26CA6CC2E97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9">
        <xdr:nvSpPr>
          <xdr:cNvPr id="72" name="TextBox 71">
            <a:extLst>
              <a:ext uri="{FF2B5EF4-FFF2-40B4-BE49-F238E27FC236}">
                <a16:creationId xmlns:a16="http://schemas.microsoft.com/office/drawing/2014/main" id="{F6AC6DBD-5F6C-6148-886B-B0580EF11A29}"/>
              </a:ext>
            </a:extLst>
          </xdr:cNvPr>
          <xdr:cNvSpPr txBox="1"/>
        </xdr:nvSpPr>
        <xdr:spPr>
          <a:xfrm>
            <a:off x="13440230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B5969E-0A13-7543-BCB4-8B95225C8751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73" name="TextBox 72">
            <a:extLst>
              <a:ext uri="{FF2B5EF4-FFF2-40B4-BE49-F238E27FC236}">
                <a16:creationId xmlns:a16="http://schemas.microsoft.com/office/drawing/2014/main" id="{5AA118C9-F0D8-8444-945A-CFAB1FCFE966}"/>
              </a:ext>
            </a:extLst>
          </xdr:cNvPr>
          <xdr:cNvSpPr txBox="1"/>
        </xdr:nvSpPr>
        <xdr:spPr>
          <a:xfrm>
            <a:off x="13197115" y="22907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0">
        <xdr:nvSpPr>
          <xdr:cNvPr id="75" name="TextBox 74">
            <a:extLst>
              <a:ext uri="{FF2B5EF4-FFF2-40B4-BE49-F238E27FC236}">
                <a16:creationId xmlns:a16="http://schemas.microsoft.com/office/drawing/2014/main" id="{D9D7DA36-984F-4840-8BA7-DBCEDF4E5EC8}"/>
              </a:ext>
            </a:extLst>
          </xdr:cNvPr>
          <xdr:cNvSpPr txBox="1"/>
        </xdr:nvSpPr>
        <xdr:spPr>
          <a:xfrm>
            <a:off x="14002661" y="22907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751AF77-E22D-4B49-98F6-22A3A378FB23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0">
        <xdr:nvSpPr>
          <xdr:cNvPr id="76" name="TextBox 75">
            <a:extLst>
              <a:ext uri="{FF2B5EF4-FFF2-40B4-BE49-F238E27FC236}">
                <a16:creationId xmlns:a16="http://schemas.microsoft.com/office/drawing/2014/main" id="{2FAAD188-B5EE-234F-8C8C-29D337AF2ECE}"/>
              </a:ext>
            </a:extLst>
          </xdr:cNvPr>
          <xdr:cNvSpPr txBox="1"/>
        </xdr:nvSpPr>
        <xdr:spPr>
          <a:xfrm>
            <a:off x="14481632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5A53B31-C597-A54F-8781-B14A51FC135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77" name="TextBox 76">
            <a:extLst>
              <a:ext uri="{FF2B5EF4-FFF2-40B4-BE49-F238E27FC236}">
                <a16:creationId xmlns:a16="http://schemas.microsoft.com/office/drawing/2014/main" id="{F2FB3501-B746-4049-996A-8B7294061144}"/>
              </a:ext>
            </a:extLst>
          </xdr:cNvPr>
          <xdr:cNvSpPr txBox="1"/>
        </xdr:nvSpPr>
        <xdr:spPr>
          <a:xfrm>
            <a:off x="14292946" y="22907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1">
        <xdr:nvSpPr>
          <xdr:cNvPr id="79" name="TextBox 78">
            <a:extLst>
              <a:ext uri="{FF2B5EF4-FFF2-40B4-BE49-F238E27FC236}">
                <a16:creationId xmlns:a16="http://schemas.microsoft.com/office/drawing/2014/main" id="{9BF09D03-D057-0748-9D71-5B4B3760BB63}"/>
              </a:ext>
            </a:extLst>
          </xdr:cNvPr>
          <xdr:cNvSpPr txBox="1"/>
        </xdr:nvSpPr>
        <xdr:spPr>
          <a:xfrm>
            <a:off x="15261778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945C53-4CE4-3F43-BCF9-9F2B5ED80808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1">
        <xdr:nvSpPr>
          <xdr:cNvPr id="80" name="TextBox 79">
            <a:extLst>
              <a:ext uri="{FF2B5EF4-FFF2-40B4-BE49-F238E27FC236}">
                <a16:creationId xmlns:a16="http://schemas.microsoft.com/office/drawing/2014/main" id="{8E5A961C-3C94-F347-A181-A40FB428DB7C}"/>
              </a:ext>
            </a:extLst>
          </xdr:cNvPr>
          <xdr:cNvSpPr txBox="1"/>
        </xdr:nvSpPr>
        <xdr:spPr>
          <a:xfrm>
            <a:off x="15686321" y="229072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DB41FD9-351D-8047-95FC-51F14A845181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1" name="TextBox 80">
            <a:extLst>
              <a:ext uri="{FF2B5EF4-FFF2-40B4-BE49-F238E27FC236}">
                <a16:creationId xmlns:a16="http://schemas.microsoft.com/office/drawing/2014/main" id="{9F06B7AE-47E1-0940-9DDB-71EF2A45C13C}"/>
              </a:ext>
            </a:extLst>
          </xdr:cNvPr>
          <xdr:cNvSpPr txBox="1"/>
        </xdr:nvSpPr>
        <xdr:spPr>
          <a:xfrm>
            <a:off x="15497635" y="229072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2">
        <xdr:nvSpPr>
          <xdr:cNvPr id="83" name="TextBox 82">
            <a:extLst>
              <a:ext uri="{FF2B5EF4-FFF2-40B4-BE49-F238E27FC236}">
                <a16:creationId xmlns:a16="http://schemas.microsoft.com/office/drawing/2014/main" id="{E39C6F4A-CAC9-F546-9A00-B803DB9FA95A}"/>
              </a:ext>
            </a:extLst>
          </xdr:cNvPr>
          <xdr:cNvSpPr txBox="1"/>
        </xdr:nvSpPr>
        <xdr:spPr>
          <a:xfrm>
            <a:off x="16520894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AB32939-C659-9248-A5DF-95D6C67B0C75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2">
        <xdr:nvSpPr>
          <xdr:cNvPr id="84" name="TextBox 83">
            <a:extLst>
              <a:ext uri="{FF2B5EF4-FFF2-40B4-BE49-F238E27FC236}">
                <a16:creationId xmlns:a16="http://schemas.microsoft.com/office/drawing/2014/main" id="{57306F90-9DBF-CF44-9C60-090001FAA551}"/>
              </a:ext>
            </a:extLst>
          </xdr:cNvPr>
          <xdr:cNvSpPr txBox="1"/>
        </xdr:nvSpPr>
        <xdr:spPr>
          <a:xfrm>
            <a:off x="16999866" y="229072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BBE66D-C6DA-5742-A553-289CBCD1457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5" name="TextBox 84">
            <a:extLst>
              <a:ext uri="{FF2B5EF4-FFF2-40B4-BE49-F238E27FC236}">
                <a16:creationId xmlns:a16="http://schemas.microsoft.com/office/drawing/2014/main" id="{42F2FF1D-842C-C043-ACA1-3F2982D88894}"/>
              </a:ext>
            </a:extLst>
          </xdr:cNvPr>
          <xdr:cNvSpPr txBox="1"/>
        </xdr:nvSpPr>
        <xdr:spPr>
          <a:xfrm>
            <a:off x="16756751" y="229072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13">
        <xdr:nvSpPr>
          <xdr:cNvPr id="87" name="TextBox 86">
            <a:extLst>
              <a:ext uri="{FF2B5EF4-FFF2-40B4-BE49-F238E27FC236}">
                <a16:creationId xmlns:a16="http://schemas.microsoft.com/office/drawing/2014/main" id="{88C89233-AFDA-0141-9855-215B0D40C77C}"/>
              </a:ext>
            </a:extLst>
          </xdr:cNvPr>
          <xdr:cNvSpPr txBox="1"/>
        </xdr:nvSpPr>
        <xdr:spPr>
          <a:xfrm>
            <a:off x="17489723" y="2290720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3507C8-BBF4-6B4D-A21B-C74433F2F4A5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13">
        <xdr:nvSpPr>
          <xdr:cNvPr id="88" name="TextBox 87">
            <a:extLst>
              <a:ext uri="{FF2B5EF4-FFF2-40B4-BE49-F238E27FC236}">
                <a16:creationId xmlns:a16="http://schemas.microsoft.com/office/drawing/2014/main" id="{8598A9D0-1D0E-BE4B-8980-2B58C41E0EBB}"/>
              </a:ext>
            </a:extLst>
          </xdr:cNvPr>
          <xdr:cNvSpPr txBox="1"/>
        </xdr:nvSpPr>
        <xdr:spPr>
          <a:xfrm>
            <a:off x="17968694" y="229072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5718EC-9EBA-2C4C-A964-C507EE76C85F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89" name="TextBox 88">
            <a:extLst>
              <a:ext uri="{FF2B5EF4-FFF2-40B4-BE49-F238E27FC236}">
                <a16:creationId xmlns:a16="http://schemas.microsoft.com/office/drawing/2014/main" id="{CE96A87F-66CE-4946-A73D-9FBD6F149A1F}"/>
              </a:ext>
            </a:extLst>
          </xdr:cNvPr>
          <xdr:cNvSpPr txBox="1"/>
        </xdr:nvSpPr>
        <xdr:spPr>
          <a:xfrm>
            <a:off x="17816294" y="2290720"/>
            <a:ext cx="2948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4">
        <xdr:nvSpPr>
          <xdr:cNvPr id="95" name="TextBox 94">
            <a:extLst>
              <a:ext uri="{FF2B5EF4-FFF2-40B4-BE49-F238E27FC236}">
                <a16:creationId xmlns:a16="http://schemas.microsoft.com/office/drawing/2014/main" id="{5B2CBB9D-25B7-F44E-A2D5-573CDFED2A53}"/>
              </a:ext>
            </a:extLst>
          </xdr:cNvPr>
          <xdr:cNvSpPr txBox="1"/>
        </xdr:nvSpPr>
        <xdr:spPr>
          <a:xfrm>
            <a:off x="12968515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7E2AED-CE48-A742-8F4D-C47F9F2DC28D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4">
        <xdr:nvSpPr>
          <xdr:cNvPr id="96" name="TextBox 95">
            <a:extLst>
              <a:ext uri="{FF2B5EF4-FFF2-40B4-BE49-F238E27FC236}">
                <a16:creationId xmlns:a16="http://schemas.microsoft.com/office/drawing/2014/main" id="{83CF7060-0EB3-9543-84FC-62C13A993C5A}"/>
              </a:ext>
            </a:extLst>
          </xdr:cNvPr>
          <xdr:cNvSpPr txBox="1"/>
        </xdr:nvSpPr>
        <xdr:spPr>
          <a:xfrm>
            <a:off x="13447487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17F2003-412E-0342-B70C-1CE8DC776E71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97" name="TextBox 96">
            <a:extLst>
              <a:ext uri="{FF2B5EF4-FFF2-40B4-BE49-F238E27FC236}">
                <a16:creationId xmlns:a16="http://schemas.microsoft.com/office/drawing/2014/main" id="{1B2F1988-C239-A143-B36A-E12824711A7D}"/>
              </a:ext>
            </a:extLst>
          </xdr:cNvPr>
          <xdr:cNvSpPr txBox="1"/>
        </xdr:nvSpPr>
        <xdr:spPr>
          <a:xfrm>
            <a:off x="13204372" y="340469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5">
        <xdr:nvSpPr>
          <xdr:cNvPr id="99" name="TextBox 98">
            <a:extLst>
              <a:ext uri="{FF2B5EF4-FFF2-40B4-BE49-F238E27FC236}">
                <a16:creationId xmlns:a16="http://schemas.microsoft.com/office/drawing/2014/main" id="{8BA4F9A1-88A7-CF42-97FE-48918F9F6F11}"/>
              </a:ext>
            </a:extLst>
          </xdr:cNvPr>
          <xdr:cNvSpPr txBox="1"/>
        </xdr:nvSpPr>
        <xdr:spPr>
          <a:xfrm>
            <a:off x="14009918" y="340469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5639D58-3F6C-F043-B396-A63BC8ADC6C7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5">
        <xdr:nvSpPr>
          <xdr:cNvPr id="100" name="TextBox 99">
            <a:extLst>
              <a:ext uri="{FF2B5EF4-FFF2-40B4-BE49-F238E27FC236}">
                <a16:creationId xmlns:a16="http://schemas.microsoft.com/office/drawing/2014/main" id="{F59FD6FD-3BF4-2245-8D8A-042CBDC0CA7C}"/>
              </a:ext>
            </a:extLst>
          </xdr:cNvPr>
          <xdr:cNvSpPr txBox="1"/>
        </xdr:nvSpPr>
        <xdr:spPr>
          <a:xfrm>
            <a:off x="14488889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2E89AB-C01F-614F-906E-507B090E1635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1" name="TextBox 100">
            <a:extLst>
              <a:ext uri="{FF2B5EF4-FFF2-40B4-BE49-F238E27FC236}">
                <a16:creationId xmlns:a16="http://schemas.microsoft.com/office/drawing/2014/main" id="{38CACB7F-FAB3-6149-A4A2-65CFF07A50DC}"/>
              </a:ext>
            </a:extLst>
          </xdr:cNvPr>
          <xdr:cNvSpPr txBox="1"/>
        </xdr:nvSpPr>
        <xdr:spPr>
          <a:xfrm>
            <a:off x="14300203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6">
        <xdr:nvSpPr>
          <xdr:cNvPr id="103" name="TextBox 102">
            <a:extLst>
              <a:ext uri="{FF2B5EF4-FFF2-40B4-BE49-F238E27FC236}">
                <a16:creationId xmlns:a16="http://schemas.microsoft.com/office/drawing/2014/main" id="{C50235A9-35C9-594D-A99A-677443F20365}"/>
              </a:ext>
            </a:extLst>
          </xdr:cNvPr>
          <xdr:cNvSpPr txBox="1"/>
        </xdr:nvSpPr>
        <xdr:spPr>
          <a:xfrm>
            <a:off x="15269035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00D9CFC-7BB5-4F40-AA8E-C65379DF4306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6">
        <xdr:nvSpPr>
          <xdr:cNvPr id="104" name="TextBox 103">
            <a:extLst>
              <a:ext uri="{FF2B5EF4-FFF2-40B4-BE49-F238E27FC236}">
                <a16:creationId xmlns:a16="http://schemas.microsoft.com/office/drawing/2014/main" id="{FF8957A2-765E-934E-ACA5-AC0E98026B72}"/>
              </a:ext>
            </a:extLst>
          </xdr:cNvPr>
          <xdr:cNvSpPr txBox="1"/>
        </xdr:nvSpPr>
        <xdr:spPr>
          <a:xfrm>
            <a:off x="15693578" y="3404690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6FFF130-C36A-7F4F-9FBD-A87D09ACB20A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5" name="TextBox 104">
            <a:extLst>
              <a:ext uri="{FF2B5EF4-FFF2-40B4-BE49-F238E27FC236}">
                <a16:creationId xmlns:a16="http://schemas.microsoft.com/office/drawing/2014/main" id="{16F6E7E7-9BFA-4E47-91C1-F84117A8E392}"/>
              </a:ext>
            </a:extLst>
          </xdr:cNvPr>
          <xdr:cNvSpPr txBox="1"/>
        </xdr:nvSpPr>
        <xdr:spPr>
          <a:xfrm>
            <a:off x="15504892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7">
        <xdr:nvSpPr>
          <xdr:cNvPr id="107" name="TextBox 106">
            <a:extLst>
              <a:ext uri="{FF2B5EF4-FFF2-40B4-BE49-F238E27FC236}">
                <a16:creationId xmlns:a16="http://schemas.microsoft.com/office/drawing/2014/main" id="{82C17512-88CF-194E-8872-A53A225F387C}"/>
              </a:ext>
            </a:extLst>
          </xdr:cNvPr>
          <xdr:cNvSpPr txBox="1"/>
        </xdr:nvSpPr>
        <xdr:spPr>
          <a:xfrm>
            <a:off x="16528151" y="340469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4466FF2-E905-164C-9088-C4ACEA28A706}" type="TxLink">
              <a:rPr lang="en-US" sz="24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7">
        <xdr:nvSpPr>
          <xdr:cNvPr id="108" name="TextBox 107">
            <a:extLst>
              <a:ext uri="{FF2B5EF4-FFF2-40B4-BE49-F238E27FC236}">
                <a16:creationId xmlns:a16="http://schemas.microsoft.com/office/drawing/2014/main" id="{2CED95AC-1100-C84E-83FB-66467BD0223A}"/>
              </a:ext>
            </a:extLst>
          </xdr:cNvPr>
          <xdr:cNvSpPr txBox="1"/>
        </xdr:nvSpPr>
        <xdr:spPr>
          <a:xfrm>
            <a:off x="17007123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8919A9-C51C-0945-A2B2-338F8724CFDC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09" name="TextBox 108">
            <a:extLst>
              <a:ext uri="{FF2B5EF4-FFF2-40B4-BE49-F238E27FC236}">
                <a16:creationId xmlns:a16="http://schemas.microsoft.com/office/drawing/2014/main" id="{308128A2-0C16-3948-BD93-58E479497E7B}"/>
              </a:ext>
            </a:extLst>
          </xdr:cNvPr>
          <xdr:cNvSpPr txBox="1"/>
        </xdr:nvSpPr>
        <xdr:spPr>
          <a:xfrm>
            <a:off x="16764008" y="3404690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D8">
        <xdr:nvSpPr>
          <xdr:cNvPr id="111" name="TextBox 110">
            <a:extLst>
              <a:ext uri="{FF2B5EF4-FFF2-40B4-BE49-F238E27FC236}">
                <a16:creationId xmlns:a16="http://schemas.microsoft.com/office/drawing/2014/main" id="{BB06ECA8-F23C-8440-ADAF-75E08809C1B1}"/>
              </a:ext>
            </a:extLst>
          </xdr:cNvPr>
          <xdr:cNvSpPr txBox="1"/>
        </xdr:nvSpPr>
        <xdr:spPr>
          <a:xfrm>
            <a:off x="17496980" y="340469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73B7E7E-1AB4-1A49-91FA-2C2605682291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F8">
        <xdr:nvSpPr>
          <xdr:cNvPr id="112" name="TextBox 111">
            <a:extLst>
              <a:ext uri="{FF2B5EF4-FFF2-40B4-BE49-F238E27FC236}">
                <a16:creationId xmlns:a16="http://schemas.microsoft.com/office/drawing/2014/main" id="{1928AAB7-B201-7940-BC2A-5D9C1E07D6FB}"/>
              </a:ext>
            </a:extLst>
          </xdr:cNvPr>
          <xdr:cNvSpPr txBox="1"/>
        </xdr:nvSpPr>
        <xdr:spPr>
          <a:xfrm>
            <a:off x="17975951" y="340469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B2F85-08A0-384D-98DE-642662E9F0C6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13" name="TextBox 112">
            <a:extLst>
              <a:ext uri="{FF2B5EF4-FFF2-40B4-BE49-F238E27FC236}">
                <a16:creationId xmlns:a16="http://schemas.microsoft.com/office/drawing/2014/main" id="{1F734BC7-0469-A648-AC32-224F46535CA4}"/>
              </a:ext>
            </a:extLst>
          </xdr:cNvPr>
          <xdr:cNvSpPr txBox="1"/>
        </xdr:nvSpPr>
        <xdr:spPr>
          <a:xfrm>
            <a:off x="17823551" y="340469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pic>
        <xdr:nvPicPr>
          <xdr:cNvPr id="106" name="Picture 105">
            <a:extLst>
              <a:ext uri="{FF2B5EF4-FFF2-40B4-BE49-F238E27FC236}">
                <a16:creationId xmlns:a16="http://schemas.microsoft.com/office/drawing/2014/main" id="{661DA014-2B52-3A42-BF7F-F74BE0C700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2961259" y="5060778"/>
            <a:ext cx="5328252" cy="3279851"/>
          </a:xfrm>
          <a:prstGeom prst="rect">
            <a:avLst/>
          </a:prstGeom>
        </xdr:spPr>
      </xdr:pic>
      <xdr:sp macro="" textlink="Location2ANALYSIS!D14">
        <xdr:nvSpPr>
          <xdr:cNvPr id="110" name="TextBox 109">
            <a:extLst>
              <a:ext uri="{FF2B5EF4-FFF2-40B4-BE49-F238E27FC236}">
                <a16:creationId xmlns:a16="http://schemas.microsoft.com/office/drawing/2014/main" id="{A6658916-1138-7D4E-8131-266C520C15D7}"/>
              </a:ext>
            </a:extLst>
          </xdr:cNvPr>
          <xdr:cNvSpPr txBox="1"/>
        </xdr:nvSpPr>
        <xdr:spPr>
          <a:xfrm>
            <a:off x="12943116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BF74552-ACC2-F546-8A75-EE60D71F53A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4">
        <xdr:nvSpPr>
          <xdr:cNvPr id="114" name="TextBox 113">
            <a:extLst>
              <a:ext uri="{FF2B5EF4-FFF2-40B4-BE49-F238E27FC236}">
                <a16:creationId xmlns:a16="http://schemas.microsoft.com/office/drawing/2014/main" id="{01426818-B80C-5E4E-80D5-A5950414754E}"/>
              </a:ext>
            </a:extLst>
          </xdr:cNvPr>
          <xdr:cNvSpPr txBox="1"/>
        </xdr:nvSpPr>
        <xdr:spPr>
          <a:xfrm>
            <a:off x="13422088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8AA811-94B8-D543-8D15-9F30F67109D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5">
        <xdr:nvSpPr>
          <xdr:cNvPr id="116" name="TextBox 115">
            <a:extLst>
              <a:ext uri="{FF2B5EF4-FFF2-40B4-BE49-F238E27FC236}">
                <a16:creationId xmlns:a16="http://schemas.microsoft.com/office/drawing/2014/main" id="{55F5497B-6E04-6340-A86B-EC944D87CDF5}"/>
              </a:ext>
            </a:extLst>
          </xdr:cNvPr>
          <xdr:cNvSpPr txBox="1"/>
        </xdr:nvSpPr>
        <xdr:spPr>
          <a:xfrm>
            <a:off x="13966376" y="53231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E32A5B0-32A4-5743-84F9-D74587C3324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5">
        <xdr:nvSpPr>
          <xdr:cNvPr id="117" name="TextBox 116">
            <a:extLst>
              <a:ext uri="{FF2B5EF4-FFF2-40B4-BE49-F238E27FC236}">
                <a16:creationId xmlns:a16="http://schemas.microsoft.com/office/drawing/2014/main" id="{A8C78710-9856-0541-B450-8E26043C5DBC}"/>
              </a:ext>
            </a:extLst>
          </xdr:cNvPr>
          <xdr:cNvSpPr txBox="1"/>
        </xdr:nvSpPr>
        <xdr:spPr>
          <a:xfrm>
            <a:off x="14445347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904523-DA9F-094B-A64B-8DCA635E877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6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6">
        <xdr:nvSpPr>
          <xdr:cNvPr id="119" name="TextBox 118">
            <a:extLst>
              <a:ext uri="{FF2B5EF4-FFF2-40B4-BE49-F238E27FC236}">
                <a16:creationId xmlns:a16="http://schemas.microsoft.com/office/drawing/2014/main" id="{7EF5F7F2-1CDC-A24B-91D7-F3A80FBF1D9F}"/>
              </a:ext>
            </a:extLst>
          </xdr:cNvPr>
          <xdr:cNvSpPr txBox="1"/>
        </xdr:nvSpPr>
        <xdr:spPr>
          <a:xfrm>
            <a:off x="15243636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2CC6662-1FEB-8645-B715-C6EB72FB69D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6">
        <xdr:nvSpPr>
          <xdr:cNvPr id="120" name="TextBox 119">
            <a:extLst>
              <a:ext uri="{FF2B5EF4-FFF2-40B4-BE49-F238E27FC236}">
                <a16:creationId xmlns:a16="http://schemas.microsoft.com/office/drawing/2014/main" id="{8A63C561-A4E3-E143-A88B-30D81045564B}"/>
              </a:ext>
            </a:extLst>
          </xdr:cNvPr>
          <xdr:cNvSpPr txBox="1"/>
        </xdr:nvSpPr>
        <xdr:spPr>
          <a:xfrm>
            <a:off x="15668179" y="53231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0CC4CB3-5BDD-3D47-A736-37BE7268744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7">
        <xdr:nvSpPr>
          <xdr:cNvPr id="127" name="TextBox 126">
            <a:extLst>
              <a:ext uri="{FF2B5EF4-FFF2-40B4-BE49-F238E27FC236}">
                <a16:creationId xmlns:a16="http://schemas.microsoft.com/office/drawing/2014/main" id="{69158A67-1384-394C-9C1B-BA962848DECA}"/>
              </a:ext>
            </a:extLst>
          </xdr:cNvPr>
          <xdr:cNvSpPr txBox="1"/>
        </xdr:nvSpPr>
        <xdr:spPr>
          <a:xfrm>
            <a:off x="16502752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D2A0F3B-0645-4942-A234-A63DFFF5DE6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7">
        <xdr:nvSpPr>
          <xdr:cNvPr id="128" name="TextBox 127">
            <a:extLst>
              <a:ext uri="{FF2B5EF4-FFF2-40B4-BE49-F238E27FC236}">
                <a16:creationId xmlns:a16="http://schemas.microsoft.com/office/drawing/2014/main" id="{5B234A32-D5C0-D841-804B-AC0DFA237DA2}"/>
              </a:ext>
            </a:extLst>
          </xdr:cNvPr>
          <xdr:cNvSpPr txBox="1"/>
        </xdr:nvSpPr>
        <xdr:spPr>
          <a:xfrm>
            <a:off x="16981724" y="5323116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62EA35F-3C22-824A-92A0-12DC6A9FA8F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8">
        <xdr:nvSpPr>
          <xdr:cNvPr id="130" name="TextBox 129">
            <a:extLst>
              <a:ext uri="{FF2B5EF4-FFF2-40B4-BE49-F238E27FC236}">
                <a16:creationId xmlns:a16="http://schemas.microsoft.com/office/drawing/2014/main" id="{FD5FF782-BE4E-AD4E-B322-EDDC8D9A0EC6}"/>
              </a:ext>
            </a:extLst>
          </xdr:cNvPr>
          <xdr:cNvSpPr txBox="1"/>
        </xdr:nvSpPr>
        <xdr:spPr>
          <a:xfrm>
            <a:off x="17471581" y="5323116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B04A8D5-95C1-644D-ABF7-D00DB0597A0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8">
        <xdr:nvSpPr>
          <xdr:cNvPr id="131" name="TextBox 130">
            <a:extLst>
              <a:ext uri="{FF2B5EF4-FFF2-40B4-BE49-F238E27FC236}">
                <a16:creationId xmlns:a16="http://schemas.microsoft.com/office/drawing/2014/main" id="{34DE6E36-405E-C142-A3CA-29DD80D2519B}"/>
              </a:ext>
            </a:extLst>
          </xdr:cNvPr>
          <xdr:cNvSpPr txBox="1"/>
        </xdr:nvSpPr>
        <xdr:spPr>
          <a:xfrm>
            <a:off x="17950552" y="53231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058305-7E43-B543-BB04-1DFD1107AB3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9">
        <xdr:nvSpPr>
          <xdr:cNvPr id="133" name="TextBox 132">
            <a:extLst>
              <a:ext uri="{FF2B5EF4-FFF2-40B4-BE49-F238E27FC236}">
                <a16:creationId xmlns:a16="http://schemas.microsoft.com/office/drawing/2014/main" id="{C810E18C-E91A-DD43-85F5-B94D42BB9E24}"/>
              </a:ext>
            </a:extLst>
          </xdr:cNvPr>
          <xdr:cNvSpPr txBox="1"/>
        </xdr:nvSpPr>
        <xdr:spPr>
          <a:xfrm>
            <a:off x="12932230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60EAB-A781-F44D-8272-41C2A6A95DF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9">
        <xdr:nvSpPr>
          <xdr:cNvPr id="134" name="TextBox 133">
            <a:extLst>
              <a:ext uri="{FF2B5EF4-FFF2-40B4-BE49-F238E27FC236}">
                <a16:creationId xmlns:a16="http://schemas.microsoft.com/office/drawing/2014/main" id="{D80F8B0B-5DA1-B146-8AB1-C7564A15E46A}"/>
              </a:ext>
            </a:extLst>
          </xdr:cNvPr>
          <xdr:cNvSpPr txBox="1"/>
        </xdr:nvSpPr>
        <xdr:spPr>
          <a:xfrm>
            <a:off x="13411202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CB083C-7D12-A94C-AA35-D39EEC394A8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0">
        <xdr:nvSpPr>
          <xdr:cNvPr id="136" name="TextBox 135">
            <a:extLst>
              <a:ext uri="{FF2B5EF4-FFF2-40B4-BE49-F238E27FC236}">
                <a16:creationId xmlns:a16="http://schemas.microsoft.com/office/drawing/2014/main" id="{9A464038-B420-5A47-9C02-A8EC3DE56E0F}"/>
              </a:ext>
            </a:extLst>
          </xdr:cNvPr>
          <xdr:cNvSpPr txBox="1"/>
        </xdr:nvSpPr>
        <xdr:spPr>
          <a:xfrm>
            <a:off x="13955490" y="64280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20740A-D7EB-4745-8BEB-CA0382A14B0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0">
        <xdr:nvSpPr>
          <xdr:cNvPr id="137" name="TextBox 136">
            <a:extLst>
              <a:ext uri="{FF2B5EF4-FFF2-40B4-BE49-F238E27FC236}">
                <a16:creationId xmlns:a16="http://schemas.microsoft.com/office/drawing/2014/main" id="{6FE1B5A8-9C29-E14A-B212-51C4A12CF478}"/>
              </a:ext>
            </a:extLst>
          </xdr:cNvPr>
          <xdr:cNvSpPr txBox="1"/>
        </xdr:nvSpPr>
        <xdr:spPr>
          <a:xfrm>
            <a:off x="14434461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0632752-3568-7C47-B79B-1D031727837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7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1">
        <xdr:nvSpPr>
          <xdr:cNvPr id="139" name="TextBox 138">
            <a:extLst>
              <a:ext uri="{FF2B5EF4-FFF2-40B4-BE49-F238E27FC236}">
                <a16:creationId xmlns:a16="http://schemas.microsoft.com/office/drawing/2014/main" id="{F15622A7-5782-2B47-9ACD-DA24BCAB87CE}"/>
              </a:ext>
            </a:extLst>
          </xdr:cNvPr>
          <xdr:cNvSpPr txBox="1"/>
        </xdr:nvSpPr>
        <xdr:spPr>
          <a:xfrm>
            <a:off x="15232750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67B4B6-8082-9549-A15F-62F9D419FCD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1">
        <xdr:nvSpPr>
          <xdr:cNvPr id="140" name="TextBox 139">
            <a:extLst>
              <a:ext uri="{FF2B5EF4-FFF2-40B4-BE49-F238E27FC236}">
                <a16:creationId xmlns:a16="http://schemas.microsoft.com/office/drawing/2014/main" id="{03C476FD-3E5D-F846-9121-31C99109665E}"/>
              </a:ext>
            </a:extLst>
          </xdr:cNvPr>
          <xdr:cNvSpPr txBox="1"/>
        </xdr:nvSpPr>
        <xdr:spPr>
          <a:xfrm>
            <a:off x="15657293" y="6428016"/>
            <a:ext cx="3493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4F21EC-EB4B-0545-B4B9-2CF5B844144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2">
        <xdr:nvSpPr>
          <xdr:cNvPr id="142" name="TextBox 141">
            <a:extLst>
              <a:ext uri="{FF2B5EF4-FFF2-40B4-BE49-F238E27FC236}">
                <a16:creationId xmlns:a16="http://schemas.microsoft.com/office/drawing/2014/main" id="{3E5AB780-B903-674B-BC8C-B9F7B093C536}"/>
              </a:ext>
            </a:extLst>
          </xdr:cNvPr>
          <xdr:cNvSpPr txBox="1"/>
        </xdr:nvSpPr>
        <xdr:spPr>
          <a:xfrm>
            <a:off x="16491866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ED1E984-F33F-9449-8C9B-79A0374A431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2">
        <xdr:nvSpPr>
          <xdr:cNvPr id="143" name="TextBox 142">
            <a:extLst>
              <a:ext uri="{FF2B5EF4-FFF2-40B4-BE49-F238E27FC236}">
                <a16:creationId xmlns:a16="http://schemas.microsoft.com/office/drawing/2014/main" id="{2C26F3B1-F082-B94E-A8F3-7615B9B6EA99}"/>
              </a:ext>
            </a:extLst>
          </xdr:cNvPr>
          <xdr:cNvSpPr txBox="1"/>
        </xdr:nvSpPr>
        <xdr:spPr>
          <a:xfrm>
            <a:off x="16970838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D949E5C-AC7F-324B-9007-C22939E83C4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13">
        <xdr:nvSpPr>
          <xdr:cNvPr id="145" name="TextBox 144">
            <a:extLst>
              <a:ext uri="{FF2B5EF4-FFF2-40B4-BE49-F238E27FC236}">
                <a16:creationId xmlns:a16="http://schemas.microsoft.com/office/drawing/2014/main" id="{24B470D5-ED44-BD43-B6DA-92B8962CA46B}"/>
              </a:ext>
            </a:extLst>
          </xdr:cNvPr>
          <xdr:cNvSpPr txBox="1"/>
        </xdr:nvSpPr>
        <xdr:spPr>
          <a:xfrm>
            <a:off x="17460695" y="6428016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FCD4753-9D98-8E49-B65C-CB045A857C3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13">
        <xdr:nvSpPr>
          <xdr:cNvPr id="146" name="TextBox 145">
            <a:extLst>
              <a:ext uri="{FF2B5EF4-FFF2-40B4-BE49-F238E27FC236}">
                <a16:creationId xmlns:a16="http://schemas.microsoft.com/office/drawing/2014/main" id="{4FC9B569-A079-5740-AC54-7649954A736A}"/>
              </a:ext>
            </a:extLst>
          </xdr:cNvPr>
          <xdr:cNvSpPr txBox="1"/>
        </xdr:nvSpPr>
        <xdr:spPr>
          <a:xfrm>
            <a:off x="17939666" y="64280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26938C-06F3-5C45-B16E-B8C89774A46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4">
        <xdr:nvSpPr>
          <xdr:cNvPr id="148" name="TextBox 147">
            <a:extLst>
              <a:ext uri="{FF2B5EF4-FFF2-40B4-BE49-F238E27FC236}">
                <a16:creationId xmlns:a16="http://schemas.microsoft.com/office/drawing/2014/main" id="{A1085F43-706D-9B4C-AFE3-189E1BA4E51D}"/>
              </a:ext>
            </a:extLst>
          </xdr:cNvPr>
          <xdr:cNvSpPr txBox="1"/>
        </xdr:nvSpPr>
        <xdr:spPr>
          <a:xfrm>
            <a:off x="12939487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8A36E4-FCB9-0F41-963D-C0439DE576A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4">
        <xdr:nvSpPr>
          <xdr:cNvPr id="149" name="TextBox 148">
            <a:extLst>
              <a:ext uri="{FF2B5EF4-FFF2-40B4-BE49-F238E27FC236}">
                <a16:creationId xmlns:a16="http://schemas.microsoft.com/office/drawing/2014/main" id="{DEB30919-E1E6-4646-A9B5-28C77AE83449}"/>
              </a:ext>
            </a:extLst>
          </xdr:cNvPr>
          <xdr:cNvSpPr txBox="1"/>
        </xdr:nvSpPr>
        <xdr:spPr>
          <a:xfrm>
            <a:off x="13418459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E0AB6D9-C3EA-EA45-8A17-5911EFD5013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5">
        <xdr:nvSpPr>
          <xdr:cNvPr id="151" name="TextBox 150">
            <a:extLst>
              <a:ext uri="{FF2B5EF4-FFF2-40B4-BE49-F238E27FC236}">
                <a16:creationId xmlns:a16="http://schemas.microsoft.com/office/drawing/2014/main" id="{494A3A34-6EEA-AE4B-892A-768D09E7BC82}"/>
              </a:ext>
            </a:extLst>
          </xdr:cNvPr>
          <xdr:cNvSpPr txBox="1"/>
        </xdr:nvSpPr>
        <xdr:spPr>
          <a:xfrm>
            <a:off x="13962747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60FE9E-6CD3-CF4A-85B3-97EEDBEE4E2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5">
        <xdr:nvSpPr>
          <xdr:cNvPr id="152" name="TextBox 151">
            <a:extLst>
              <a:ext uri="{FF2B5EF4-FFF2-40B4-BE49-F238E27FC236}">
                <a16:creationId xmlns:a16="http://schemas.microsoft.com/office/drawing/2014/main" id="{CA1767E3-6436-9741-A2B3-F8E08547FDC6}"/>
              </a:ext>
            </a:extLst>
          </xdr:cNvPr>
          <xdr:cNvSpPr txBox="1"/>
        </xdr:nvSpPr>
        <xdr:spPr>
          <a:xfrm>
            <a:off x="14441718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CFE5AF2-BF5A-BF4F-AF84-26DFFCE15BC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6">
        <xdr:nvSpPr>
          <xdr:cNvPr id="154" name="TextBox 153">
            <a:extLst>
              <a:ext uri="{FF2B5EF4-FFF2-40B4-BE49-F238E27FC236}">
                <a16:creationId xmlns:a16="http://schemas.microsoft.com/office/drawing/2014/main" id="{51678DF6-5789-7340-B588-E7838D3B9271}"/>
              </a:ext>
            </a:extLst>
          </xdr:cNvPr>
          <xdr:cNvSpPr txBox="1"/>
        </xdr:nvSpPr>
        <xdr:spPr>
          <a:xfrm>
            <a:off x="15240007" y="7541986"/>
            <a:ext cx="2948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73FC2E4-C194-7444-807A-5DBE250D9F9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6">
        <xdr:nvSpPr>
          <xdr:cNvPr id="155" name="TextBox 154">
            <a:extLst>
              <a:ext uri="{FF2B5EF4-FFF2-40B4-BE49-F238E27FC236}">
                <a16:creationId xmlns:a16="http://schemas.microsoft.com/office/drawing/2014/main" id="{B55C6BC9-23C4-E547-A592-8CEF94B5C364}"/>
              </a:ext>
            </a:extLst>
          </xdr:cNvPr>
          <xdr:cNvSpPr txBox="1"/>
        </xdr:nvSpPr>
        <xdr:spPr>
          <a:xfrm>
            <a:off x="15664550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6438E9-8287-0046-B60D-C72716BB386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7">
        <xdr:nvSpPr>
          <xdr:cNvPr id="157" name="TextBox 156">
            <a:extLst>
              <a:ext uri="{FF2B5EF4-FFF2-40B4-BE49-F238E27FC236}">
                <a16:creationId xmlns:a16="http://schemas.microsoft.com/office/drawing/2014/main" id="{F71C4131-3784-D54A-ABF8-638438887524}"/>
              </a:ext>
            </a:extLst>
          </xdr:cNvPr>
          <xdr:cNvSpPr txBox="1"/>
        </xdr:nvSpPr>
        <xdr:spPr>
          <a:xfrm>
            <a:off x="16499123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98BFCC-58E9-C049-9354-A170BCC93B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7">
        <xdr:nvSpPr>
          <xdr:cNvPr id="158" name="TextBox 157">
            <a:extLst>
              <a:ext uri="{FF2B5EF4-FFF2-40B4-BE49-F238E27FC236}">
                <a16:creationId xmlns:a16="http://schemas.microsoft.com/office/drawing/2014/main" id="{5FC803F2-A9C0-AE41-923E-3EF6C86E9F30}"/>
              </a:ext>
            </a:extLst>
          </xdr:cNvPr>
          <xdr:cNvSpPr txBox="1"/>
        </xdr:nvSpPr>
        <xdr:spPr>
          <a:xfrm>
            <a:off x="16978095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ABDFB1E-1E87-0B43-8A22-62F141F096A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D8">
        <xdr:nvSpPr>
          <xdr:cNvPr id="160" name="TextBox 159">
            <a:extLst>
              <a:ext uri="{FF2B5EF4-FFF2-40B4-BE49-F238E27FC236}">
                <a16:creationId xmlns:a16="http://schemas.microsoft.com/office/drawing/2014/main" id="{791DE9CB-4420-274C-8466-24DB45053366}"/>
              </a:ext>
            </a:extLst>
          </xdr:cNvPr>
          <xdr:cNvSpPr txBox="1"/>
        </xdr:nvSpPr>
        <xdr:spPr>
          <a:xfrm>
            <a:off x="17467952" y="7541986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8793849-3496-774D-8315-CF1F24CD260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115" name="TextBox 114">
            <a:extLst>
              <a:ext uri="{FF2B5EF4-FFF2-40B4-BE49-F238E27FC236}">
                <a16:creationId xmlns:a16="http://schemas.microsoft.com/office/drawing/2014/main" id="{94F50A28-78C4-E742-AACE-25D7051A6788}"/>
              </a:ext>
            </a:extLst>
          </xdr:cNvPr>
          <xdr:cNvSpPr txBox="1"/>
        </xdr:nvSpPr>
        <xdr:spPr>
          <a:xfrm>
            <a:off x="13178973" y="53231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#REF!">
        <xdr:nvSpPr>
          <xdr:cNvPr id="118" name="TextBox 117">
            <a:extLst>
              <a:ext uri="{FF2B5EF4-FFF2-40B4-BE49-F238E27FC236}">
                <a16:creationId xmlns:a16="http://schemas.microsoft.com/office/drawing/2014/main" id="{529537FF-8437-9842-A75C-C47C596EE022}"/>
              </a:ext>
            </a:extLst>
          </xdr:cNvPr>
          <xdr:cNvSpPr txBox="1"/>
        </xdr:nvSpPr>
        <xdr:spPr>
          <a:xfrm>
            <a:off x="14256661" y="53231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21" name="TextBox 120">
            <a:extLst>
              <a:ext uri="{FF2B5EF4-FFF2-40B4-BE49-F238E27FC236}">
                <a16:creationId xmlns:a16="http://schemas.microsoft.com/office/drawing/2014/main" id="{675D22FB-623A-3648-9347-DD68B37F9896}"/>
              </a:ext>
            </a:extLst>
          </xdr:cNvPr>
          <xdr:cNvSpPr txBox="1"/>
        </xdr:nvSpPr>
        <xdr:spPr>
          <a:xfrm>
            <a:off x="15479493" y="53231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29" name="TextBox 128">
            <a:extLst>
              <a:ext uri="{FF2B5EF4-FFF2-40B4-BE49-F238E27FC236}">
                <a16:creationId xmlns:a16="http://schemas.microsoft.com/office/drawing/2014/main" id="{EDEBD5CE-13AB-A844-8032-E52621D758BC}"/>
              </a:ext>
            </a:extLst>
          </xdr:cNvPr>
          <xdr:cNvSpPr txBox="1"/>
        </xdr:nvSpPr>
        <xdr:spPr>
          <a:xfrm>
            <a:off x="16738609" y="53231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2" name="TextBox 131">
            <a:extLst>
              <a:ext uri="{FF2B5EF4-FFF2-40B4-BE49-F238E27FC236}">
                <a16:creationId xmlns:a16="http://schemas.microsoft.com/office/drawing/2014/main" id="{2EEDEFC8-CF73-9B4E-9651-139A4F0689EA}"/>
              </a:ext>
            </a:extLst>
          </xdr:cNvPr>
          <xdr:cNvSpPr txBox="1"/>
        </xdr:nvSpPr>
        <xdr:spPr>
          <a:xfrm>
            <a:off x="17707438" y="5323116"/>
            <a:ext cx="3493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5" name="TextBox 134">
            <a:extLst>
              <a:ext uri="{FF2B5EF4-FFF2-40B4-BE49-F238E27FC236}">
                <a16:creationId xmlns:a16="http://schemas.microsoft.com/office/drawing/2014/main" id="{3E9895B3-7630-4C47-90AD-801F4906404D}"/>
              </a:ext>
            </a:extLst>
          </xdr:cNvPr>
          <xdr:cNvSpPr txBox="1"/>
        </xdr:nvSpPr>
        <xdr:spPr>
          <a:xfrm>
            <a:off x="13168087" y="6428016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38" name="TextBox 137">
            <a:extLst>
              <a:ext uri="{FF2B5EF4-FFF2-40B4-BE49-F238E27FC236}">
                <a16:creationId xmlns:a16="http://schemas.microsoft.com/office/drawing/2014/main" id="{4E710C8A-854E-1847-8F1F-15DD6D4F032F}"/>
              </a:ext>
            </a:extLst>
          </xdr:cNvPr>
          <xdr:cNvSpPr txBox="1"/>
        </xdr:nvSpPr>
        <xdr:spPr>
          <a:xfrm>
            <a:off x="14245775" y="64280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1" name="TextBox 140">
            <a:extLst>
              <a:ext uri="{FF2B5EF4-FFF2-40B4-BE49-F238E27FC236}">
                <a16:creationId xmlns:a16="http://schemas.microsoft.com/office/drawing/2014/main" id="{EB6CD242-6061-5747-A436-A89F1DC3A210}"/>
              </a:ext>
            </a:extLst>
          </xdr:cNvPr>
          <xdr:cNvSpPr txBox="1"/>
        </xdr:nvSpPr>
        <xdr:spPr>
          <a:xfrm>
            <a:off x="15468607" y="6428016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4" name="TextBox 143">
            <a:extLst>
              <a:ext uri="{FF2B5EF4-FFF2-40B4-BE49-F238E27FC236}">
                <a16:creationId xmlns:a16="http://schemas.microsoft.com/office/drawing/2014/main" id="{DF52467B-8E87-D841-BCBD-B046DF387E43}"/>
              </a:ext>
            </a:extLst>
          </xdr:cNvPr>
          <xdr:cNvSpPr txBox="1"/>
        </xdr:nvSpPr>
        <xdr:spPr>
          <a:xfrm>
            <a:off x="16727723" y="6428016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47" name="TextBox 146">
            <a:extLst>
              <a:ext uri="{FF2B5EF4-FFF2-40B4-BE49-F238E27FC236}">
                <a16:creationId xmlns:a16="http://schemas.microsoft.com/office/drawing/2014/main" id="{ED75044C-D28B-1C4B-B433-4426D3FF433F}"/>
              </a:ext>
            </a:extLst>
          </xdr:cNvPr>
          <xdr:cNvSpPr txBox="1"/>
        </xdr:nvSpPr>
        <xdr:spPr>
          <a:xfrm>
            <a:off x="17696552" y="6428016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0" name="TextBox 149">
            <a:extLst>
              <a:ext uri="{FF2B5EF4-FFF2-40B4-BE49-F238E27FC236}">
                <a16:creationId xmlns:a16="http://schemas.microsoft.com/office/drawing/2014/main" id="{42980B25-BF93-DE49-9180-946EB085868D}"/>
              </a:ext>
            </a:extLst>
          </xdr:cNvPr>
          <xdr:cNvSpPr txBox="1"/>
        </xdr:nvSpPr>
        <xdr:spPr>
          <a:xfrm>
            <a:off x="13175344" y="7541986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3" name="TextBox 152">
            <a:extLst>
              <a:ext uri="{FF2B5EF4-FFF2-40B4-BE49-F238E27FC236}">
                <a16:creationId xmlns:a16="http://schemas.microsoft.com/office/drawing/2014/main" id="{66C93239-CD36-D94B-8BD3-56FD5ADB31DC}"/>
              </a:ext>
            </a:extLst>
          </xdr:cNvPr>
          <xdr:cNvSpPr txBox="1"/>
        </xdr:nvSpPr>
        <xdr:spPr>
          <a:xfrm>
            <a:off x="14253032" y="7541986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6" name="TextBox 155">
            <a:extLst>
              <a:ext uri="{FF2B5EF4-FFF2-40B4-BE49-F238E27FC236}">
                <a16:creationId xmlns:a16="http://schemas.microsoft.com/office/drawing/2014/main" id="{206BD49B-A744-3C46-AA46-89BCD5993ADC}"/>
              </a:ext>
            </a:extLst>
          </xdr:cNvPr>
          <xdr:cNvSpPr txBox="1"/>
        </xdr:nvSpPr>
        <xdr:spPr>
          <a:xfrm>
            <a:off x="15475864" y="7541986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59" name="TextBox 158">
            <a:extLst>
              <a:ext uri="{FF2B5EF4-FFF2-40B4-BE49-F238E27FC236}">
                <a16:creationId xmlns:a16="http://schemas.microsoft.com/office/drawing/2014/main" id="{7FE6569F-DCCA-6B43-BC8A-E62591F163E3}"/>
              </a:ext>
            </a:extLst>
          </xdr:cNvPr>
          <xdr:cNvSpPr txBox="1"/>
        </xdr:nvSpPr>
        <xdr:spPr>
          <a:xfrm>
            <a:off x="16734980" y="7541986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F8">
        <xdr:nvSpPr>
          <xdr:cNvPr id="161" name="TextBox 160">
            <a:extLst>
              <a:ext uri="{FF2B5EF4-FFF2-40B4-BE49-F238E27FC236}">
                <a16:creationId xmlns:a16="http://schemas.microsoft.com/office/drawing/2014/main" id="{35BA148D-7ECB-6843-AEE1-DC400EDFADBC}"/>
              </a:ext>
            </a:extLst>
          </xdr:cNvPr>
          <xdr:cNvSpPr txBox="1"/>
        </xdr:nvSpPr>
        <xdr:spPr>
          <a:xfrm>
            <a:off x="17946923" y="7541986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43B13E5-F7EA-8F4B-B127-1BA5BD20D7A8}" type="TxLink">
              <a:rPr lang="en-US" sz="2400" b="0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162" name="TextBox 161">
            <a:extLst>
              <a:ext uri="{FF2B5EF4-FFF2-40B4-BE49-F238E27FC236}">
                <a16:creationId xmlns:a16="http://schemas.microsoft.com/office/drawing/2014/main" id="{B0BCD2FA-3FCA-854C-AF15-B98D1B2BF03A}"/>
              </a:ext>
            </a:extLst>
          </xdr:cNvPr>
          <xdr:cNvSpPr txBox="1"/>
        </xdr:nvSpPr>
        <xdr:spPr>
          <a:xfrm>
            <a:off x="17703809" y="7541986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C2">
        <xdr:nvSpPr>
          <xdr:cNvPr id="336" name="Rectangle 335">
            <a:extLst>
              <a:ext uri="{FF2B5EF4-FFF2-40B4-BE49-F238E27FC236}">
                <a16:creationId xmlns:a16="http://schemas.microsoft.com/office/drawing/2014/main" id="{231B60D6-2C9D-9A4D-8411-6B3F6598B117}"/>
              </a:ext>
            </a:extLst>
          </xdr:cNvPr>
          <xdr:cNvSpPr>
            <a:spLocks noChangeAspect="1"/>
          </xdr:cNvSpPr>
        </xdr:nvSpPr>
        <xdr:spPr>
          <a:xfrm>
            <a:off x="15210972" y="560614"/>
            <a:ext cx="877388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7ECBDE4-ECC8-B246-A07A-00D18B0AD197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algn="ctr"/>
              <a:t>away</a:t>
            </a:fld>
            <a:endParaRPr lang="en-US" sz="10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C2">
        <xdr:nvSpPr>
          <xdr:cNvPr id="337" name="Rectangle 336">
            <a:extLst>
              <a:ext uri="{FF2B5EF4-FFF2-40B4-BE49-F238E27FC236}">
                <a16:creationId xmlns:a16="http://schemas.microsoft.com/office/drawing/2014/main" id="{927EBCDB-0CA6-A34F-A851-766465F5E721}"/>
              </a:ext>
            </a:extLst>
          </xdr:cNvPr>
          <xdr:cNvSpPr>
            <a:spLocks noChangeAspect="1"/>
          </xdr:cNvSpPr>
        </xdr:nvSpPr>
        <xdr:spPr>
          <a:xfrm>
            <a:off x="15153038" y="4715329"/>
            <a:ext cx="877388" cy="2924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14C5C7E0-3632-6749-9286-3F08E2F9A7B8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home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22</xdr:col>
      <xdr:colOff>101996</xdr:colOff>
      <xdr:row>10</xdr:row>
      <xdr:rowOff>85159</xdr:rowOff>
    </xdr:from>
    <xdr:to>
      <xdr:col>22</xdr:col>
      <xdr:colOff>818746</xdr:colOff>
      <xdr:row>14</xdr:row>
      <xdr:rowOff>111896</xdr:rowOff>
    </xdr:to>
    <xdr:sp macro="" textlink="MatchANALYSIS!$G$16">
      <xdr:nvSpPr>
        <xdr:cNvPr id="174" name="TextBox 173">
          <a:extLst>
            <a:ext uri="{FF2B5EF4-FFF2-40B4-BE49-F238E27FC236}">
              <a16:creationId xmlns:a16="http://schemas.microsoft.com/office/drawing/2014/main" id="{714C8A1C-8E68-B848-853E-D29A1A6A8552}"/>
            </a:ext>
          </a:extLst>
        </xdr:cNvPr>
        <xdr:cNvSpPr txBox="1"/>
      </xdr:nvSpPr>
      <xdr:spPr>
        <a:xfrm>
          <a:off x="18462567" y="1718016"/>
          <a:ext cx="716750" cy="679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FE301759-AE92-3045-AC57-766CC286A99B}" type="TxLink">
            <a:rPr lang="en-US" sz="4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33</a:t>
          </a:fld>
          <a:endParaRPr lang="en-US" sz="4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132180</xdr:colOff>
      <xdr:row>14</xdr:row>
      <xdr:rowOff>75303</xdr:rowOff>
    </xdr:from>
    <xdr:to>
      <xdr:col>22</xdr:col>
      <xdr:colOff>692406</xdr:colOff>
      <xdr:row>18</xdr:row>
      <xdr:rowOff>1098</xdr:rowOff>
    </xdr:to>
    <xdr:sp macro="" textlink="MatchANALYSIS!$G$17">
      <xdr:nvSpPr>
        <xdr:cNvPr id="175" name="TextBox 174">
          <a:extLst>
            <a:ext uri="{FF2B5EF4-FFF2-40B4-BE49-F238E27FC236}">
              <a16:creationId xmlns:a16="http://schemas.microsoft.com/office/drawing/2014/main" id="{F97FADA9-B540-084A-A73A-69CD2A80F739}"/>
            </a:ext>
          </a:extLst>
        </xdr:cNvPr>
        <xdr:cNvSpPr txBox="1"/>
      </xdr:nvSpPr>
      <xdr:spPr>
        <a:xfrm>
          <a:off x="18492751" y="2361303"/>
          <a:ext cx="560226" cy="578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C00D0C7-4B0C-4344-A170-47712C9B5CA6}" type="TxLink">
            <a:rPr lang="en-US" sz="32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19</a:t>
          </a:fld>
          <a:endParaRPr lang="en-US" sz="32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24760</xdr:colOff>
      <xdr:row>5</xdr:row>
      <xdr:rowOff>90717</xdr:rowOff>
    </xdr:from>
    <xdr:to>
      <xdr:col>23</xdr:col>
      <xdr:colOff>199641</xdr:colOff>
      <xdr:row>11</xdr:row>
      <xdr:rowOff>13679</xdr:rowOff>
    </xdr:to>
    <xdr:sp macro="" textlink="MatchANALYSIS!$G$15">
      <xdr:nvSpPr>
        <xdr:cNvPr id="178" name="TextBox 177">
          <a:extLst>
            <a:ext uri="{FF2B5EF4-FFF2-40B4-BE49-F238E27FC236}">
              <a16:creationId xmlns:a16="http://schemas.microsoft.com/office/drawing/2014/main" id="{92A203FD-0E7A-414D-A19D-853D9DD7195E}"/>
            </a:ext>
          </a:extLst>
        </xdr:cNvPr>
        <xdr:cNvSpPr txBox="1"/>
      </xdr:nvSpPr>
      <xdr:spPr>
        <a:xfrm>
          <a:off x="18385331" y="907146"/>
          <a:ext cx="1009453" cy="902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fld id="{B06D8704-7AD1-574A-A798-267C045A43B7}" type="TxLink">
            <a:rPr lang="en-US" sz="5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47</a:t>
          </a:fld>
          <a:endParaRPr lang="en-US" sz="5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68932</xdr:colOff>
      <xdr:row>3</xdr:row>
      <xdr:rowOff>43543</xdr:rowOff>
    </xdr:from>
    <xdr:to>
      <xdr:col>23</xdr:col>
      <xdr:colOff>57320</xdr:colOff>
      <xdr:row>4</xdr:row>
      <xdr:rowOff>154577</xdr:rowOff>
    </xdr:to>
    <xdr:sp macro="" textlink="[1]Match!$B$1">
      <xdr:nvSpPr>
        <xdr:cNvPr id="338" name="Rectangle 337">
          <a:extLst>
            <a:ext uri="{FF2B5EF4-FFF2-40B4-BE49-F238E27FC236}">
              <a16:creationId xmlns:a16="http://schemas.microsoft.com/office/drawing/2014/main" id="{B05804B3-FA11-E049-B90F-843B53A379BE}"/>
            </a:ext>
          </a:extLst>
        </xdr:cNvPr>
        <xdr:cNvSpPr>
          <a:spLocks noChangeAspect="1"/>
        </xdr:cNvSpPr>
      </xdr:nvSpPr>
      <xdr:spPr>
        <a:xfrm>
          <a:off x="18429503" y="5334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1CF7EF-ADD2-A344-9E4A-770C06F2DA07}" type="TxLink">
            <a:rPr lang="en-US" sz="1100" b="0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0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671285</xdr:colOff>
      <xdr:row>3</xdr:row>
      <xdr:rowOff>43542</xdr:rowOff>
    </xdr:from>
    <xdr:to>
      <xdr:col>24</xdr:col>
      <xdr:colOff>688827</xdr:colOff>
      <xdr:row>18</xdr:row>
      <xdr:rowOff>10399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ADB3067-CCE3-6643-8F7C-CD4A77960B33}"/>
            </a:ext>
          </a:extLst>
        </xdr:cNvPr>
        <xdr:cNvGrpSpPr/>
      </xdr:nvGrpSpPr>
      <xdr:grpSpPr>
        <a:xfrm>
          <a:off x="19949885" y="576942"/>
          <a:ext cx="855742" cy="2633857"/>
          <a:chOff x="18360571" y="533400"/>
          <a:chExt cx="852113" cy="2416143"/>
        </a:xfrm>
      </xdr:grpSpPr>
      <xdr:sp macro="" textlink="MatchANALYSIS!$H$16">
        <xdr:nvSpPr>
          <xdr:cNvPr id="172" name="TextBox 171">
            <a:extLst>
              <a:ext uri="{FF2B5EF4-FFF2-40B4-BE49-F238E27FC236}">
                <a16:creationId xmlns:a16="http://schemas.microsoft.com/office/drawing/2014/main" id="{7E9592D8-4683-BC4E-BF0E-B3DD5735E45A}"/>
              </a:ext>
            </a:extLst>
          </xdr:cNvPr>
          <xdr:cNvSpPr txBox="1"/>
        </xdr:nvSpPr>
        <xdr:spPr>
          <a:xfrm>
            <a:off x="18415001" y="1732469"/>
            <a:ext cx="626252" cy="673542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7B7B8DB3-DF41-8F4B-82B2-6E9F96C1C01E}" type="TxLink">
              <a:rPr lang="en-US" sz="4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32</a:t>
            </a:fld>
            <a:endParaRPr lang="en-US" sz="4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7">
        <xdr:nvSpPr>
          <xdr:cNvPr id="173" name="TextBox 172">
            <a:extLst>
              <a:ext uri="{FF2B5EF4-FFF2-40B4-BE49-F238E27FC236}">
                <a16:creationId xmlns:a16="http://schemas.microsoft.com/office/drawing/2014/main" id="{995F6585-D75C-B84B-A8F1-A1CD9CC88322}"/>
              </a:ext>
            </a:extLst>
          </xdr:cNvPr>
          <xdr:cNvSpPr txBox="1"/>
        </xdr:nvSpPr>
        <xdr:spPr>
          <a:xfrm>
            <a:off x="18502157" y="2370715"/>
            <a:ext cx="524513" cy="5788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E781A9D-C49E-8B4C-962C-354D03C054C1}" type="TxLink">
              <a:rPr lang="en-US" sz="32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24</a:t>
            </a:fld>
            <a:endParaRPr lang="en-US" sz="32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MatchANALYSIS!$H$15">
        <xdr:nvSpPr>
          <xdr:cNvPr id="177" name="TextBox 176">
            <a:extLst>
              <a:ext uri="{FF2B5EF4-FFF2-40B4-BE49-F238E27FC236}">
                <a16:creationId xmlns:a16="http://schemas.microsoft.com/office/drawing/2014/main" id="{7BDBE7A4-881C-244D-B328-847ECBABD2C1}"/>
              </a:ext>
            </a:extLst>
          </xdr:cNvPr>
          <xdr:cNvSpPr txBox="1"/>
        </xdr:nvSpPr>
        <xdr:spPr>
          <a:xfrm>
            <a:off x="18360571" y="908104"/>
            <a:ext cx="827531" cy="91478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fld id="{3B0C6836-6562-C146-B026-943D22882075}" type="TxLink">
              <a:rPr lang="en-US" sz="5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40</a:t>
            </a:fld>
            <a:endParaRPr lang="en-US" sz="5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[1]Match!$C$1">
        <xdr:nvSpPr>
          <xdr:cNvPr id="339" name="Rectangle 338">
            <a:extLst>
              <a:ext uri="{FF2B5EF4-FFF2-40B4-BE49-F238E27FC236}">
                <a16:creationId xmlns:a16="http://schemas.microsoft.com/office/drawing/2014/main" id="{BA788021-5037-4F4D-BA68-8E58E1518E82}"/>
              </a:ext>
            </a:extLst>
          </xdr:cNvPr>
          <xdr:cNvSpPr>
            <a:spLocks noChangeAspect="1"/>
          </xdr:cNvSpPr>
        </xdr:nvSpPr>
        <xdr:spPr>
          <a:xfrm>
            <a:off x="18389724" y="533400"/>
            <a:ext cx="822960" cy="27432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3BAD1B-8F72-3449-B935-EF441FD86782}" type="TxLink">
              <a:rPr lang="en-US" sz="1100" b="1" i="0" u="none" strike="noStrike">
                <a:solidFill>
                  <a:schemeClr val="tx1"/>
                </a:solidFill>
                <a:latin typeface="Calibri"/>
                <a:ea typeface="Arial" charset="0"/>
                <a:cs typeface="Calibri"/>
              </a:rPr>
              <a:pPr algn="ctr"/>
              <a:t>home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36</xdr:col>
      <xdr:colOff>127000</xdr:colOff>
      <xdr:row>6</xdr:row>
      <xdr:rowOff>44275</xdr:rowOff>
    </xdr:from>
    <xdr:to>
      <xdr:col>41</xdr:col>
      <xdr:colOff>526142</xdr:colOff>
      <xdr:row>23</xdr:row>
      <xdr:rowOff>11618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A14E07C-777D-9D4E-8B4F-490EEC8A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36</xdr:col>
      <xdr:colOff>333829</xdr:colOff>
      <xdr:row>0</xdr:row>
      <xdr:rowOff>18144</xdr:rowOff>
    </xdr:from>
    <xdr:ext cx="4114800" cy="403013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96AE5164-083A-9447-8CFA-786B98BD8652}"/>
            </a:ext>
          </a:extLst>
        </xdr:cNvPr>
        <xdr:cNvSpPr txBox="1"/>
      </xdr:nvSpPr>
      <xdr:spPr>
        <a:xfrm>
          <a:off x="30378400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Game Progression</a:t>
          </a:r>
        </a:p>
      </xdr:txBody>
    </xdr:sp>
    <xdr:clientData/>
  </xdr:oneCellAnchor>
  <xdr:twoCellAnchor>
    <xdr:from>
      <xdr:col>38</xdr:col>
      <xdr:colOff>210457</xdr:colOff>
      <xdr:row>3</xdr:row>
      <xdr:rowOff>43543</xdr:rowOff>
    </xdr:from>
    <xdr:to>
      <xdr:col>39</xdr:col>
      <xdr:colOff>198845</xdr:colOff>
      <xdr:row>4</xdr:row>
      <xdr:rowOff>154577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407DF22D-56DD-B343-B0FD-1EB3CD7C9A2E}"/>
            </a:ext>
          </a:extLst>
        </xdr:cNvPr>
        <xdr:cNvSpPr>
          <a:spLocks noChangeAspect="1"/>
        </xdr:cNvSpPr>
      </xdr:nvSpPr>
      <xdr:spPr>
        <a:xfrm>
          <a:off x="31924171" y="53340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twoCellAnchor>
    <xdr:from>
      <xdr:col>46</xdr:col>
      <xdr:colOff>831067</xdr:colOff>
      <xdr:row>5</xdr:row>
      <xdr:rowOff>72563</xdr:rowOff>
    </xdr:from>
    <xdr:to>
      <xdr:col>47</xdr:col>
      <xdr:colOff>819456</xdr:colOff>
      <xdr:row>7</xdr:row>
      <xdr:rowOff>20312</xdr:rowOff>
    </xdr:to>
    <xdr:sp macro="" textlink="MatchANALYSIS!H28">
      <xdr:nvSpPr>
        <xdr:cNvPr id="348" name="Rectangle 347">
          <a:extLst>
            <a:ext uri="{FF2B5EF4-FFF2-40B4-BE49-F238E27FC236}">
              <a16:creationId xmlns:a16="http://schemas.microsoft.com/office/drawing/2014/main" id="{C8D9E3EF-CA4F-BC4D-ACCD-409B3ED11CDE}"/>
            </a:ext>
          </a:extLst>
        </xdr:cNvPr>
        <xdr:cNvSpPr>
          <a:spLocks noChangeAspect="1"/>
        </xdr:cNvSpPr>
      </xdr:nvSpPr>
      <xdr:spPr>
        <a:xfrm>
          <a:off x="39221353" y="888992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12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5</xdr:row>
      <xdr:rowOff>72563</xdr:rowOff>
    </xdr:from>
    <xdr:to>
      <xdr:col>44</xdr:col>
      <xdr:colOff>768531</xdr:colOff>
      <xdr:row>7</xdr:row>
      <xdr:rowOff>20312</xdr:rowOff>
    </xdr:to>
    <xdr:sp macro="" textlink="MatchANALYSIS!G28">
      <xdr:nvSpPr>
        <xdr:cNvPr id="349" name="Rectangle 348">
          <a:extLst>
            <a:ext uri="{FF2B5EF4-FFF2-40B4-BE49-F238E27FC236}">
              <a16:creationId xmlns:a16="http://schemas.microsoft.com/office/drawing/2014/main" id="{31DBD17F-E983-D745-8C6E-02E860BB8038}"/>
            </a:ext>
          </a:extLst>
        </xdr:cNvPr>
        <xdr:cNvSpPr>
          <a:spLocks noChangeAspect="1"/>
        </xdr:cNvSpPr>
      </xdr:nvSpPr>
      <xdr:spPr>
        <a:xfrm>
          <a:off x="36666714" y="888992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14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5</xdr:row>
      <xdr:rowOff>72563</xdr:rowOff>
    </xdr:from>
    <xdr:to>
      <xdr:col>46</xdr:col>
      <xdr:colOff>727166</xdr:colOff>
      <xdr:row>7</xdr:row>
      <xdr:rowOff>20312</xdr:rowOff>
    </xdr:to>
    <xdr:sp macro="" textlink="MatchANALYSIS!F28">
      <xdr:nvSpPr>
        <xdr:cNvPr id="350" name="Rectangle 349">
          <a:extLst>
            <a:ext uri="{FF2B5EF4-FFF2-40B4-BE49-F238E27FC236}">
              <a16:creationId xmlns:a16="http://schemas.microsoft.com/office/drawing/2014/main" id="{EA7161C4-CA07-A346-81CB-D5C3BE1B1635}"/>
            </a:ext>
          </a:extLst>
        </xdr:cNvPr>
        <xdr:cNvSpPr>
          <a:spLocks/>
        </xdr:cNvSpPr>
      </xdr:nvSpPr>
      <xdr:spPr>
        <a:xfrm>
          <a:off x="37562972" y="888992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3</xdr:row>
      <xdr:rowOff>43543</xdr:rowOff>
    </xdr:from>
    <xdr:to>
      <xdr:col>47</xdr:col>
      <xdr:colOff>819456</xdr:colOff>
      <xdr:row>4</xdr:row>
      <xdr:rowOff>154577</xdr:rowOff>
    </xdr:to>
    <xdr:sp macro="" textlink="[1]Match!$C$1">
      <xdr:nvSpPr>
        <xdr:cNvPr id="351" name="Rectangle 350">
          <a:extLst>
            <a:ext uri="{FF2B5EF4-FFF2-40B4-BE49-F238E27FC236}">
              <a16:creationId xmlns:a16="http://schemas.microsoft.com/office/drawing/2014/main" id="{D0FE503D-3F62-0E4C-B6F6-5B4B7305A449}"/>
            </a:ext>
          </a:extLst>
        </xdr:cNvPr>
        <xdr:cNvSpPr>
          <a:spLocks noChangeAspect="1"/>
        </xdr:cNvSpPr>
      </xdr:nvSpPr>
      <xdr:spPr>
        <a:xfrm>
          <a:off x="39221353" y="533400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780143</xdr:colOff>
      <xdr:row>3</xdr:row>
      <xdr:rowOff>43543</xdr:rowOff>
    </xdr:from>
    <xdr:to>
      <xdr:col>44</xdr:col>
      <xdr:colOff>768531</xdr:colOff>
      <xdr:row>4</xdr:row>
      <xdr:rowOff>154577</xdr:rowOff>
    </xdr:to>
    <xdr:sp macro="" textlink="[1]Match!$B$1">
      <xdr:nvSpPr>
        <xdr:cNvPr id="352" name="Rectangle 351">
          <a:extLst>
            <a:ext uri="{FF2B5EF4-FFF2-40B4-BE49-F238E27FC236}">
              <a16:creationId xmlns:a16="http://schemas.microsoft.com/office/drawing/2014/main" id="{ABBDAB62-0ACC-FA4D-9D1A-6364CF191333}"/>
            </a:ext>
          </a:extLst>
        </xdr:cNvPr>
        <xdr:cNvSpPr>
          <a:spLocks noChangeAspect="1"/>
        </xdr:cNvSpPr>
      </xdr:nvSpPr>
      <xdr:spPr>
        <a:xfrm>
          <a:off x="36666714" y="5334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831067</xdr:colOff>
      <xdr:row>7</xdr:row>
      <xdr:rowOff>97964</xdr:rowOff>
    </xdr:from>
    <xdr:to>
      <xdr:col>47</xdr:col>
      <xdr:colOff>819456</xdr:colOff>
      <xdr:row>9</xdr:row>
      <xdr:rowOff>45713</xdr:rowOff>
    </xdr:to>
    <xdr:sp macro="" textlink="MatchANALYSIS!H27">
      <xdr:nvSpPr>
        <xdr:cNvPr id="353" name="Rectangle 352">
          <a:extLst>
            <a:ext uri="{FF2B5EF4-FFF2-40B4-BE49-F238E27FC236}">
              <a16:creationId xmlns:a16="http://schemas.microsoft.com/office/drawing/2014/main" id="{6019C077-457F-B24C-ACA1-A67C9ACE28F0}"/>
            </a:ext>
          </a:extLst>
        </xdr:cNvPr>
        <xdr:cNvSpPr>
          <a:spLocks noChangeAspect="1"/>
        </xdr:cNvSpPr>
      </xdr:nvSpPr>
      <xdr:spPr>
        <a:xfrm>
          <a:off x="39221353" y="1240964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7</xdr:row>
      <xdr:rowOff>97964</xdr:rowOff>
    </xdr:from>
    <xdr:to>
      <xdr:col>44</xdr:col>
      <xdr:colOff>768531</xdr:colOff>
      <xdr:row>9</xdr:row>
      <xdr:rowOff>45713</xdr:rowOff>
    </xdr:to>
    <xdr:sp macro="" textlink="MatchANALYSIS!G27">
      <xdr:nvSpPr>
        <xdr:cNvPr id="354" name="Rectangle 353">
          <a:extLst>
            <a:ext uri="{FF2B5EF4-FFF2-40B4-BE49-F238E27FC236}">
              <a16:creationId xmlns:a16="http://schemas.microsoft.com/office/drawing/2014/main" id="{747158CA-E66B-3542-9359-E6F7DE4AD74E}"/>
            </a:ext>
          </a:extLst>
        </xdr:cNvPr>
        <xdr:cNvSpPr>
          <a:spLocks noChangeAspect="1"/>
        </xdr:cNvSpPr>
      </xdr:nvSpPr>
      <xdr:spPr>
        <a:xfrm>
          <a:off x="36666714" y="1240964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7</xdr:row>
      <xdr:rowOff>97964</xdr:rowOff>
    </xdr:from>
    <xdr:to>
      <xdr:col>46</xdr:col>
      <xdr:colOff>727166</xdr:colOff>
      <xdr:row>9</xdr:row>
      <xdr:rowOff>45713</xdr:rowOff>
    </xdr:to>
    <xdr:sp macro="" textlink="MatchANALYSIS!F27">
      <xdr:nvSpPr>
        <xdr:cNvPr id="355" name="Rectangle 354">
          <a:extLst>
            <a:ext uri="{FF2B5EF4-FFF2-40B4-BE49-F238E27FC236}">
              <a16:creationId xmlns:a16="http://schemas.microsoft.com/office/drawing/2014/main" id="{E5EF500C-946F-4C43-8CB3-B6A2A3C87B79}"/>
            </a:ext>
          </a:extLst>
        </xdr:cNvPr>
        <xdr:cNvSpPr>
          <a:spLocks/>
        </xdr:cNvSpPr>
      </xdr:nvSpPr>
      <xdr:spPr>
        <a:xfrm>
          <a:off x="37562972" y="1240964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9</xdr:row>
      <xdr:rowOff>123364</xdr:rowOff>
    </xdr:from>
    <xdr:to>
      <xdr:col>47</xdr:col>
      <xdr:colOff>819456</xdr:colOff>
      <xdr:row>11</xdr:row>
      <xdr:rowOff>71112</xdr:rowOff>
    </xdr:to>
    <xdr:sp macro="" textlink="MatchANALYSIS!H25">
      <xdr:nvSpPr>
        <xdr:cNvPr id="356" name="Rectangle 355">
          <a:extLst>
            <a:ext uri="{FF2B5EF4-FFF2-40B4-BE49-F238E27FC236}">
              <a16:creationId xmlns:a16="http://schemas.microsoft.com/office/drawing/2014/main" id="{3CFA006D-8760-DC42-9A66-06AFA360E178}"/>
            </a:ext>
          </a:extLst>
        </xdr:cNvPr>
        <xdr:cNvSpPr>
          <a:spLocks noChangeAspect="1"/>
        </xdr:cNvSpPr>
      </xdr:nvSpPr>
      <xdr:spPr>
        <a:xfrm>
          <a:off x="39221353" y="1592935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9</xdr:row>
      <xdr:rowOff>123364</xdr:rowOff>
    </xdr:from>
    <xdr:to>
      <xdr:col>44</xdr:col>
      <xdr:colOff>768531</xdr:colOff>
      <xdr:row>11</xdr:row>
      <xdr:rowOff>71112</xdr:rowOff>
    </xdr:to>
    <xdr:sp macro="" textlink="MatchANALYSIS!G25">
      <xdr:nvSpPr>
        <xdr:cNvPr id="357" name="Rectangle 356">
          <a:extLst>
            <a:ext uri="{FF2B5EF4-FFF2-40B4-BE49-F238E27FC236}">
              <a16:creationId xmlns:a16="http://schemas.microsoft.com/office/drawing/2014/main" id="{37BA7D0F-BB02-7A4C-9C08-A562E2DDC687}"/>
            </a:ext>
          </a:extLst>
        </xdr:cNvPr>
        <xdr:cNvSpPr>
          <a:spLocks noChangeAspect="1"/>
        </xdr:cNvSpPr>
      </xdr:nvSpPr>
      <xdr:spPr>
        <a:xfrm>
          <a:off x="36666714" y="1592935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9</xdr:row>
      <xdr:rowOff>123364</xdr:rowOff>
    </xdr:from>
    <xdr:to>
      <xdr:col>46</xdr:col>
      <xdr:colOff>727166</xdr:colOff>
      <xdr:row>11</xdr:row>
      <xdr:rowOff>71112</xdr:rowOff>
    </xdr:to>
    <xdr:sp macro="" textlink="MatchANALYSIS!F25">
      <xdr:nvSpPr>
        <xdr:cNvPr id="358" name="Rectangle 357">
          <a:extLst>
            <a:ext uri="{FF2B5EF4-FFF2-40B4-BE49-F238E27FC236}">
              <a16:creationId xmlns:a16="http://schemas.microsoft.com/office/drawing/2014/main" id="{E7B6CE56-8562-3A40-915E-79BB4CC8EB5C}"/>
            </a:ext>
          </a:extLst>
        </xdr:cNvPr>
        <xdr:cNvSpPr>
          <a:spLocks/>
        </xdr:cNvSpPr>
      </xdr:nvSpPr>
      <xdr:spPr>
        <a:xfrm>
          <a:off x="37562972" y="159293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831067</xdr:colOff>
      <xdr:row>11</xdr:row>
      <xdr:rowOff>148764</xdr:rowOff>
    </xdr:from>
    <xdr:to>
      <xdr:col>47</xdr:col>
      <xdr:colOff>819456</xdr:colOff>
      <xdr:row>13</xdr:row>
      <xdr:rowOff>96513</xdr:rowOff>
    </xdr:to>
    <xdr:sp macro="" textlink="MatchANALYSIS!H26">
      <xdr:nvSpPr>
        <xdr:cNvPr id="359" name="Rectangle 358">
          <a:extLst>
            <a:ext uri="{FF2B5EF4-FFF2-40B4-BE49-F238E27FC236}">
              <a16:creationId xmlns:a16="http://schemas.microsoft.com/office/drawing/2014/main" id="{CE4404C5-C946-154C-AFF0-F04ED733FA52}"/>
            </a:ext>
          </a:extLst>
        </xdr:cNvPr>
        <xdr:cNvSpPr>
          <a:spLocks noChangeAspect="1"/>
        </xdr:cNvSpPr>
      </xdr:nvSpPr>
      <xdr:spPr>
        <a:xfrm>
          <a:off x="39221353" y="1944907"/>
          <a:ext cx="822960" cy="27432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100" b="0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0" i="0" u="none" strike="noStrike">
            <a:solidFill>
              <a:schemeClr val="tx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43</xdr:col>
      <xdr:colOff>780143</xdr:colOff>
      <xdr:row>11</xdr:row>
      <xdr:rowOff>148764</xdr:rowOff>
    </xdr:from>
    <xdr:to>
      <xdr:col>44</xdr:col>
      <xdr:colOff>768531</xdr:colOff>
      <xdr:row>13</xdr:row>
      <xdr:rowOff>96513</xdr:rowOff>
    </xdr:to>
    <xdr:sp macro="" textlink="MatchANALYSIS!G26">
      <xdr:nvSpPr>
        <xdr:cNvPr id="360" name="Rectangle 359">
          <a:extLst>
            <a:ext uri="{FF2B5EF4-FFF2-40B4-BE49-F238E27FC236}">
              <a16:creationId xmlns:a16="http://schemas.microsoft.com/office/drawing/2014/main" id="{E5633D09-2EA8-0A4A-92CA-534F01A15E07}"/>
            </a:ext>
          </a:extLst>
        </xdr:cNvPr>
        <xdr:cNvSpPr>
          <a:spLocks noChangeAspect="1"/>
        </xdr:cNvSpPr>
      </xdr:nvSpPr>
      <xdr:spPr>
        <a:xfrm>
          <a:off x="36666714" y="1944907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7258</xdr:colOff>
      <xdr:row>11</xdr:row>
      <xdr:rowOff>148764</xdr:rowOff>
    </xdr:from>
    <xdr:to>
      <xdr:col>46</xdr:col>
      <xdr:colOff>727166</xdr:colOff>
      <xdr:row>13</xdr:row>
      <xdr:rowOff>96513</xdr:rowOff>
    </xdr:to>
    <xdr:sp macro="" textlink="MatchANALYSIS!F26">
      <xdr:nvSpPr>
        <xdr:cNvPr id="361" name="Rectangle 360">
          <a:extLst>
            <a:ext uri="{FF2B5EF4-FFF2-40B4-BE49-F238E27FC236}">
              <a16:creationId xmlns:a16="http://schemas.microsoft.com/office/drawing/2014/main" id="{7AA3C6A1-8293-6449-A897-F55AEF3F378A}"/>
            </a:ext>
          </a:extLst>
        </xdr:cNvPr>
        <xdr:cNvSpPr>
          <a:spLocks/>
        </xdr:cNvSpPr>
      </xdr:nvSpPr>
      <xdr:spPr>
        <a:xfrm>
          <a:off x="37562972" y="1944907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43</xdr:col>
      <xdr:colOff>413657</xdr:colOff>
      <xdr:row>0</xdr:row>
      <xdr:rowOff>18144</xdr:rowOff>
    </xdr:from>
    <xdr:ext cx="4114800" cy="403013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415CC1A8-B983-9447-8E8F-914B35F9DFAF}"/>
            </a:ext>
          </a:extLst>
        </xdr:cNvPr>
        <xdr:cNvSpPr txBox="1"/>
      </xdr:nvSpPr>
      <xdr:spPr>
        <a:xfrm>
          <a:off x="36300228" y="18144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oneCellAnchor>
  <xdr:oneCellAnchor>
    <xdr:from>
      <xdr:col>0</xdr:col>
      <xdr:colOff>749299</xdr:colOff>
      <xdr:row>2</xdr:row>
      <xdr:rowOff>145143</xdr:rowOff>
    </xdr:from>
    <xdr:ext cx="5056415" cy="1179286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4A151685-34C3-4C4F-B175-51C460342D5A}"/>
            </a:ext>
          </a:extLst>
        </xdr:cNvPr>
        <xdr:cNvSpPr txBox="1"/>
      </xdr:nvSpPr>
      <xdr:spPr>
        <a:xfrm>
          <a:off x="749299" y="471714"/>
          <a:ext cx="5056415" cy="1179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Performance Analysis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</a:t>
          </a:r>
        </a:p>
        <a:p>
          <a:pPr algn="ctr"/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Report</a:t>
          </a:r>
        </a:p>
      </xdr:txBody>
    </xdr:sp>
    <xdr:clientData/>
  </xdr:oneCellAnchor>
  <xdr:twoCellAnchor>
    <xdr:from>
      <xdr:col>43</xdr:col>
      <xdr:colOff>235865</xdr:colOff>
      <xdr:row>16</xdr:row>
      <xdr:rowOff>115383</xdr:rowOff>
    </xdr:from>
    <xdr:to>
      <xdr:col>44</xdr:col>
      <xdr:colOff>772893</xdr:colOff>
      <xdr:row>19</xdr:row>
      <xdr:rowOff>82725</xdr:rowOff>
    </xdr:to>
    <xdr:sp macro="" textlink="Location1ANALYSIS!L25">
      <xdr:nvSpPr>
        <xdr:cNvPr id="345" name="Rectangle 344">
          <a:extLst>
            <a:ext uri="{FF2B5EF4-FFF2-40B4-BE49-F238E27FC236}">
              <a16:creationId xmlns:a16="http://schemas.microsoft.com/office/drawing/2014/main" id="{E5B0AE99-1B82-D640-8A98-AF3E4428B660}"/>
            </a:ext>
          </a:extLst>
        </xdr:cNvPr>
        <xdr:cNvSpPr>
          <a:spLocks noChangeAspect="1"/>
        </xdr:cNvSpPr>
      </xdr:nvSpPr>
      <xdr:spPr>
        <a:xfrm>
          <a:off x="36122436" y="272795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64%</a:t>
          </a:fld>
          <a:endParaRPr lang="en-US" sz="1000" i="0"/>
        </a:p>
      </xdr:txBody>
    </xdr:sp>
    <xdr:clientData/>
  </xdr:twoCellAnchor>
  <xdr:twoCellAnchor>
    <xdr:from>
      <xdr:col>43</xdr:col>
      <xdr:colOff>254008</xdr:colOff>
      <xdr:row>21</xdr:row>
      <xdr:rowOff>13780</xdr:rowOff>
    </xdr:from>
    <xdr:to>
      <xdr:col>44</xdr:col>
      <xdr:colOff>791036</xdr:colOff>
      <xdr:row>23</xdr:row>
      <xdr:rowOff>144409</xdr:rowOff>
    </xdr:to>
    <xdr:sp macro="" textlink="Location1ANALYSIS!L27">
      <xdr:nvSpPr>
        <xdr:cNvPr id="347" name="Rectangle 346">
          <a:extLst>
            <a:ext uri="{FF2B5EF4-FFF2-40B4-BE49-F238E27FC236}">
              <a16:creationId xmlns:a16="http://schemas.microsoft.com/office/drawing/2014/main" id="{1720AEA4-93E3-0B47-9615-4D24E9D61EB5}"/>
            </a:ext>
          </a:extLst>
        </xdr:cNvPr>
        <xdr:cNvSpPr>
          <a:spLocks noChangeAspect="1"/>
        </xdr:cNvSpPr>
      </xdr:nvSpPr>
      <xdr:spPr>
        <a:xfrm>
          <a:off x="36140579" y="3442780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235865</xdr:colOff>
      <xdr:row>25</xdr:row>
      <xdr:rowOff>111749</xdr:rowOff>
    </xdr:from>
    <xdr:to>
      <xdr:col>44</xdr:col>
      <xdr:colOff>772893</xdr:colOff>
      <xdr:row>28</xdr:row>
      <xdr:rowOff>79092</xdr:rowOff>
    </xdr:to>
    <xdr:sp macro="" textlink="Location1ANALYSIS!L26">
      <xdr:nvSpPr>
        <xdr:cNvPr id="362" name="Rectangle 361">
          <a:extLst>
            <a:ext uri="{FF2B5EF4-FFF2-40B4-BE49-F238E27FC236}">
              <a16:creationId xmlns:a16="http://schemas.microsoft.com/office/drawing/2014/main" id="{2DD0035F-8B55-1E40-A317-8171AFAF0474}"/>
            </a:ext>
          </a:extLst>
        </xdr:cNvPr>
        <xdr:cNvSpPr>
          <a:spLocks noChangeAspect="1"/>
        </xdr:cNvSpPr>
      </xdr:nvSpPr>
      <xdr:spPr>
        <a:xfrm>
          <a:off x="36122436" y="419389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62%</a:t>
          </a:fld>
          <a:endParaRPr lang="en-US" sz="1000" i="0"/>
        </a:p>
      </xdr:txBody>
    </xdr:sp>
    <xdr:clientData/>
  </xdr:twoCellAnchor>
  <xdr:twoCellAnchor>
    <xdr:from>
      <xdr:col>43</xdr:col>
      <xdr:colOff>780140</xdr:colOff>
      <xdr:row>16</xdr:row>
      <xdr:rowOff>18145</xdr:rowOff>
    </xdr:from>
    <xdr:to>
      <xdr:col>47</xdr:col>
      <xdr:colOff>826940</xdr:colOff>
      <xdr:row>28</xdr:row>
      <xdr:rowOff>161834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AEFCA0DB-5FD5-5243-ACA7-E7232F3D5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666711" y="2630716"/>
          <a:ext cx="3385086" cy="2103118"/>
        </a:xfrm>
        <a:prstGeom prst="rect">
          <a:avLst/>
        </a:prstGeom>
      </xdr:spPr>
    </xdr:pic>
    <xdr:clientData/>
  </xdr:twoCellAnchor>
  <xdr:twoCellAnchor>
    <xdr:from>
      <xdr:col>43</xdr:col>
      <xdr:colOff>642260</xdr:colOff>
      <xdr:row>29</xdr:row>
      <xdr:rowOff>93609</xdr:rowOff>
    </xdr:from>
    <xdr:to>
      <xdr:col>44</xdr:col>
      <xdr:colOff>630648</xdr:colOff>
      <xdr:row>31</xdr:row>
      <xdr:rowOff>41358</xdr:rowOff>
    </xdr:to>
    <xdr:sp macro="" textlink="Location1ANALYSIS!L30">
      <xdr:nvSpPr>
        <xdr:cNvPr id="364" name="Rectangle 363">
          <a:extLst>
            <a:ext uri="{FF2B5EF4-FFF2-40B4-BE49-F238E27FC236}">
              <a16:creationId xmlns:a16="http://schemas.microsoft.com/office/drawing/2014/main" id="{923CF113-5072-E74E-B9D2-AC7BC08D840B}"/>
            </a:ext>
          </a:extLst>
        </xdr:cNvPr>
        <xdr:cNvSpPr>
          <a:spLocks noChangeAspect="1"/>
        </xdr:cNvSpPr>
      </xdr:nvSpPr>
      <xdr:spPr>
        <a:xfrm>
          <a:off x="36528831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i="0"/>
        </a:p>
      </xdr:txBody>
    </xdr:sp>
    <xdr:clientData/>
  </xdr:twoCellAnchor>
  <xdr:twoCellAnchor>
    <xdr:from>
      <xdr:col>44</xdr:col>
      <xdr:colOff>341086</xdr:colOff>
      <xdr:row>29</xdr:row>
      <xdr:rowOff>93609</xdr:rowOff>
    </xdr:from>
    <xdr:to>
      <xdr:col>45</xdr:col>
      <xdr:colOff>329475</xdr:colOff>
      <xdr:row>31</xdr:row>
      <xdr:rowOff>41358</xdr:rowOff>
    </xdr:to>
    <xdr:sp macro="" textlink="Location1ANALYSIS!L31">
      <xdr:nvSpPr>
        <xdr:cNvPr id="365" name="Rectangle 364">
          <a:extLst>
            <a:ext uri="{FF2B5EF4-FFF2-40B4-BE49-F238E27FC236}">
              <a16:creationId xmlns:a16="http://schemas.microsoft.com/office/drawing/2014/main" id="{7661DC4E-00DB-CA42-97FA-9206CE74890C}"/>
            </a:ext>
          </a:extLst>
        </xdr:cNvPr>
        <xdr:cNvSpPr>
          <a:spLocks noChangeAspect="1"/>
        </xdr:cNvSpPr>
      </xdr:nvSpPr>
      <xdr:spPr>
        <a:xfrm>
          <a:off x="37062229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75%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729346</xdr:colOff>
      <xdr:row>29</xdr:row>
      <xdr:rowOff>93609</xdr:rowOff>
    </xdr:from>
    <xdr:to>
      <xdr:col>46</xdr:col>
      <xdr:colOff>717734</xdr:colOff>
      <xdr:row>31</xdr:row>
      <xdr:rowOff>41358</xdr:rowOff>
    </xdr:to>
    <xdr:sp macro="" textlink="Location1ANALYSIS!L32">
      <xdr:nvSpPr>
        <xdr:cNvPr id="366" name="Rectangle 365">
          <a:extLst>
            <a:ext uri="{FF2B5EF4-FFF2-40B4-BE49-F238E27FC236}">
              <a16:creationId xmlns:a16="http://schemas.microsoft.com/office/drawing/2014/main" id="{D284F28A-6EDF-9B41-A656-7C1DDCA649DA}"/>
            </a:ext>
          </a:extLst>
        </xdr:cNvPr>
        <xdr:cNvSpPr>
          <a:spLocks noChangeAspect="1"/>
        </xdr:cNvSpPr>
      </xdr:nvSpPr>
      <xdr:spPr>
        <a:xfrm>
          <a:off x="38285060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482600</xdr:colOff>
      <xdr:row>29</xdr:row>
      <xdr:rowOff>93609</xdr:rowOff>
    </xdr:from>
    <xdr:to>
      <xdr:col>47</xdr:col>
      <xdr:colOff>470989</xdr:colOff>
      <xdr:row>31</xdr:row>
      <xdr:rowOff>41358</xdr:rowOff>
    </xdr:to>
    <xdr:sp macro="" textlink="Location1ANALYSIS!L33">
      <xdr:nvSpPr>
        <xdr:cNvPr id="367" name="Rectangle 366">
          <a:extLst>
            <a:ext uri="{FF2B5EF4-FFF2-40B4-BE49-F238E27FC236}">
              <a16:creationId xmlns:a16="http://schemas.microsoft.com/office/drawing/2014/main" id="{99F24F18-06FB-FD4A-97FB-E7DEC17E5083}"/>
            </a:ext>
          </a:extLst>
        </xdr:cNvPr>
        <xdr:cNvSpPr>
          <a:spLocks noChangeAspect="1"/>
        </xdr:cNvSpPr>
      </xdr:nvSpPr>
      <xdr:spPr>
        <a:xfrm>
          <a:off x="38872886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38%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235855</xdr:colOff>
      <xdr:row>29</xdr:row>
      <xdr:rowOff>93609</xdr:rowOff>
    </xdr:from>
    <xdr:to>
      <xdr:col>48</xdr:col>
      <xdr:colOff>224243</xdr:colOff>
      <xdr:row>31</xdr:row>
      <xdr:rowOff>41358</xdr:rowOff>
    </xdr:to>
    <xdr:sp macro="" textlink="Location1ANALYSIS!L34">
      <xdr:nvSpPr>
        <xdr:cNvPr id="368" name="Rectangle 367">
          <a:extLst>
            <a:ext uri="{FF2B5EF4-FFF2-40B4-BE49-F238E27FC236}">
              <a16:creationId xmlns:a16="http://schemas.microsoft.com/office/drawing/2014/main" id="{59EF09B0-1C59-3143-9BFC-B0622CDD4E53}"/>
            </a:ext>
          </a:extLst>
        </xdr:cNvPr>
        <xdr:cNvSpPr>
          <a:spLocks noChangeAspect="1"/>
        </xdr:cNvSpPr>
      </xdr:nvSpPr>
      <xdr:spPr>
        <a:xfrm>
          <a:off x="39460712" y="4828895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15</xdr:row>
      <xdr:rowOff>145143</xdr:rowOff>
    </xdr:from>
    <xdr:to>
      <xdr:col>44</xdr:col>
      <xdr:colOff>253143</xdr:colOff>
      <xdr:row>18</xdr:row>
      <xdr:rowOff>123299</xdr:rowOff>
    </xdr:to>
    <xdr:sp macro="" textlink="Location1ANALYSIS!$O$4">
      <xdr:nvSpPr>
        <xdr:cNvPr id="369" name="TextBox 368">
          <a:extLst>
            <a:ext uri="{FF2B5EF4-FFF2-40B4-BE49-F238E27FC236}">
              <a16:creationId xmlns:a16="http://schemas.microsoft.com/office/drawing/2014/main" id="{C13E279F-235B-DA47-AA0F-7D7AE8CB399F}"/>
            </a:ext>
          </a:extLst>
        </xdr:cNvPr>
        <xdr:cNvSpPr txBox="1"/>
      </xdr:nvSpPr>
      <xdr:spPr>
        <a:xfrm>
          <a:off x="36666711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83454</xdr:colOff>
      <xdr:row>29</xdr:row>
      <xdr:rowOff>100865</xdr:rowOff>
    </xdr:from>
    <xdr:to>
      <xdr:col>46</xdr:col>
      <xdr:colOff>59142</xdr:colOff>
      <xdr:row>31</xdr:row>
      <xdr:rowOff>48614</xdr:rowOff>
    </xdr:to>
    <xdr:sp macro="" textlink="Location1ANALYSIS!L32">
      <xdr:nvSpPr>
        <xdr:cNvPr id="370" name="Rectangle 369">
          <a:extLst>
            <a:ext uri="{FF2B5EF4-FFF2-40B4-BE49-F238E27FC236}">
              <a16:creationId xmlns:a16="http://schemas.microsoft.com/office/drawing/2014/main" id="{B16E3F31-3961-5B45-9F96-A03952A4A52D}"/>
            </a:ext>
          </a:extLst>
        </xdr:cNvPr>
        <xdr:cNvSpPr>
          <a:spLocks noChangeAspect="1"/>
        </xdr:cNvSpPr>
      </xdr:nvSpPr>
      <xdr:spPr>
        <a:xfrm>
          <a:off x="37639168" y="4836151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15</xdr:row>
      <xdr:rowOff>145143</xdr:rowOff>
    </xdr:from>
    <xdr:to>
      <xdr:col>45</xdr:col>
      <xdr:colOff>151545</xdr:colOff>
      <xdr:row>18</xdr:row>
      <xdr:rowOff>123299</xdr:rowOff>
    </xdr:to>
    <xdr:sp macro="" textlink="Location1ANALYSIS!$O$5">
      <xdr:nvSpPr>
        <xdr:cNvPr id="371" name="TextBox 370">
          <a:extLst>
            <a:ext uri="{FF2B5EF4-FFF2-40B4-BE49-F238E27FC236}">
              <a16:creationId xmlns:a16="http://schemas.microsoft.com/office/drawing/2014/main" id="{85BED3C6-7185-4A41-89B0-6E67BECDF73D}"/>
            </a:ext>
          </a:extLst>
        </xdr:cNvPr>
        <xdr:cNvSpPr txBox="1"/>
      </xdr:nvSpPr>
      <xdr:spPr>
        <a:xfrm>
          <a:off x="37399684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15</xdr:row>
      <xdr:rowOff>145143</xdr:rowOff>
    </xdr:from>
    <xdr:to>
      <xdr:col>46</xdr:col>
      <xdr:colOff>176947</xdr:colOff>
      <xdr:row>18</xdr:row>
      <xdr:rowOff>123299</xdr:rowOff>
    </xdr:to>
    <xdr:sp macro="" textlink="Location1ANALYSIS!$O$6">
      <xdr:nvSpPr>
        <xdr:cNvPr id="372" name="TextBox 371">
          <a:extLst>
            <a:ext uri="{FF2B5EF4-FFF2-40B4-BE49-F238E27FC236}">
              <a16:creationId xmlns:a16="http://schemas.microsoft.com/office/drawing/2014/main" id="{60F6D1CC-1830-3E45-8D13-5CD592BE1680}"/>
            </a:ext>
          </a:extLst>
        </xdr:cNvPr>
        <xdr:cNvSpPr txBox="1"/>
      </xdr:nvSpPr>
      <xdr:spPr>
        <a:xfrm>
          <a:off x="38259658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15</xdr:row>
      <xdr:rowOff>145143</xdr:rowOff>
    </xdr:from>
    <xdr:to>
      <xdr:col>47</xdr:col>
      <xdr:colOff>75348</xdr:colOff>
      <xdr:row>18</xdr:row>
      <xdr:rowOff>123299</xdr:rowOff>
    </xdr:to>
    <xdr:sp macro="" textlink="Location1ANALYSIS!$O$7">
      <xdr:nvSpPr>
        <xdr:cNvPr id="373" name="TextBox 372">
          <a:extLst>
            <a:ext uri="{FF2B5EF4-FFF2-40B4-BE49-F238E27FC236}">
              <a16:creationId xmlns:a16="http://schemas.microsoft.com/office/drawing/2014/main" id="{CC85F6CB-01DB-D148-87A6-7CBF16C8A019}"/>
            </a:ext>
          </a:extLst>
        </xdr:cNvPr>
        <xdr:cNvSpPr txBox="1"/>
      </xdr:nvSpPr>
      <xdr:spPr>
        <a:xfrm>
          <a:off x="38992630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301172</xdr:colOff>
      <xdr:row>15</xdr:row>
      <xdr:rowOff>145143</xdr:rowOff>
    </xdr:from>
    <xdr:to>
      <xdr:col>47</xdr:col>
      <xdr:colOff>608747</xdr:colOff>
      <xdr:row>18</xdr:row>
      <xdr:rowOff>123299</xdr:rowOff>
    </xdr:to>
    <xdr:sp macro="" textlink="Location1ANALYSIS!$O$8">
      <xdr:nvSpPr>
        <xdr:cNvPr id="374" name="TextBox 373">
          <a:extLst>
            <a:ext uri="{FF2B5EF4-FFF2-40B4-BE49-F238E27FC236}">
              <a16:creationId xmlns:a16="http://schemas.microsoft.com/office/drawing/2014/main" id="{372789FF-1E37-8441-AE72-F31A70722005}"/>
            </a:ext>
          </a:extLst>
        </xdr:cNvPr>
        <xdr:cNvSpPr txBox="1"/>
      </xdr:nvSpPr>
      <xdr:spPr>
        <a:xfrm>
          <a:off x="39526029" y="259442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787396</xdr:colOff>
      <xdr:row>25</xdr:row>
      <xdr:rowOff>7268</xdr:rowOff>
    </xdr:from>
    <xdr:to>
      <xdr:col>44</xdr:col>
      <xdr:colOff>260399</xdr:colOff>
      <xdr:row>27</xdr:row>
      <xdr:rowOff>148710</xdr:rowOff>
    </xdr:to>
    <xdr:sp macro="" textlink="Location1ANALYSIS!$O$14">
      <xdr:nvSpPr>
        <xdr:cNvPr id="376" name="TextBox 375">
          <a:extLst>
            <a:ext uri="{FF2B5EF4-FFF2-40B4-BE49-F238E27FC236}">
              <a16:creationId xmlns:a16="http://schemas.microsoft.com/office/drawing/2014/main" id="{7DC03A5C-96A0-9042-B176-F220D17C1C70}"/>
            </a:ext>
          </a:extLst>
        </xdr:cNvPr>
        <xdr:cNvSpPr txBox="1"/>
      </xdr:nvSpPr>
      <xdr:spPr>
        <a:xfrm>
          <a:off x="36673967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25</xdr:row>
      <xdr:rowOff>7268</xdr:rowOff>
    </xdr:from>
    <xdr:to>
      <xdr:col>45</xdr:col>
      <xdr:colOff>158801</xdr:colOff>
      <xdr:row>27</xdr:row>
      <xdr:rowOff>148710</xdr:rowOff>
    </xdr:to>
    <xdr:sp macro="" textlink="Location1ANALYSIS!$O$15">
      <xdr:nvSpPr>
        <xdr:cNvPr id="377" name="TextBox 376">
          <a:extLst>
            <a:ext uri="{FF2B5EF4-FFF2-40B4-BE49-F238E27FC236}">
              <a16:creationId xmlns:a16="http://schemas.microsoft.com/office/drawing/2014/main" id="{2B7B04BE-760E-D547-AB89-1C2BA219CA94}"/>
            </a:ext>
          </a:extLst>
        </xdr:cNvPr>
        <xdr:cNvSpPr txBox="1"/>
      </xdr:nvSpPr>
      <xdr:spPr>
        <a:xfrm>
          <a:off x="37406940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711200</xdr:colOff>
      <xdr:row>25</xdr:row>
      <xdr:rowOff>7268</xdr:rowOff>
    </xdr:from>
    <xdr:to>
      <xdr:col>46</xdr:col>
      <xdr:colOff>184203</xdr:colOff>
      <xdr:row>27</xdr:row>
      <xdr:rowOff>148710</xdr:rowOff>
    </xdr:to>
    <xdr:sp macro="" textlink="Location1ANALYSIS!$O$16">
      <xdr:nvSpPr>
        <xdr:cNvPr id="378" name="TextBox 377">
          <a:extLst>
            <a:ext uri="{FF2B5EF4-FFF2-40B4-BE49-F238E27FC236}">
              <a16:creationId xmlns:a16="http://schemas.microsoft.com/office/drawing/2014/main" id="{0A0DE8C5-F46F-F849-AAEC-E60049E9906A}"/>
            </a:ext>
          </a:extLst>
        </xdr:cNvPr>
        <xdr:cNvSpPr txBox="1"/>
      </xdr:nvSpPr>
      <xdr:spPr>
        <a:xfrm>
          <a:off x="38266914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627743</xdr:colOff>
      <xdr:row>25</xdr:row>
      <xdr:rowOff>7268</xdr:rowOff>
    </xdr:from>
    <xdr:to>
      <xdr:col>47</xdr:col>
      <xdr:colOff>100747</xdr:colOff>
      <xdr:row>27</xdr:row>
      <xdr:rowOff>148710</xdr:rowOff>
    </xdr:to>
    <xdr:sp macro="" textlink="Location1ANALYSIS!$O$17">
      <xdr:nvSpPr>
        <xdr:cNvPr id="379" name="TextBox 378">
          <a:extLst>
            <a:ext uri="{FF2B5EF4-FFF2-40B4-BE49-F238E27FC236}">
              <a16:creationId xmlns:a16="http://schemas.microsoft.com/office/drawing/2014/main" id="{B3E73376-4E26-7248-B0CE-C42861B4DFA8}"/>
            </a:ext>
          </a:extLst>
        </xdr:cNvPr>
        <xdr:cNvSpPr txBox="1"/>
      </xdr:nvSpPr>
      <xdr:spPr>
        <a:xfrm>
          <a:off x="39018029" y="408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295728</xdr:colOff>
      <xdr:row>25</xdr:row>
      <xdr:rowOff>7268</xdr:rowOff>
    </xdr:from>
    <xdr:to>
      <xdr:col>47</xdr:col>
      <xdr:colOff>616003</xdr:colOff>
      <xdr:row>27</xdr:row>
      <xdr:rowOff>148710</xdr:rowOff>
    </xdr:to>
    <xdr:sp macro="" textlink="Location1ANALYSIS!$O$18">
      <xdr:nvSpPr>
        <xdr:cNvPr id="380" name="TextBox 379">
          <a:extLst>
            <a:ext uri="{FF2B5EF4-FFF2-40B4-BE49-F238E27FC236}">
              <a16:creationId xmlns:a16="http://schemas.microsoft.com/office/drawing/2014/main" id="{B0836AE2-3EFC-DD4E-8E39-D9B34D82D515}"/>
            </a:ext>
          </a:extLst>
        </xdr:cNvPr>
        <xdr:cNvSpPr txBox="1"/>
      </xdr:nvSpPr>
      <xdr:spPr>
        <a:xfrm>
          <a:off x="39520585" y="4089411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780140</xdr:colOff>
      <xdr:row>21</xdr:row>
      <xdr:rowOff>18150</xdr:rowOff>
    </xdr:from>
    <xdr:to>
      <xdr:col>44</xdr:col>
      <xdr:colOff>253143</xdr:colOff>
      <xdr:row>23</xdr:row>
      <xdr:rowOff>159592</xdr:rowOff>
    </xdr:to>
    <xdr:sp macro="" textlink="Location1ANALYSIS!$O$9">
      <xdr:nvSpPr>
        <xdr:cNvPr id="390" name="TextBox 389">
          <a:extLst>
            <a:ext uri="{FF2B5EF4-FFF2-40B4-BE49-F238E27FC236}">
              <a16:creationId xmlns:a16="http://schemas.microsoft.com/office/drawing/2014/main" id="{510C4122-3E5C-C243-84E3-C4603838CBF8}"/>
            </a:ext>
          </a:extLst>
        </xdr:cNvPr>
        <xdr:cNvSpPr txBox="1"/>
      </xdr:nvSpPr>
      <xdr:spPr>
        <a:xfrm>
          <a:off x="36666711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678541</xdr:colOff>
      <xdr:row>21</xdr:row>
      <xdr:rowOff>18150</xdr:rowOff>
    </xdr:from>
    <xdr:to>
      <xdr:col>45</xdr:col>
      <xdr:colOff>151545</xdr:colOff>
      <xdr:row>23</xdr:row>
      <xdr:rowOff>159592</xdr:rowOff>
    </xdr:to>
    <xdr:sp macro="" textlink="Location1ANALYSIS!$O$10">
      <xdr:nvSpPr>
        <xdr:cNvPr id="391" name="TextBox 390">
          <a:extLst>
            <a:ext uri="{FF2B5EF4-FFF2-40B4-BE49-F238E27FC236}">
              <a16:creationId xmlns:a16="http://schemas.microsoft.com/office/drawing/2014/main" id="{2F67004C-853B-D243-AC53-222C4D3F1704}"/>
            </a:ext>
          </a:extLst>
        </xdr:cNvPr>
        <xdr:cNvSpPr txBox="1"/>
      </xdr:nvSpPr>
      <xdr:spPr>
        <a:xfrm>
          <a:off x="37399684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703944</xdr:colOff>
      <xdr:row>21</xdr:row>
      <xdr:rowOff>18150</xdr:rowOff>
    </xdr:from>
    <xdr:to>
      <xdr:col>46</xdr:col>
      <xdr:colOff>176947</xdr:colOff>
      <xdr:row>23</xdr:row>
      <xdr:rowOff>159592</xdr:rowOff>
    </xdr:to>
    <xdr:sp macro="" textlink="Location1ANALYSIS!$O$11">
      <xdr:nvSpPr>
        <xdr:cNvPr id="392" name="TextBox 391">
          <a:extLst>
            <a:ext uri="{FF2B5EF4-FFF2-40B4-BE49-F238E27FC236}">
              <a16:creationId xmlns:a16="http://schemas.microsoft.com/office/drawing/2014/main" id="{C7D2F0A2-6A33-1549-A1A2-E350AC903CF7}"/>
            </a:ext>
          </a:extLst>
        </xdr:cNvPr>
        <xdr:cNvSpPr txBox="1"/>
      </xdr:nvSpPr>
      <xdr:spPr>
        <a:xfrm>
          <a:off x="38259658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602344</xdr:colOff>
      <xdr:row>21</xdr:row>
      <xdr:rowOff>18150</xdr:rowOff>
    </xdr:from>
    <xdr:to>
      <xdr:col>47</xdr:col>
      <xdr:colOff>75348</xdr:colOff>
      <xdr:row>23</xdr:row>
      <xdr:rowOff>159592</xdr:rowOff>
    </xdr:to>
    <xdr:sp macro="" textlink="Location1ANALYSIS!$O$12">
      <xdr:nvSpPr>
        <xdr:cNvPr id="393" name="TextBox 392">
          <a:extLst>
            <a:ext uri="{FF2B5EF4-FFF2-40B4-BE49-F238E27FC236}">
              <a16:creationId xmlns:a16="http://schemas.microsoft.com/office/drawing/2014/main" id="{A4D952C5-7671-6A4C-9D2A-18A8222990FA}"/>
            </a:ext>
          </a:extLst>
        </xdr:cNvPr>
        <xdr:cNvSpPr txBox="1"/>
      </xdr:nvSpPr>
      <xdr:spPr>
        <a:xfrm>
          <a:off x="38992630" y="344715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275772</xdr:colOff>
      <xdr:row>21</xdr:row>
      <xdr:rowOff>18150</xdr:rowOff>
    </xdr:from>
    <xdr:to>
      <xdr:col>47</xdr:col>
      <xdr:colOff>608747</xdr:colOff>
      <xdr:row>23</xdr:row>
      <xdr:rowOff>159592</xdr:rowOff>
    </xdr:to>
    <xdr:sp macro="" textlink="Location1ANALYSIS!$O$13">
      <xdr:nvSpPr>
        <xdr:cNvPr id="394" name="TextBox 393">
          <a:extLst>
            <a:ext uri="{FF2B5EF4-FFF2-40B4-BE49-F238E27FC236}">
              <a16:creationId xmlns:a16="http://schemas.microsoft.com/office/drawing/2014/main" id="{FF2E0890-CE82-6A44-9DD9-E856B77BC6A8}"/>
            </a:ext>
          </a:extLst>
        </xdr:cNvPr>
        <xdr:cNvSpPr txBox="1"/>
      </xdr:nvSpPr>
      <xdr:spPr>
        <a:xfrm>
          <a:off x="39500629" y="3447150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224979</xdr:colOff>
      <xdr:row>35</xdr:row>
      <xdr:rowOff>140786</xdr:rowOff>
    </xdr:from>
    <xdr:to>
      <xdr:col>44</xdr:col>
      <xdr:colOff>762007</xdr:colOff>
      <xdr:row>38</xdr:row>
      <xdr:rowOff>108129</xdr:rowOff>
    </xdr:to>
    <xdr:sp macro="" textlink="Location1ANALYSIS!L25">
      <xdr:nvSpPr>
        <xdr:cNvPr id="396" name="Rectangle 395">
          <a:extLst>
            <a:ext uri="{FF2B5EF4-FFF2-40B4-BE49-F238E27FC236}">
              <a16:creationId xmlns:a16="http://schemas.microsoft.com/office/drawing/2014/main" id="{8B00F913-83EA-5842-B7F5-C99EE60180DA}"/>
            </a:ext>
          </a:extLst>
        </xdr:cNvPr>
        <xdr:cNvSpPr>
          <a:spLocks noChangeAspect="1"/>
        </xdr:cNvSpPr>
      </xdr:nvSpPr>
      <xdr:spPr>
        <a:xfrm>
          <a:off x="36111550" y="5855786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64%</a:t>
          </a:fld>
          <a:endParaRPr lang="en-US" sz="1000" i="0"/>
        </a:p>
      </xdr:txBody>
    </xdr:sp>
    <xdr:clientData/>
  </xdr:twoCellAnchor>
  <xdr:twoCellAnchor>
    <xdr:from>
      <xdr:col>43</xdr:col>
      <xdr:colOff>243122</xdr:colOff>
      <xdr:row>40</xdr:row>
      <xdr:rowOff>39183</xdr:rowOff>
    </xdr:from>
    <xdr:to>
      <xdr:col>44</xdr:col>
      <xdr:colOff>780150</xdr:colOff>
      <xdr:row>43</xdr:row>
      <xdr:rowOff>6526</xdr:rowOff>
    </xdr:to>
    <xdr:sp macro="" textlink="Location1ANALYSIS!L27">
      <xdr:nvSpPr>
        <xdr:cNvPr id="397" name="Rectangle 396">
          <a:extLst>
            <a:ext uri="{FF2B5EF4-FFF2-40B4-BE49-F238E27FC236}">
              <a16:creationId xmlns:a16="http://schemas.microsoft.com/office/drawing/2014/main" id="{4AD195B8-4B01-E646-8BCF-F9B69801AC7F}"/>
            </a:ext>
          </a:extLst>
        </xdr:cNvPr>
        <xdr:cNvSpPr>
          <a:spLocks noChangeAspect="1"/>
        </xdr:cNvSpPr>
      </xdr:nvSpPr>
      <xdr:spPr>
        <a:xfrm>
          <a:off x="36129693" y="6570612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43</xdr:col>
      <xdr:colOff>224979</xdr:colOff>
      <xdr:row>44</xdr:row>
      <xdr:rowOff>137153</xdr:rowOff>
    </xdr:from>
    <xdr:to>
      <xdr:col>44</xdr:col>
      <xdr:colOff>762007</xdr:colOff>
      <xdr:row>47</xdr:row>
      <xdr:rowOff>104495</xdr:rowOff>
    </xdr:to>
    <xdr:sp macro="" textlink="Location1ANALYSIS!L26">
      <xdr:nvSpPr>
        <xdr:cNvPr id="398" name="Rectangle 397">
          <a:extLst>
            <a:ext uri="{FF2B5EF4-FFF2-40B4-BE49-F238E27FC236}">
              <a16:creationId xmlns:a16="http://schemas.microsoft.com/office/drawing/2014/main" id="{2BD2DB27-76C6-2B4E-AB42-4D2227B23D4B}"/>
            </a:ext>
          </a:extLst>
        </xdr:cNvPr>
        <xdr:cNvSpPr>
          <a:spLocks noChangeAspect="1"/>
        </xdr:cNvSpPr>
      </xdr:nvSpPr>
      <xdr:spPr>
        <a:xfrm>
          <a:off x="36111550" y="7321724"/>
          <a:ext cx="1371600" cy="457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62%</a:t>
          </a:fld>
          <a:endParaRPr lang="en-US" sz="1000" i="0"/>
        </a:p>
      </xdr:txBody>
    </xdr:sp>
    <xdr:clientData/>
  </xdr:twoCellAnchor>
  <xdr:twoCellAnchor>
    <xdr:from>
      <xdr:col>43</xdr:col>
      <xdr:colOff>631374</xdr:colOff>
      <xdr:row>48</xdr:row>
      <xdr:rowOff>119013</xdr:rowOff>
    </xdr:from>
    <xdr:to>
      <xdr:col>44</xdr:col>
      <xdr:colOff>619762</xdr:colOff>
      <xdr:row>50</xdr:row>
      <xdr:rowOff>66761</xdr:rowOff>
    </xdr:to>
    <xdr:sp macro="" textlink="Location1ANALYSIS!L30">
      <xdr:nvSpPr>
        <xdr:cNvPr id="399" name="Rectangle 398">
          <a:extLst>
            <a:ext uri="{FF2B5EF4-FFF2-40B4-BE49-F238E27FC236}">
              <a16:creationId xmlns:a16="http://schemas.microsoft.com/office/drawing/2014/main" id="{5705DE09-9871-6A4B-B191-C01168686F4B}"/>
            </a:ext>
          </a:extLst>
        </xdr:cNvPr>
        <xdr:cNvSpPr>
          <a:spLocks noChangeAspect="1"/>
        </xdr:cNvSpPr>
      </xdr:nvSpPr>
      <xdr:spPr>
        <a:xfrm>
          <a:off x="36517945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i="0"/>
        </a:p>
      </xdr:txBody>
    </xdr:sp>
    <xdr:clientData/>
  </xdr:twoCellAnchor>
  <xdr:twoCellAnchor>
    <xdr:from>
      <xdr:col>44</xdr:col>
      <xdr:colOff>330200</xdr:colOff>
      <xdr:row>48</xdr:row>
      <xdr:rowOff>119013</xdr:rowOff>
    </xdr:from>
    <xdr:to>
      <xdr:col>45</xdr:col>
      <xdr:colOff>318589</xdr:colOff>
      <xdr:row>50</xdr:row>
      <xdr:rowOff>66761</xdr:rowOff>
    </xdr:to>
    <xdr:sp macro="" textlink="Location1ANALYSIS!L31">
      <xdr:nvSpPr>
        <xdr:cNvPr id="400" name="Rectangle 399">
          <a:extLst>
            <a:ext uri="{FF2B5EF4-FFF2-40B4-BE49-F238E27FC236}">
              <a16:creationId xmlns:a16="http://schemas.microsoft.com/office/drawing/2014/main" id="{B7FA109E-2079-F94B-B93A-5F39A2680E4B}"/>
            </a:ext>
          </a:extLst>
        </xdr:cNvPr>
        <xdr:cNvSpPr>
          <a:spLocks noChangeAspect="1"/>
        </xdr:cNvSpPr>
      </xdr:nvSpPr>
      <xdr:spPr>
        <a:xfrm>
          <a:off x="37051343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75%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718460</xdr:colOff>
      <xdr:row>48</xdr:row>
      <xdr:rowOff>119013</xdr:rowOff>
    </xdr:from>
    <xdr:to>
      <xdr:col>46</xdr:col>
      <xdr:colOff>706848</xdr:colOff>
      <xdr:row>50</xdr:row>
      <xdr:rowOff>66761</xdr:rowOff>
    </xdr:to>
    <xdr:sp macro="" textlink="Location1ANALYSIS!L32">
      <xdr:nvSpPr>
        <xdr:cNvPr id="401" name="Rectangle 400">
          <a:extLst>
            <a:ext uri="{FF2B5EF4-FFF2-40B4-BE49-F238E27FC236}">
              <a16:creationId xmlns:a16="http://schemas.microsoft.com/office/drawing/2014/main" id="{B9FBF025-0848-E24D-9712-0BFB145BD2FD}"/>
            </a:ext>
          </a:extLst>
        </xdr:cNvPr>
        <xdr:cNvSpPr>
          <a:spLocks noChangeAspect="1"/>
        </xdr:cNvSpPr>
      </xdr:nvSpPr>
      <xdr:spPr>
        <a:xfrm>
          <a:off x="38274174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471714</xdr:colOff>
      <xdr:row>48</xdr:row>
      <xdr:rowOff>119013</xdr:rowOff>
    </xdr:from>
    <xdr:to>
      <xdr:col>47</xdr:col>
      <xdr:colOff>460103</xdr:colOff>
      <xdr:row>50</xdr:row>
      <xdr:rowOff>66761</xdr:rowOff>
    </xdr:to>
    <xdr:sp macro="" textlink="Location1ANALYSIS!L33">
      <xdr:nvSpPr>
        <xdr:cNvPr id="402" name="Rectangle 401">
          <a:extLst>
            <a:ext uri="{FF2B5EF4-FFF2-40B4-BE49-F238E27FC236}">
              <a16:creationId xmlns:a16="http://schemas.microsoft.com/office/drawing/2014/main" id="{74116BD0-D786-EE48-8CF5-11D441FC993A}"/>
            </a:ext>
          </a:extLst>
        </xdr:cNvPr>
        <xdr:cNvSpPr>
          <a:spLocks noChangeAspect="1"/>
        </xdr:cNvSpPr>
      </xdr:nvSpPr>
      <xdr:spPr>
        <a:xfrm>
          <a:off x="38862000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38%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224969</xdr:colOff>
      <xdr:row>48</xdr:row>
      <xdr:rowOff>119013</xdr:rowOff>
    </xdr:from>
    <xdr:to>
      <xdr:col>48</xdr:col>
      <xdr:colOff>213357</xdr:colOff>
      <xdr:row>50</xdr:row>
      <xdr:rowOff>66761</xdr:rowOff>
    </xdr:to>
    <xdr:sp macro="" textlink="Location1ANALYSIS!L34">
      <xdr:nvSpPr>
        <xdr:cNvPr id="403" name="Rectangle 402">
          <a:extLst>
            <a:ext uri="{FF2B5EF4-FFF2-40B4-BE49-F238E27FC236}">
              <a16:creationId xmlns:a16="http://schemas.microsoft.com/office/drawing/2014/main" id="{BDE20255-202F-E345-80BB-8F299D2EE81D}"/>
            </a:ext>
          </a:extLst>
        </xdr:cNvPr>
        <xdr:cNvSpPr>
          <a:spLocks noChangeAspect="1"/>
        </xdr:cNvSpPr>
      </xdr:nvSpPr>
      <xdr:spPr>
        <a:xfrm>
          <a:off x="39449826" y="7956727"/>
          <a:ext cx="8229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72568</xdr:colOff>
      <xdr:row>48</xdr:row>
      <xdr:rowOff>126269</xdr:rowOff>
    </xdr:from>
    <xdr:to>
      <xdr:col>46</xdr:col>
      <xdr:colOff>48256</xdr:colOff>
      <xdr:row>50</xdr:row>
      <xdr:rowOff>74017</xdr:rowOff>
    </xdr:to>
    <xdr:sp macro="" textlink="Location1ANALYSIS!L32">
      <xdr:nvSpPr>
        <xdr:cNvPr id="404" name="Rectangle 403">
          <a:extLst>
            <a:ext uri="{FF2B5EF4-FFF2-40B4-BE49-F238E27FC236}">
              <a16:creationId xmlns:a16="http://schemas.microsoft.com/office/drawing/2014/main" id="{4B9593B3-1D0A-2C4B-8836-5E130737E7C0}"/>
            </a:ext>
          </a:extLst>
        </xdr:cNvPr>
        <xdr:cNvSpPr>
          <a:spLocks noChangeAspect="1"/>
        </xdr:cNvSpPr>
      </xdr:nvSpPr>
      <xdr:spPr>
        <a:xfrm>
          <a:off x="37628282" y="7963983"/>
          <a:ext cx="810260" cy="27432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805539</xdr:colOff>
      <xdr:row>35</xdr:row>
      <xdr:rowOff>83779</xdr:rowOff>
    </xdr:from>
    <xdr:to>
      <xdr:col>48</xdr:col>
      <xdr:colOff>5067</xdr:colOff>
      <xdr:row>48</xdr:row>
      <xdr:rowOff>56293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BF9FFD69-F24C-F446-95A8-4EDF3ECDC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692110" y="5798779"/>
          <a:ext cx="3372386" cy="2095228"/>
        </a:xfrm>
        <a:prstGeom prst="rect">
          <a:avLst/>
        </a:prstGeom>
      </xdr:spPr>
    </xdr:pic>
    <xdr:clientData/>
  </xdr:twoCellAnchor>
  <xdr:twoCellAnchor>
    <xdr:from>
      <xdr:col>44</xdr:col>
      <xdr:colOff>43539</xdr:colOff>
      <xdr:row>35</xdr:row>
      <xdr:rowOff>79833</xdr:rowOff>
    </xdr:from>
    <xdr:to>
      <xdr:col>44</xdr:col>
      <xdr:colOff>351114</xdr:colOff>
      <xdr:row>38</xdr:row>
      <xdr:rowOff>57989</xdr:rowOff>
    </xdr:to>
    <xdr:sp macro="" textlink="Location1ANALYSIS!BJ32">
      <xdr:nvSpPr>
        <xdr:cNvPr id="406" name="TextBox 405">
          <a:extLst>
            <a:ext uri="{FF2B5EF4-FFF2-40B4-BE49-F238E27FC236}">
              <a16:creationId xmlns:a16="http://schemas.microsoft.com/office/drawing/2014/main" id="{D2260D00-E3C8-8A44-A599-9844F55FB4FB}"/>
            </a:ext>
          </a:extLst>
        </xdr:cNvPr>
        <xdr:cNvSpPr txBox="1"/>
      </xdr:nvSpPr>
      <xdr:spPr>
        <a:xfrm>
          <a:off x="36764682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35</xdr:row>
      <xdr:rowOff>61690</xdr:rowOff>
    </xdr:from>
    <xdr:to>
      <xdr:col>45</xdr:col>
      <xdr:colOff>158801</xdr:colOff>
      <xdr:row>38</xdr:row>
      <xdr:rowOff>39846</xdr:rowOff>
    </xdr:to>
    <xdr:sp macro="" textlink="Location1ANALYSIS!BJ32">
      <xdr:nvSpPr>
        <xdr:cNvPr id="407" name="TextBox 406">
          <a:extLst>
            <a:ext uri="{FF2B5EF4-FFF2-40B4-BE49-F238E27FC236}">
              <a16:creationId xmlns:a16="http://schemas.microsoft.com/office/drawing/2014/main" id="{A5200DF2-B869-2440-AED2-C63B4C2E743B}"/>
            </a:ext>
          </a:extLst>
        </xdr:cNvPr>
        <xdr:cNvSpPr txBox="1"/>
      </xdr:nvSpPr>
      <xdr:spPr>
        <a:xfrm>
          <a:off x="37406940" y="5776690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35</xdr:row>
      <xdr:rowOff>79833</xdr:rowOff>
    </xdr:from>
    <xdr:to>
      <xdr:col>46</xdr:col>
      <xdr:colOff>147917</xdr:colOff>
      <xdr:row>38</xdr:row>
      <xdr:rowOff>57989</xdr:rowOff>
    </xdr:to>
    <xdr:sp macro="" textlink="Location1ANALYSIS!BJ32">
      <xdr:nvSpPr>
        <xdr:cNvPr id="408" name="TextBox 407">
          <a:extLst>
            <a:ext uri="{FF2B5EF4-FFF2-40B4-BE49-F238E27FC236}">
              <a16:creationId xmlns:a16="http://schemas.microsoft.com/office/drawing/2014/main" id="{56CE6A9B-AC80-404C-ABAE-A588E002C26C}"/>
            </a:ext>
          </a:extLst>
        </xdr:cNvPr>
        <xdr:cNvSpPr txBox="1"/>
      </xdr:nvSpPr>
      <xdr:spPr>
        <a:xfrm>
          <a:off x="38230628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35</xdr:row>
      <xdr:rowOff>79833</xdr:rowOff>
    </xdr:from>
    <xdr:to>
      <xdr:col>47</xdr:col>
      <xdr:colOff>137033</xdr:colOff>
      <xdr:row>38</xdr:row>
      <xdr:rowOff>57989</xdr:rowOff>
    </xdr:to>
    <xdr:sp macro="" textlink="Location1ANALYSIS!BJ32">
      <xdr:nvSpPr>
        <xdr:cNvPr id="409" name="TextBox 408">
          <a:extLst>
            <a:ext uri="{FF2B5EF4-FFF2-40B4-BE49-F238E27FC236}">
              <a16:creationId xmlns:a16="http://schemas.microsoft.com/office/drawing/2014/main" id="{5E81258F-5DDD-BB43-B076-C64BBA77B8DB}"/>
            </a:ext>
          </a:extLst>
        </xdr:cNvPr>
        <xdr:cNvSpPr txBox="1"/>
      </xdr:nvSpPr>
      <xdr:spPr>
        <a:xfrm>
          <a:off x="39054315" y="579483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35</xdr:row>
      <xdr:rowOff>79833</xdr:rowOff>
    </xdr:from>
    <xdr:to>
      <xdr:col>47</xdr:col>
      <xdr:colOff>743004</xdr:colOff>
      <xdr:row>38</xdr:row>
      <xdr:rowOff>57989</xdr:rowOff>
    </xdr:to>
    <xdr:sp macro="" textlink="Location1ANALYSIS!BJ32">
      <xdr:nvSpPr>
        <xdr:cNvPr id="410" name="TextBox 409">
          <a:extLst>
            <a:ext uri="{FF2B5EF4-FFF2-40B4-BE49-F238E27FC236}">
              <a16:creationId xmlns:a16="http://schemas.microsoft.com/office/drawing/2014/main" id="{AB6C6CF3-B46A-AF42-AEA3-4804BD11BBC4}"/>
            </a:ext>
          </a:extLst>
        </xdr:cNvPr>
        <xdr:cNvSpPr txBox="1"/>
      </xdr:nvSpPr>
      <xdr:spPr>
        <a:xfrm>
          <a:off x="39647586" y="5794833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50795</xdr:colOff>
      <xdr:row>44</xdr:row>
      <xdr:rowOff>105244</xdr:rowOff>
    </xdr:from>
    <xdr:to>
      <xdr:col>44</xdr:col>
      <xdr:colOff>358370</xdr:colOff>
      <xdr:row>47</xdr:row>
      <xdr:rowOff>83399</xdr:rowOff>
    </xdr:to>
    <xdr:sp macro="" textlink="Location1ANALYSIS!BJ32">
      <xdr:nvSpPr>
        <xdr:cNvPr id="412" name="TextBox 411">
          <a:extLst>
            <a:ext uri="{FF2B5EF4-FFF2-40B4-BE49-F238E27FC236}">
              <a16:creationId xmlns:a16="http://schemas.microsoft.com/office/drawing/2014/main" id="{02938142-A836-4C48-9567-D9A7BFA443C8}"/>
            </a:ext>
          </a:extLst>
        </xdr:cNvPr>
        <xdr:cNvSpPr txBox="1"/>
      </xdr:nvSpPr>
      <xdr:spPr>
        <a:xfrm>
          <a:off x="36771938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693053</xdr:colOff>
      <xdr:row>44</xdr:row>
      <xdr:rowOff>87101</xdr:rowOff>
    </xdr:from>
    <xdr:to>
      <xdr:col>45</xdr:col>
      <xdr:colOff>166057</xdr:colOff>
      <xdr:row>47</xdr:row>
      <xdr:rowOff>65256</xdr:rowOff>
    </xdr:to>
    <xdr:sp macro="" textlink="Location1ANALYSIS!BJ32">
      <xdr:nvSpPr>
        <xdr:cNvPr id="413" name="TextBox 412">
          <a:extLst>
            <a:ext uri="{FF2B5EF4-FFF2-40B4-BE49-F238E27FC236}">
              <a16:creationId xmlns:a16="http://schemas.microsoft.com/office/drawing/2014/main" id="{0540A028-9667-F747-96DE-E254187F1C8E}"/>
            </a:ext>
          </a:extLst>
        </xdr:cNvPr>
        <xdr:cNvSpPr txBox="1"/>
      </xdr:nvSpPr>
      <xdr:spPr>
        <a:xfrm>
          <a:off x="37414196" y="727167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682170</xdr:colOff>
      <xdr:row>44</xdr:row>
      <xdr:rowOff>105244</xdr:rowOff>
    </xdr:from>
    <xdr:to>
      <xdr:col>46</xdr:col>
      <xdr:colOff>155173</xdr:colOff>
      <xdr:row>47</xdr:row>
      <xdr:rowOff>83399</xdr:rowOff>
    </xdr:to>
    <xdr:sp macro="" textlink="Location1ANALYSIS!BJ32">
      <xdr:nvSpPr>
        <xdr:cNvPr id="414" name="TextBox 413">
          <a:extLst>
            <a:ext uri="{FF2B5EF4-FFF2-40B4-BE49-F238E27FC236}">
              <a16:creationId xmlns:a16="http://schemas.microsoft.com/office/drawing/2014/main" id="{D38D8C24-8FF3-A34D-8DE9-CEBC0276706F}"/>
            </a:ext>
          </a:extLst>
        </xdr:cNvPr>
        <xdr:cNvSpPr txBox="1"/>
      </xdr:nvSpPr>
      <xdr:spPr>
        <a:xfrm>
          <a:off x="38237884" y="728981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671285</xdr:colOff>
      <xdr:row>44</xdr:row>
      <xdr:rowOff>105244</xdr:rowOff>
    </xdr:from>
    <xdr:to>
      <xdr:col>47</xdr:col>
      <xdr:colOff>131589</xdr:colOff>
      <xdr:row>47</xdr:row>
      <xdr:rowOff>83399</xdr:rowOff>
    </xdr:to>
    <xdr:sp macro="" textlink="Location1ANALYSIS!BJ32">
      <xdr:nvSpPr>
        <xdr:cNvPr id="415" name="TextBox 414">
          <a:extLst>
            <a:ext uri="{FF2B5EF4-FFF2-40B4-BE49-F238E27FC236}">
              <a16:creationId xmlns:a16="http://schemas.microsoft.com/office/drawing/2014/main" id="{2A5DC7A0-45D8-F143-A570-77AC0A1F0374}"/>
            </a:ext>
          </a:extLst>
        </xdr:cNvPr>
        <xdr:cNvSpPr txBox="1"/>
      </xdr:nvSpPr>
      <xdr:spPr>
        <a:xfrm>
          <a:off x="39061571" y="728981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105244</xdr:rowOff>
    </xdr:from>
    <xdr:to>
      <xdr:col>47</xdr:col>
      <xdr:colOff>750260</xdr:colOff>
      <xdr:row>47</xdr:row>
      <xdr:rowOff>83399</xdr:rowOff>
    </xdr:to>
    <xdr:sp macro="" textlink="Location1ANALYSIS!BJ32">
      <xdr:nvSpPr>
        <xdr:cNvPr id="416" name="TextBox 415">
          <a:extLst>
            <a:ext uri="{FF2B5EF4-FFF2-40B4-BE49-F238E27FC236}">
              <a16:creationId xmlns:a16="http://schemas.microsoft.com/office/drawing/2014/main" id="{38525D00-DA4C-624A-9946-0C2BD8FAF07E}"/>
            </a:ext>
          </a:extLst>
        </xdr:cNvPr>
        <xdr:cNvSpPr txBox="1"/>
      </xdr:nvSpPr>
      <xdr:spPr>
        <a:xfrm>
          <a:off x="39654842" y="7289815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43539</xdr:colOff>
      <xdr:row>40</xdr:row>
      <xdr:rowOff>116125</xdr:rowOff>
    </xdr:from>
    <xdr:to>
      <xdr:col>44</xdr:col>
      <xdr:colOff>351114</xdr:colOff>
      <xdr:row>43</xdr:row>
      <xdr:rowOff>94281</xdr:rowOff>
    </xdr:to>
    <xdr:sp macro="" textlink="Location1ANALYSIS!BJ32">
      <xdr:nvSpPr>
        <xdr:cNvPr id="418" name="TextBox 417">
          <a:extLst>
            <a:ext uri="{FF2B5EF4-FFF2-40B4-BE49-F238E27FC236}">
              <a16:creationId xmlns:a16="http://schemas.microsoft.com/office/drawing/2014/main" id="{7B20C778-DEA3-A541-922F-40268F88219A}"/>
            </a:ext>
          </a:extLst>
        </xdr:cNvPr>
        <xdr:cNvSpPr txBox="1"/>
      </xdr:nvSpPr>
      <xdr:spPr>
        <a:xfrm>
          <a:off x="36764682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685797</xdr:colOff>
      <xdr:row>40</xdr:row>
      <xdr:rowOff>97982</xdr:rowOff>
    </xdr:from>
    <xdr:to>
      <xdr:col>45</xdr:col>
      <xdr:colOff>158801</xdr:colOff>
      <xdr:row>43</xdr:row>
      <xdr:rowOff>76138</xdr:rowOff>
    </xdr:to>
    <xdr:sp macro="" textlink="Location1ANALYSIS!BJ32">
      <xdr:nvSpPr>
        <xdr:cNvPr id="419" name="TextBox 418">
          <a:extLst>
            <a:ext uri="{FF2B5EF4-FFF2-40B4-BE49-F238E27FC236}">
              <a16:creationId xmlns:a16="http://schemas.microsoft.com/office/drawing/2014/main" id="{CD35171E-CC49-3E4D-920A-C34D351858AF}"/>
            </a:ext>
          </a:extLst>
        </xdr:cNvPr>
        <xdr:cNvSpPr txBox="1"/>
      </xdr:nvSpPr>
      <xdr:spPr>
        <a:xfrm>
          <a:off x="37406940" y="6629411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674914</xdr:colOff>
      <xdr:row>40</xdr:row>
      <xdr:rowOff>116125</xdr:rowOff>
    </xdr:from>
    <xdr:to>
      <xdr:col>46</xdr:col>
      <xdr:colOff>147917</xdr:colOff>
      <xdr:row>43</xdr:row>
      <xdr:rowOff>94281</xdr:rowOff>
    </xdr:to>
    <xdr:sp macro="" textlink="Location1ANALYSIS!BJ32">
      <xdr:nvSpPr>
        <xdr:cNvPr id="420" name="TextBox 419">
          <a:extLst>
            <a:ext uri="{FF2B5EF4-FFF2-40B4-BE49-F238E27FC236}">
              <a16:creationId xmlns:a16="http://schemas.microsoft.com/office/drawing/2014/main" id="{D952A155-8761-1640-8DD8-3CDD73D0D4FB}"/>
            </a:ext>
          </a:extLst>
        </xdr:cNvPr>
        <xdr:cNvSpPr txBox="1"/>
      </xdr:nvSpPr>
      <xdr:spPr>
        <a:xfrm>
          <a:off x="38230628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664029</xdr:colOff>
      <xdr:row>40</xdr:row>
      <xdr:rowOff>116125</xdr:rowOff>
    </xdr:from>
    <xdr:to>
      <xdr:col>47</xdr:col>
      <xdr:colOff>137033</xdr:colOff>
      <xdr:row>43</xdr:row>
      <xdr:rowOff>94281</xdr:rowOff>
    </xdr:to>
    <xdr:sp macro="" textlink="Location1ANALYSIS!BJ32">
      <xdr:nvSpPr>
        <xdr:cNvPr id="421" name="TextBox 420">
          <a:extLst>
            <a:ext uri="{FF2B5EF4-FFF2-40B4-BE49-F238E27FC236}">
              <a16:creationId xmlns:a16="http://schemas.microsoft.com/office/drawing/2014/main" id="{22171E46-6F37-DD4E-8880-EB19CAACAD09}"/>
            </a:ext>
          </a:extLst>
        </xdr:cNvPr>
        <xdr:cNvSpPr txBox="1"/>
      </xdr:nvSpPr>
      <xdr:spPr>
        <a:xfrm>
          <a:off x="39054315" y="664755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422729</xdr:colOff>
      <xdr:row>40</xdr:row>
      <xdr:rowOff>116125</xdr:rowOff>
    </xdr:from>
    <xdr:to>
      <xdr:col>47</xdr:col>
      <xdr:colOff>743004</xdr:colOff>
      <xdr:row>43</xdr:row>
      <xdr:rowOff>94281</xdr:rowOff>
    </xdr:to>
    <xdr:sp macro="" textlink="Location1ANALYSIS!BJ32">
      <xdr:nvSpPr>
        <xdr:cNvPr id="422" name="TextBox 421">
          <a:extLst>
            <a:ext uri="{FF2B5EF4-FFF2-40B4-BE49-F238E27FC236}">
              <a16:creationId xmlns:a16="http://schemas.microsoft.com/office/drawing/2014/main" id="{95AA5F14-2CE2-0F4F-8FDB-45BAF1A38D5E}"/>
            </a:ext>
          </a:extLst>
        </xdr:cNvPr>
        <xdr:cNvSpPr txBox="1"/>
      </xdr:nvSpPr>
      <xdr:spPr>
        <a:xfrm>
          <a:off x="39647586" y="664755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A73E4FC-C595-5548-BA6E-A902D79A5A78}" type="TxLink">
            <a:rPr lang="en-US" sz="24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373743</xdr:colOff>
      <xdr:row>14</xdr:row>
      <xdr:rowOff>50800</xdr:rowOff>
    </xdr:from>
    <xdr:to>
      <xdr:col>46</xdr:col>
      <xdr:colOff>362131</xdr:colOff>
      <xdr:row>15</xdr:row>
      <xdr:rowOff>161834</xdr:rowOff>
    </xdr:to>
    <xdr:sp macro="" textlink="Location1ANALYSIS!C2">
      <xdr:nvSpPr>
        <xdr:cNvPr id="385" name="Rectangle 384">
          <a:extLst>
            <a:ext uri="{FF2B5EF4-FFF2-40B4-BE49-F238E27FC236}">
              <a16:creationId xmlns:a16="http://schemas.microsoft.com/office/drawing/2014/main" id="{14DC804F-786F-9E4B-A140-90470355E4F2}"/>
            </a:ext>
          </a:extLst>
        </xdr:cNvPr>
        <xdr:cNvSpPr>
          <a:spLocks noChangeAspect="1"/>
        </xdr:cNvSpPr>
      </xdr:nvSpPr>
      <xdr:spPr>
        <a:xfrm>
          <a:off x="37929457" y="2336800"/>
          <a:ext cx="82296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AF20377-D41E-E64D-9153-B747699CF32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45</xdr:col>
      <xdr:colOff>370239</xdr:colOff>
      <xdr:row>33</xdr:row>
      <xdr:rowOff>105222</xdr:rowOff>
    </xdr:from>
    <xdr:to>
      <xdr:col>46</xdr:col>
      <xdr:colOff>358627</xdr:colOff>
      <xdr:row>35</xdr:row>
      <xdr:rowOff>52971</xdr:rowOff>
    </xdr:to>
    <xdr:sp macro="" textlink="Location2ANALYSIS!C2">
      <xdr:nvSpPr>
        <xdr:cNvPr id="386" name="Rectangle 385">
          <a:extLst>
            <a:ext uri="{FF2B5EF4-FFF2-40B4-BE49-F238E27FC236}">
              <a16:creationId xmlns:a16="http://schemas.microsoft.com/office/drawing/2014/main" id="{0E29A13F-7D37-844A-B8C2-1F7E3B286D34}"/>
            </a:ext>
          </a:extLst>
        </xdr:cNvPr>
        <xdr:cNvSpPr>
          <a:spLocks noChangeAspect="1"/>
        </xdr:cNvSpPr>
      </xdr:nvSpPr>
      <xdr:spPr>
        <a:xfrm>
          <a:off x="37925953" y="5493651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9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35</xdr:row>
      <xdr:rowOff>134282</xdr:rowOff>
    </xdr:from>
    <xdr:to>
      <xdr:col>44</xdr:col>
      <xdr:colOff>387400</xdr:colOff>
      <xdr:row>38</xdr:row>
      <xdr:rowOff>112438</xdr:rowOff>
    </xdr:to>
    <xdr:sp macro="" textlink="Location2ANALYSIS!$O$4">
      <xdr:nvSpPr>
        <xdr:cNvPr id="437" name="TextBox 436">
          <a:extLst>
            <a:ext uri="{FF2B5EF4-FFF2-40B4-BE49-F238E27FC236}">
              <a16:creationId xmlns:a16="http://schemas.microsoft.com/office/drawing/2014/main" id="{921B8665-346D-3A4C-B633-4AAEC7675D14}"/>
            </a:ext>
          </a:extLst>
        </xdr:cNvPr>
        <xdr:cNvSpPr txBox="1"/>
      </xdr:nvSpPr>
      <xdr:spPr>
        <a:xfrm>
          <a:off x="36800968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9C65DA-7526-914A-8200-1405FDA98CA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35</xdr:row>
      <xdr:rowOff>134282</xdr:rowOff>
    </xdr:from>
    <xdr:to>
      <xdr:col>45</xdr:col>
      <xdr:colOff>285802</xdr:colOff>
      <xdr:row>38</xdr:row>
      <xdr:rowOff>112438</xdr:rowOff>
    </xdr:to>
    <xdr:sp macro="" textlink="Location2ANALYSIS!$O$5">
      <xdr:nvSpPr>
        <xdr:cNvPr id="438" name="TextBox 437">
          <a:extLst>
            <a:ext uri="{FF2B5EF4-FFF2-40B4-BE49-F238E27FC236}">
              <a16:creationId xmlns:a16="http://schemas.microsoft.com/office/drawing/2014/main" id="{2E341527-4F97-2343-99BC-EEC9B0D6318D}"/>
            </a:ext>
          </a:extLst>
        </xdr:cNvPr>
        <xdr:cNvSpPr txBox="1"/>
      </xdr:nvSpPr>
      <xdr:spPr>
        <a:xfrm>
          <a:off x="37533941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8F34E7C-5616-B448-8942-E09E71DA8FE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35</xdr:row>
      <xdr:rowOff>134282</xdr:rowOff>
    </xdr:from>
    <xdr:to>
      <xdr:col>46</xdr:col>
      <xdr:colOff>311204</xdr:colOff>
      <xdr:row>38</xdr:row>
      <xdr:rowOff>112438</xdr:rowOff>
    </xdr:to>
    <xdr:sp macro="" textlink="Location2ANALYSIS!$O$6">
      <xdr:nvSpPr>
        <xdr:cNvPr id="439" name="TextBox 438">
          <a:extLst>
            <a:ext uri="{FF2B5EF4-FFF2-40B4-BE49-F238E27FC236}">
              <a16:creationId xmlns:a16="http://schemas.microsoft.com/office/drawing/2014/main" id="{DFCF2DD6-AA13-914E-84DB-1D245362C1D0}"/>
            </a:ext>
          </a:extLst>
        </xdr:cNvPr>
        <xdr:cNvSpPr txBox="1"/>
      </xdr:nvSpPr>
      <xdr:spPr>
        <a:xfrm>
          <a:off x="38393915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FA67CC8-FDCF-834E-B929-82F1FD97CBB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35</xdr:row>
      <xdr:rowOff>134282</xdr:rowOff>
    </xdr:from>
    <xdr:to>
      <xdr:col>47</xdr:col>
      <xdr:colOff>209605</xdr:colOff>
      <xdr:row>38</xdr:row>
      <xdr:rowOff>112438</xdr:rowOff>
    </xdr:to>
    <xdr:sp macro="" textlink="Location2ANALYSIS!$O$7">
      <xdr:nvSpPr>
        <xdr:cNvPr id="440" name="TextBox 439">
          <a:extLst>
            <a:ext uri="{FF2B5EF4-FFF2-40B4-BE49-F238E27FC236}">
              <a16:creationId xmlns:a16="http://schemas.microsoft.com/office/drawing/2014/main" id="{D2DE96C0-A3B1-2348-AF07-9847E5C53825}"/>
            </a:ext>
          </a:extLst>
        </xdr:cNvPr>
        <xdr:cNvSpPr txBox="1"/>
      </xdr:nvSpPr>
      <xdr:spPr>
        <a:xfrm>
          <a:off x="39126887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D781ABA-0B94-5547-BB09-A6BBFCAB810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435429</xdr:colOff>
      <xdr:row>35</xdr:row>
      <xdr:rowOff>134282</xdr:rowOff>
    </xdr:from>
    <xdr:to>
      <xdr:col>47</xdr:col>
      <xdr:colOff>743004</xdr:colOff>
      <xdr:row>38</xdr:row>
      <xdr:rowOff>112438</xdr:rowOff>
    </xdr:to>
    <xdr:sp macro="" textlink="Location2ANALYSIS!$O$8">
      <xdr:nvSpPr>
        <xdr:cNvPr id="441" name="TextBox 440">
          <a:extLst>
            <a:ext uri="{FF2B5EF4-FFF2-40B4-BE49-F238E27FC236}">
              <a16:creationId xmlns:a16="http://schemas.microsoft.com/office/drawing/2014/main" id="{3F7C8770-5998-3040-97B1-A7E62D6DA1B0}"/>
            </a:ext>
          </a:extLst>
        </xdr:cNvPr>
        <xdr:cNvSpPr txBox="1"/>
      </xdr:nvSpPr>
      <xdr:spPr>
        <a:xfrm>
          <a:off x="39660286" y="58492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B63198-F048-4E45-8E16-1A542856177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87081</xdr:colOff>
      <xdr:row>44</xdr:row>
      <xdr:rowOff>159693</xdr:rowOff>
    </xdr:from>
    <xdr:to>
      <xdr:col>44</xdr:col>
      <xdr:colOff>394656</xdr:colOff>
      <xdr:row>47</xdr:row>
      <xdr:rowOff>137848</xdr:rowOff>
    </xdr:to>
    <xdr:sp macro="" textlink="Location2ANALYSIS!$O$14">
      <xdr:nvSpPr>
        <xdr:cNvPr id="442" name="TextBox 441">
          <a:extLst>
            <a:ext uri="{FF2B5EF4-FFF2-40B4-BE49-F238E27FC236}">
              <a16:creationId xmlns:a16="http://schemas.microsoft.com/office/drawing/2014/main" id="{82AE5AD3-E359-E447-AC90-6A4E4117FA58}"/>
            </a:ext>
          </a:extLst>
        </xdr:cNvPr>
        <xdr:cNvSpPr txBox="1"/>
      </xdr:nvSpPr>
      <xdr:spPr>
        <a:xfrm>
          <a:off x="36808224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8D423C2-C3A1-7242-861D-22230293CBA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820054</xdr:colOff>
      <xdr:row>44</xdr:row>
      <xdr:rowOff>159693</xdr:rowOff>
    </xdr:from>
    <xdr:to>
      <xdr:col>45</xdr:col>
      <xdr:colOff>293058</xdr:colOff>
      <xdr:row>47</xdr:row>
      <xdr:rowOff>137848</xdr:rowOff>
    </xdr:to>
    <xdr:sp macro="" textlink="Location2ANALYSIS!$O$15">
      <xdr:nvSpPr>
        <xdr:cNvPr id="443" name="TextBox 442">
          <a:extLst>
            <a:ext uri="{FF2B5EF4-FFF2-40B4-BE49-F238E27FC236}">
              <a16:creationId xmlns:a16="http://schemas.microsoft.com/office/drawing/2014/main" id="{B3FB1EFF-2455-2545-B5BF-287A652C1903}"/>
            </a:ext>
          </a:extLst>
        </xdr:cNvPr>
        <xdr:cNvSpPr txBox="1"/>
      </xdr:nvSpPr>
      <xdr:spPr>
        <a:xfrm>
          <a:off x="37541197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8FE6FF1-81C3-7C47-9821-A84C15A23B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10885</xdr:colOff>
      <xdr:row>44</xdr:row>
      <xdr:rowOff>159693</xdr:rowOff>
    </xdr:from>
    <xdr:to>
      <xdr:col>46</xdr:col>
      <xdr:colOff>318460</xdr:colOff>
      <xdr:row>47</xdr:row>
      <xdr:rowOff>137848</xdr:rowOff>
    </xdr:to>
    <xdr:sp macro="" textlink="Location2ANALYSIS!$O$16">
      <xdr:nvSpPr>
        <xdr:cNvPr id="444" name="TextBox 443">
          <a:extLst>
            <a:ext uri="{FF2B5EF4-FFF2-40B4-BE49-F238E27FC236}">
              <a16:creationId xmlns:a16="http://schemas.microsoft.com/office/drawing/2014/main" id="{027922A0-676E-7043-BEBD-7365AB132938}"/>
            </a:ext>
          </a:extLst>
        </xdr:cNvPr>
        <xdr:cNvSpPr txBox="1"/>
      </xdr:nvSpPr>
      <xdr:spPr>
        <a:xfrm>
          <a:off x="38401171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E503848-325A-0446-AD46-18DC0EA7B62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762000</xdr:colOff>
      <xdr:row>44</xdr:row>
      <xdr:rowOff>159693</xdr:rowOff>
    </xdr:from>
    <xdr:to>
      <xdr:col>47</xdr:col>
      <xdr:colOff>235004</xdr:colOff>
      <xdr:row>47</xdr:row>
      <xdr:rowOff>137848</xdr:rowOff>
    </xdr:to>
    <xdr:sp macro="" textlink="Location2ANALYSIS!$O$17">
      <xdr:nvSpPr>
        <xdr:cNvPr id="445" name="TextBox 444">
          <a:extLst>
            <a:ext uri="{FF2B5EF4-FFF2-40B4-BE49-F238E27FC236}">
              <a16:creationId xmlns:a16="http://schemas.microsoft.com/office/drawing/2014/main" id="{2F4CD3AD-9D7A-0A40-A847-4E4E6AD8E053}"/>
            </a:ext>
          </a:extLst>
        </xdr:cNvPr>
        <xdr:cNvSpPr txBox="1"/>
      </xdr:nvSpPr>
      <xdr:spPr>
        <a:xfrm>
          <a:off x="39152286" y="7344264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4194F22-3699-AC4D-AB9E-82D44B77262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429985</xdr:colOff>
      <xdr:row>44</xdr:row>
      <xdr:rowOff>159693</xdr:rowOff>
    </xdr:from>
    <xdr:to>
      <xdr:col>47</xdr:col>
      <xdr:colOff>750260</xdr:colOff>
      <xdr:row>47</xdr:row>
      <xdr:rowOff>137848</xdr:rowOff>
    </xdr:to>
    <xdr:sp macro="" textlink="Location2ANALYSIS!$O$18">
      <xdr:nvSpPr>
        <xdr:cNvPr id="446" name="TextBox 445">
          <a:extLst>
            <a:ext uri="{FF2B5EF4-FFF2-40B4-BE49-F238E27FC236}">
              <a16:creationId xmlns:a16="http://schemas.microsoft.com/office/drawing/2014/main" id="{1F13634A-872E-5B4F-97A7-794C911CB54A}"/>
            </a:ext>
          </a:extLst>
        </xdr:cNvPr>
        <xdr:cNvSpPr txBox="1"/>
      </xdr:nvSpPr>
      <xdr:spPr>
        <a:xfrm>
          <a:off x="39654842" y="7344264"/>
          <a:ext cx="3202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E31AB7-B41F-A446-9B2B-ABB561D95BC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79825</xdr:colOff>
      <xdr:row>41</xdr:row>
      <xdr:rowOff>7289</xdr:rowOff>
    </xdr:from>
    <xdr:to>
      <xdr:col>44</xdr:col>
      <xdr:colOff>387400</xdr:colOff>
      <xdr:row>43</xdr:row>
      <xdr:rowOff>148730</xdr:rowOff>
    </xdr:to>
    <xdr:sp macro="" textlink="Location2ANALYSIS!$O$9">
      <xdr:nvSpPr>
        <xdr:cNvPr id="447" name="TextBox 446">
          <a:extLst>
            <a:ext uri="{FF2B5EF4-FFF2-40B4-BE49-F238E27FC236}">
              <a16:creationId xmlns:a16="http://schemas.microsoft.com/office/drawing/2014/main" id="{AC688922-FCA0-C948-8721-3AC2EBEE975A}"/>
            </a:ext>
          </a:extLst>
        </xdr:cNvPr>
        <xdr:cNvSpPr txBox="1"/>
      </xdr:nvSpPr>
      <xdr:spPr>
        <a:xfrm>
          <a:off x="36800968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C72395B-DBEF-6C46-B556-76CA7605F9D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812798</xdr:colOff>
      <xdr:row>41</xdr:row>
      <xdr:rowOff>7289</xdr:rowOff>
    </xdr:from>
    <xdr:to>
      <xdr:col>45</xdr:col>
      <xdr:colOff>285802</xdr:colOff>
      <xdr:row>43</xdr:row>
      <xdr:rowOff>148730</xdr:rowOff>
    </xdr:to>
    <xdr:sp macro="" textlink="Location2ANALYSIS!$O$10">
      <xdr:nvSpPr>
        <xdr:cNvPr id="448" name="TextBox 447">
          <a:extLst>
            <a:ext uri="{FF2B5EF4-FFF2-40B4-BE49-F238E27FC236}">
              <a16:creationId xmlns:a16="http://schemas.microsoft.com/office/drawing/2014/main" id="{9E7928EE-C47C-EA4B-911C-130E032A7F92}"/>
            </a:ext>
          </a:extLst>
        </xdr:cNvPr>
        <xdr:cNvSpPr txBox="1"/>
      </xdr:nvSpPr>
      <xdr:spPr>
        <a:xfrm>
          <a:off x="37533941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B17F6B6-5A0D-FC46-ACC2-9834EAC2D90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3629</xdr:colOff>
      <xdr:row>41</xdr:row>
      <xdr:rowOff>7289</xdr:rowOff>
    </xdr:from>
    <xdr:to>
      <xdr:col>46</xdr:col>
      <xdr:colOff>311204</xdr:colOff>
      <xdr:row>43</xdr:row>
      <xdr:rowOff>148730</xdr:rowOff>
    </xdr:to>
    <xdr:sp macro="" textlink="Location2ANALYSIS!$O$11">
      <xdr:nvSpPr>
        <xdr:cNvPr id="449" name="TextBox 448">
          <a:extLst>
            <a:ext uri="{FF2B5EF4-FFF2-40B4-BE49-F238E27FC236}">
              <a16:creationId xmlns:a16="http://schemas.microsoft.com/office/drawing/2014/main" id="{C8BBE54F-902F-0346-BE6B-51530D8B3E0D}"/>
            </a:ext>
          </a:extLst>
        </xdr:cNvPr>
        <xdr:cNvSpPr txBox="1"/>
      </xdr:nvSpPr>
      <xdr:spPr>
        <a:xfrm>
          <a:off x="38393915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EFE5222-59DD-3A44-9F26-C153CD84F54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736601</xdr:colOff>
      <xdr:row>41</xdr:row>
      <xdr:rowOff>7289</xdr:rowOff>
    </xdr:from>
    <xdr:to>
      <xdr:col>47</xdr:col>
      <xdr:colOff>209605</xdr:colOff>
      <xdr:row>43</xdr:row>
      <xdr:rowOff>148730</xdr:rowOff>
    </xdr:to>
    <xdr:sp macro="" textlink="Location2ANALYSIS!$O$12">
      <xdr:nvSpPr>
        <xdr:cNvPr id="450" name="TextBox 449">
          <a:extLst>
            <a:ext uri="{FF2B5EF4-FFF2-40B4-BE49-F238E27FC236}">
              <a16:creationId xmlns:a16="http://schemas.microsoft.com/office/drawing/2014/main" id="{DC1E2FDB-5ACF-B74B-82BF-F8C85A7B8D8E}"/>
            </a:ext>
          </a:extLst>
        </xdr:cNvPr>
        <xdr:cNvSpPr txBox="1"/>
      </xdr:nvSpPr>
      <xdr:spPr>
        <a:xfrm>
          <a:off x="39126887" y="6702003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5DC5096-0241-6542-9C46-274DA5B499B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410029</xdr:colOff>
      <xdr:row>41</xdr:row>
      <xdr:rowOff>7289</xdr:rowOff>
    </xdr:from>
    <xdr:to>
      <xdr:col>47</xdr:col>
      <xdr:colOff>743004</xdr:colOff>
      <xdr:row>43</xdr:row>
      <xdr:rowOff>148730</xdr:rowOff>
    </xdr:to>
    <xdr:sp macro="" textlink="Location2ANALYSIS!$O$13">
      <xdr:nvSpPr>
        <xdr:cNvPr id="451" name="TextBox 450">
          <a:extLst>
            <a:ext uri="{FF2B5EF4-FFF2-40B4-BE49-F238E27FC236}">
              <a16:creationId xmlns:a16="http://schemas.microsoft.com/office/drawing/2014/main" id="{342818B6-F173-B34C-A4D2-B0266E21ECAD}"/>
            </a:ext>
          </a:extLst>
        </xdr:cNvPr>
        <xdr:cNvSpPr txBox="1"/>
      </xdr:nvSpPr>
      <xdr:spPr>
        <a:xfrm>
          <a:off x="39634886" y="6702003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23EFBCD-5999-5244-AE98-66EADE4937A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27</xdr:col>
      <xdr:colOff>830945</xdr:colOff>
      <xdr:row>3</xdr:row>
      <xdr:rowOff>43543</xdr:rowOff>
    </xdr:from>
    <xdr:to>
      <xdr:col>34</xdr:col>
      <xdr:colOff>590738</xdr:colOff>
      <xdr:row>51</xdr:row>
      <xdr:rowOff>67490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D311A19A-145E-4AD0-8BDA-2E0D0CAC78AB}"/>
            </a:ext>
          </a:extLst>
        </xdr:cNvPr>
        <xdr:cNvGrpSpPr/>
      </xdr:nvGrpSpPr>
      <xdr:grpSpPr>
        <a:xfrm>
          <a:off x="23462345" y="576943"/>
          <a:ext cx="5627193" cy="8558347"/>
          <a:chOff x="24833945" y="560614"/>
          <a:chExt cx="5982793" cy="8297090"/>
        </a:xfrm>
      </xdr:grpSpPr>
      <xdr:sp macro="" textlink="Location2ANALYSIS!L25">
        <xdr:nvSpPr>
          <xdr:cNvPr id="324" name="Rectangle 323">
            <a:extLst>
              <a:ext uri="{FF2B5EF4-FFF2-40B4-BE49-F238E27FC236}">
                <a16:creationId xmlns:a16="http://schemas.microsoft.com/office/drawing/2014/main" id="{E68A10CC-10B5-F348-9A7E-9B15E02D4753}"/>
              </a:ext>
            </a:extLst>
          </xdr:cNvPr>
          <xdr:cNvSpPr>
            <a:spLocks noChangeAspect="1"/>
          </xdr:cNvSpPr>
        </xdr:nvSpPr>
        <xdr:spPr>
          <a:xfrm>
            <a:off x="24968203" y="5466443"/>
            <a:ext cx="1426029" cy="484415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BA943087-6141-334C-915B-F3D65C938B5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67%</a:t>
            </a:fld>
            <a:endParaRPr lang="en-US" sz="1000" i="0"/>
          </a:p>
        </xdr:txBody>
      </xdr:sp>
      <xdr:sp macro="" textlink="Location2ANALYSIS!L27">
        <xdr:nvSpPr>
          <xdr:cNvPr id="325" name="Rectangle 324">
            <a:extLst>
              <a:ext uri="{FF2B5EF4-FFF2-40B4-BE49-F238E27FC236}">
                <a16:creationId xmlns:a16="http://schemas.microsoft.com/office/drawing/2014/main" id="{1F8CBFF7-1BC7-7B46-9D97-BF52E96BD847}"/>
              </a:ext>
            </a:extLst>
          </xdr:cNvPr>
          <xdr:cNvSpPr>
            <a:spLocks noChangeAspect="1"/>
          </xdr:cNvSpPr>
        </xdr:nvSpPr>
        <xdr:spPr>
          <a:xfrm>
            <a:off x="24968203" y="6525986"/>
            <a:ext cx="1426029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A9EFF42-9BDF-5340-9E98-62F65F41CAD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73%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2ANALYSIS!L26">
        <xdr:nvSpPr>
          <xdr:cNvPr id="326" name="Rectangle 325">
            <a:extLst>
              <a:ext uri="{FF2B5EF4-FFF2-40B4-BE49-F238E27FC236}">
                <a16:creationId xmlns:a16="http://schemas.microsoft.com/office/drawing/2014/main" id="{B8455047-27C2-0142-B73E-A7C2E51560E1}"/>
              </a:ext>
            </a:extLst>
          </xdr:cNvPr>
          <xdr:cNvSpPr>
            <a:spLocks noChangeAspect="1"/>
          </xdr:cNvSpPr>
        </xdr:nvSpPr>
        <xdr:spPr>
          <a:xfrm>
            <a:off x="24968203" y="7612743"/>
            <a:ext cx="1426029" cy="47534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E06D2C05-5A6D-5F49-8937-C23F3C58E7E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79%</a:t>
            </a:fld>
            <a:endParaRPr lang="en-US" sz="1000" i="0"/>
          </a:p>
        </xdr:txBody>
      </xdr:sp>
      <xdr:sp macro="" textlink="Location1ANALYSIS!L25">
        <xdr:nvSpPr>
          <xdr:cNvPr id="321" name="Rectangle 320">
            <a:extLst>
              <a:ext uri="{FF2B5EF4-FFF2-40B4-BE49-F238E27FC236}">
                <a16:creationId xmlns:a16="http://schemas.microsoft.com/office/drawing/2014/main" id="{E32B5FB3-1D22-714C-B46D-DC435FB57A33}"/>
              </a:ext>
            </a:extLst>
          </xdr:cNvPr>
          <xdr:cNvSpPr>
            <a:spLocks noChangeAspect="1"/>
          </xdr:cNvSpPr>
        </xdr:nvSpPr>
        <xdr:spPr>
          <a:xfrm>
            <a:off x="24833945" y="1340757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886A766F-3DD8-E445-93C4-85367F242023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64%</a:t>
            </a:fld>
            <a:endParaRPr lang="en-US" sz="1000" i="0"/>
          </a:p>
        </xdr:txBody>
      </xdr:sp>
      <xdr:sp macro="" textlink="Location1ANALYSIS!L27">
        <xdr:nvSpPr>
          <xdr:cNvPr id="322" name="Rectangle 321">
            <a:extLst>
              <a:ext uri="{FF2B5EF4-FFF2-40B4-BE49-F238E27FC236}">
                <a16:creationId xmlns:a16="http://schemas.microsoft.com/office/drawing/2014/main" id="{9247293A-1A77-0E4A-AC11-1928E88CF388}"/>
              </a:ext>
            </a:extLst>
          </xdr:cNvPr>
          <xdr:cNvSpPr>
            <a:spLocks noChangeAspect="1"/>
          </xdr:cNvSpPr>
        </xdr:nvSpPr>
        <xdr:spPr>
          <a:xfrm>
            <a:off x="24833945" y="2400300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99C057DF-93A2-2042-A689-3A50051FEEED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50%</a:t>
            </a:fld>
            <a:endPara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  <xdr:sp macro="" textlink="Location1ANALYSIS!L26">
        <xdr:nvSpPr>
          <xdr:cNvPr id="323" name="Rectangle 322">
            <a:extLst>
              <a:ext uri="{FF2B5EF4-FFF2-40B4-BE49-F238E27FC236}">
                <a16:creationId xmlns:a16="http://schemas.microsoft.com/office/drawing/2014/main" id="{03D9FEBE-55EA-7940-A94B-BA91A31C68AC}"/>
              </a:ext>
            </a:extLst>
          </xdr:cNvPr>
          <xdr:cNvSpPr>
            <a:spLocks noChangeAspect="1"/>
          </xdr:cNvSpPr>
        </xdr:nvSpPr>
        <xdr:spPr>
          <a:xfrm>
            <a:off x="24833945" y="3487057"/>
            <a:ext cx="1480458" cy="484414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l"/>
            <a:fld id="{4E3D73B4-CC86-4D44-9F2E-750E0074B29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l"/>
              <a:t>62%</a:t>
            </a:fld>
            <a:endParaRPr lang="en-US" sz="1000" i="0"/>
          </a:p>
        </xdr:txBody>
      </xdr:sp>
      <xdr:pic>
        <xdr:nvPicPr>
          <xdr:cNvPr id="223" name="Picture 222">
            <a:extLst>
              <a:ext uri="{FF2B5EF4-FFF2-40B4-BE49-F238E27FC236}">
                <a16:creationId xmlns:a16="http://schemas.microsoft.com/office/drawing/2014/main" id="{0F7EC8F8-A340-E24F-A6C5-43506AF074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5341943" y="916946"/>
            <a:ext cx="5328252" cy="3279850"/>
          </a:xfrm>
          <a:prstGeom prst="rect">
            <a:avLst/>
          </a:prstGeom>
        </xdr:spPr>
      </xdr:pic>
      <xdr:sp macro="" textlink="">
        <xdr:nvSpPr>
          <xdr:cNvPr id="226" name="TextBox 225">
            <a:extLst>
              <a:ext uri="{FF2B5EF4-FFF2-40B4-BE49-F238E27FC236}">
                <a16:creationId xmlns:a16="http://schemas.microsoft.com/office/drawing/2014/main" id="{5DA4F685-82F0-7741-9205-833BB2E8E724}"/>
              </a:ext>
            </a:extLst>
          </xdr:cNvPr>
          <xdr:cNvSpPr txBox="1"/>
        </xdr:nvSpPr>
        <xdr:spPr>
          <a:xfrm>
            <a:off x="25559657" y="13407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#REF!">
        <xdr:nvSpPr>
          <xdr:cNvPr id="229" name="TextBox 228">
            <a:extLst>
              <a:ext uri="{FF2B5EF4-FFF2-40B4-BE49-F238E27FC236}">
                <a16:creationId xmlns:a16="http://schemas.microsoft.com/office/drawing/2014/main" id="{D30ADE64-1DE7-7A49-A8B0-0A651831C920}"/>
              </a:ext>
            </a:extLst>
          </xdr:cNvPr>
          <xdr:cNvSpPr txBox="1"/>
        </xdr:nvSpPr>
        <xdr:spPr>
          <a:xfrm>
            <a:off x="26582917" y="13407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2" name="TextBox 231">
            <a:extLst>
              <a:ext uri="{FF2B5EF4-FFF2-40B4-BE49-F238E27FC236}">
                <a16:creationId xmlns:a16="http://schemas.microsoft.com/office/drawing/2014/main" id="{711122F1-EE78-8E4D-BC84-6D715EA61261}"/>
              </a:ext>
            </a:extLst>
          </xdr:cNvPr>
          <xdr:cNvSpPr txBox="1"/>
        </xdr:nvSpPr>
        <xdr:spPr>
          <a:xfrm>
            <a:off x="27878320" y="1340755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5" name="TextBox 234">
            <a:extLst>
              <a:ext uri="{FF2B5EF4-FFF2-40B4-BE49-F238E27FC236}">
                <a16:creationId xmlns:a16="http://schemas.microsoft.com/office/drawing/2014/main" id="{44CD7415-59D4-3D4C-AF69-49B8E42033A1}"/>
              </a:ext>
            </a:extLst>
          </xdr:cNvPr>
          <xdr:cNvSpPr txBox="1"/>
        </xdr:nvSpPr>
        <xdr:spPr>
          <a:xfrm>
            <a:off x="29119293" y="1340755"/>
            <a:ext cx="3493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38" name="TextBox 237">
            <a:extLst>
              <a:ext uri="{FF2B5EF4-FFF2-40B4-BE49-F238E27FC236}">
                <a16:creationId xmlns:a16="http://schemas.microsoft.com/office/drawing/2014/main" id="{B650A6C1-B5E1-7C40-ABC9-AB641E7072B5}"/>
              </a:ext>
            </a:extLst>
          </xdr:cNvPr>
          <xdr:cNvSpPr txBox="1"/>
        </xdr:nvSpPr>
        <xdr:spPr>
          <a:xfrm>
            <a:off x="30106265" y="13407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9">
        <xdr:nvSpPr>
          <xdr:cNvPr id="239" name="TextBox 238">
            <a:extLst>
              <a:ext uri="{FF2B5EF4-FFF2-40B4-BE49-F238E27FC236}">
                <a16:creationId xmlns:a16="http://schemas.microsoft.com/office/drawing/2014/main" id="{79C3728A-6CC2-1149-A041-F6C8471D62A9}"/>
              </a:ext>
            </a:extLst>
          </xdr:cNvPr>
          <xdr:cNvSpPr txBox="1"/>
        </xdr:nvSpPr>
        <xdr:spPr>
          <a:xfrm>
            <a:off x="29866771" y="2481944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283D33-911D-CD4C-9283-62A7BDA21D5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9">
        <xdr:nvSpPr>
          <xdr:cNvPr id="240" name="TextBox 239">
            <a:extLst>
              <a:ext uri="{FF2B5EF4-FFF2-40B4-BE49-F238E27FC236}">
                <a16:creationId xmlns:a16="http://schemas.microsoft.com/office/drawing/2014/main" id="{876C4566-CC93-FE40-A85A-46685D977633}"/>
              </a:ext>
            </a:extLst>
          </xdr:cNvPr>
          <xdr:cNvSpPr txBox="1"/>
        </xdr:nvSpPr>
        <xdr:spPr>
          <a:xfrm>
            <a:off x="30345742" y="2481944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92119C6-9F6F-9F45-8255-E82193C313B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1" name="TextBox 240">
            <a:extLst>
              <a:ext uri="{FF2B5EF4-FFF2-40B4-BE49-F238E27FC236}">
                <a16:creationId xmlns:a16="http://schemas.microsoft.com/office/drawing/2014/main" id="{348FA54F-3167-6042-AF04-9D1441DBDD25}"/>
              </a:ext>
            </a:extLst>
          </xdr:cNvPr>
          <xdr:cNvSpPr txBox="1"/>
        </xdr:nvSpPr>
        <xdr:spPr>
          <a:xfrm>
            <a:off x="25548771" y="24456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0">
        <xdr:nvSpPr>
          <xdr:cNvPr id="242" name="TextBox 241">
            <a:extLst>
              <a:ext uri="{FF2B5EF4-FFF2-40B4-BE49-F238E27FC236}">
                <a16:creationId xmlns:a16="http://schemas.microsoft.com/office/drawing/2014/main" id="{2D219D48-653D-764D-A9E8-BD0B388366BC}"/>
              </a:ext>
            </a:extLst>
          </xdr:cNvPr>
          <xdr:cNvSpPr txBox="1"/>
        </xdr:nvSpPr>
        <xdr:spPr>
          <a:xfrm>
            <a:off x="28839887" y="2481945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F7BC5A3-3CC3-1B4A-B459-1455A2B3E52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0">
        <xdr:nvSpPr>
          <xdr:cNvPr id="243" name="TextBox 242">
            <a:extLst>
              <a:ext uri="{FF2B5EF4-FFF2-40B4-BE49-F238E27FC236}">
                <a16:creationId xmlns:a16="http://schemas.microsoft.com/office/drawing/2014/main" id="{B03931BB-C1BB-7442-B0DA-297B07172E53}"/>
              </a:ext>
            </a:extLst>
          </xdr:cNvPr>
          <xdr:cNvSpPr txBox="1"/>
        </xdr:nvSpPr>
        <xdr:spPr>
          <a:xfrm>
            <a:off x="29264430" y="2481945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833205F-CFD3-1648-9936-D2908A0A93E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4" name="TextBox 243">
            <a:extLst>
              <a:ext uri="{FF2B5EF4-FFF2-40B4-BE49-F238E27FC236}">
                <a16:creationId xmlns:a16="http://schemas.microsoft.com/office/drawing/2014/main" id="{013A87BD-31A0-2240-A1FC-18DA132897DC}"/>
              </a:ext>
            </a:extLst>
          </xdr:cNvPr>
          <xdr:cNvSpPr txBox="1"/>
        </xdr:nvSpPr>
        <xdr:spPr>
          <a:xfrm>
            <a:off x="26572031" y="24456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1">
        <xdr:nvSpPr>
          <xdr:cNvPr id="245" name="TextBox 244">
            <a:extLst>
              <a:ext uri="{FF2B5EF4-FFF2-40B4-BE49-F238E27FC236}">
                <a16:creationId xmlns:a16="http://schemas.microsoft.com/office/drawing/2014/main" id="{D7CBFBD0-EF45-4943-A235-E9BA6E8FECC9}"/>
              </a:ext>
            </a:extLst>
          </xdr:cNvPr>
          <xdr:cNvSpPr txBox="1"/>
        </xdr:nvSpPr>
        <xdr:spPr>
          <a:xfrm>
            <a:off x="27631577" y="2445655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53E913-4122-DD42-ACA5-138ABE6F3C1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1">
        <xdr:nvSpPr>
          <xdr:cNvPr id="246" name="TextBox 245">
            <a:extLst>
              <a:ext uri="{FF2B5EF4-FFF2-40B4-BE49-F238E27FC236}">
                <a16:creationId xmlns:a16="http://schemas.microsoft.com/office/drawing/2014/main" id="{3FCC4BDF-2C42-4541-A534-24B5A6C5C465}"/>
              </a:ext>
            </a:extLst>
          </xdr:cNvPr>
          <xdr:cNvSpPr txBox="1"/>
        </xdr:nvSpPr>
        <xdr:spPr>
          <a:xfrm>
            <a:off x="28056120" y="2445655"/>
            <a:ext cx="60959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8710A9B-E967-7440-A875-0327A454937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47" name="TextBox 246">
            <a:extLst>
              <a:ext uri="{FF2B5EF4-FFF2-40B4-BE49-F238E27FC236}">
                <a16:creationId xmlns:a16="http://schemas.microsoft.com/office/drawing/2014/main" id="{0F627F2C-44A5-EB4C-BD69-33DAE1E9B16D}"/>
              </a:ext>
            </a:extLst>
          </xdr:cNvPr>
          <xdr:cNvSpPr txBox="1"/>
        </xdr:nvSpPr>
        <xdr:spPr>
          <a:xfrm>
            <a:off x="27867434" y="2445655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2">
        <xdr:nvSpPr>
          <xdr:cNvPr id="248" name="TextBox 247">
            <a:extLst>
              <a:ext uri="{FF2B5EF4-FFF2-40B4-BE49-F238E27FC236}">
                <a16:creationId xmlns:a16="http://schemas.microsoft.com/office/drawing/2014/main" id="{152C0F62-0926-7543-8598-D95F398BB388}"/>
              </a:ext>
            </a:extLst>
          </xdr:cNvPr>
          <xdr:cNvSpPr txBox="1"/>
        </xdr:nvSpPr>
        <xdr:spPr>
          <a:xfrm>
            <a:off x="26368836" y="2481941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3AE48CA-939C-BA4C-8D92-3EC7518DB7D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2">
        <xdr:nvSpPr>
          <xdr:cNvPr id="249" name="TextBox 248">
            <a:extLst>
              <a:ext uri="{FF2B5EF4-FFF2-40B4-BE49-F238E27FC236}">
                <a16:creationId xmlns:a16="http://schemas.microsoft.com/office/drawing/2014/main" id="{DED3A6AF-E61C-F746-AC67-067B349E5841}"/>
              </a:ext>
            </a:extLst>
          </xdr:cNvPr>
          <xdr:cNvSpPr txBox="1"/>
        </xdr:nvSpPr>
        <xdr:spPr>
          <a:xfrm>
            <a:off x="26847807" y="2481941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5366FAC-6E84-EE42-93F9-0FEF2455B38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50" name="TextBox 249">
            <a:extLst>
              <a:ext uri="{FF2B5EF4-FFF2-40B4-BE49-F238E27FC236}">
                <a16:creationId xmlns:a16="http://schemas.microsoft.com/office/drawing/2014/main" id="{97F7654C-C133-9841-8935-7FCBA971A47F}"/>
              </a:ext>
            </a:extLst>
          </xdr:cNvPr>
          <xdr:cNvSpPr txBox="1"/>
        </xdr:nvSpPr>
        <xdr:spPr>
          <a:xfrm>
            <a:off x="29108407" y="2445655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3">
        <xdr:nvSpPr>
          <xdr:cNvPr id="251" name="TextBox 250">
            <a:extLst>
              <a:ext uri="{FF2B5EF4-FFF2-40B4-BE49-F238E27FC236}">
                <a16:creationId xmlns:a16="http://schemas.microsoft.com/office/drawing/2014/main" id="{9C23A38D-70F1-9740-9862-668DAF0F99FC}"/>
              </a:ext>
            </a:extLst>
          </xdr:cNvPr>
          <xdr:cNvSpPr txBox="1"/>
        </xdr:nvSpPr>
        <xdr:spPr>
          <a:xfrm>
            <a:off x="25323808" y="2463798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27428A6-F64E-2442-8A66-5CF9954FF3E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Verdana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3">
        <xdr:nvSpPr>
          <xdr:cNvPr id="252" name="TextBox 251">
            <a:extLst>
              <a:ext uri="{FF2B5EF4-FFF2-40B4-BE49-F238E27FC236}">
                <a16:creationId xmlns:a16="http://schemas.microsoft.com/office/drawing/2014/main" id="{C727DA9D-358C-F64D-8A23-4FD1B9E7D45C}"/>
              </a:ext>
            </a:extLst>
          </xdr:cNvPr>
          <xdr:cNvSpPr txBox="1"/>
        </xdr:nvSpPr>
        <xdr:spPr>
          <a:xfrm>
            <a:off x="25802780" y="2463798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D6816A4-0C07-A44E-A762-75721EB1826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6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53" name="TextBox 252">
            <a:extLst>
              <a:ext uri="{FF2B5EF4-FFF2-40B4-BE49-F238E27FC236}">
                <a16:creationId xmlns:a16="http://schemas.microsoft.com/office/drawing/2014/main" id="{24E05597-6074-0D49-A28F-4FF1974BB182}"/>
              </a:ext>
            </a:extLst>
          </xdr:cNvPr>
          <xdr:cNvSpPr txBox="1"/>
        </xdr:nvSpPr>
        <xdr:spPr>
          <a:xfrm>
            <a:off x="30095379" y="2445655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4">
        <xdr:nvSpPr>
          <xdr:cNvPr id="254" name="TextBox 253">
            <a:extLst>
              <a:ext uri="{FF2B5EF4-FFF2-40B4-BE49-F238E27FC236}">
                <a16:creationId xmlns:a16="http://schemas.microsoft.com/office/drawing/2014/main" id="{2390BCAE-653B-ED46-9245-29E7F88EB8A1}"/>
              </a:ext>
            </a:extLst>
          </xdr:cNvPr>
          <xdr:cNvSpPr txBox="1"/>
        </xdr:nvSpPr>
        <xdr:spPr>
          <a:xfrm>
            <a:off x="29874028" y="1337112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EC7B6F-A52E-9844-9824-CA723FDF8C9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4">
        <xdr:nvSpPr>
          <xdr:cNvPr id="255" name="TextBox 254">
            <a:extLst>
              <a:ext uri="{FF2B5EF4-FFF2-40B4-BE49-F238E27FC236}">
                <a16:creationId xmlns:a16="http://schemas.microsoft.com/office/drawing/2014/main" id="{1094C682-28E6-F441-9872-6B52E04C540D}"/>
              </a:ext>
            </a:extLst>
          </xdr:cNvPr>
          <xdr:cNvSpPr txBox="1"/>
        </xdr:nvSpPr>
        <xdr:spPr>
          <a:xfrm>
            <a:off x="30352999" y="1337112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73E4FC-C595-5548-BA6E-A902D79A5A7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5">
        <xdr:nvSpPr>
          <xdr:cNvPr id="257" name="TextBox 256">
            <a:extLst>
              <a:ext uri="{FF2B5EF4-FFF2-40B4-BE49-F238E27FC236}">
                <a16:creationId xmlns:a16="http://schemas.microsoft.com/office/drawing/2014/main" id="{EBA8C75F-15CC-5C47-BD5C-701417A202B2}"/>
              </a:ext>
            </a:extLst>
          </xdr:cNvPr>
          <xdr:cNvSpPr txBox="1"/>
        </xdr:nvSpPr>
        <xdr:spPr>
          <a:xfrm>
            <a:off x="28847144" y="1355256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81E3432-5C5D-8A4E-B69C-7808EC01358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5">
        <xdr:nvSpPr>
          <xdr:cNvPr id="258" name="TextBox 257">
            <a:extLst>
              <a:ext uri="{FF2B5EF4-FFF2-40B4-BE49-F238E27FC236}">
                <a16:creationId xmlns:a16="http://schemas.microsoft.com/office/drawing/2014/main" id="{1B7B12D5-CBE5-1441-B306-BDE12777DE10}"/>
              </a:ext>
            </a:extLst>
          </xdr:cNvPr>
          <xdr:cNvSpPr txBox="1"/>
        </xdr:nvSpPr>
        <xdr:spPr>
          <a:xfrm>
            <a:off x="29271687" y="1337113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818879F-D36D-4D45-9C8F-F18486FB1A3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6">
        <xdr:nvSpPr>
          <xdr:cNvPr id="260" name="TextBox 259">
            <a:extLst>
              <a:ext uri="{FF2B5EF4-FFF2-40B4-BE49-F238E27FC236}">
                <a16:creationId xmlns:a16="http://schemas.microsoft.com/office/drawing/2014/main" id="{90D84400-C270-C547-847B-5822A6D24AF4}"/>
              </a:ext>
            </a:extLst>
          </xdr:cNvPr>
          <xdr:cNvSpPr txBox="1"/>
        </xdr:nvSpPr>
        <xdr:spPr>
          <a:xfrm>
            <a:off x="27638834" y="1300823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2A7EED-65B3-8E43-BFEE-692B4489A7D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6">
        <xdr:nvSpPr>
          <xdr:cNvPr id="261" name="TextBox 260">
            <a:extLst>
              <a:ext uri="{FF2B5EF4-FFF2-40B4-BE49-F238E27FC236}">
                <a16:creationId xmlns:a16="http://schemas.microsoft.com/office/drawing/2014/main" id="{FF38CD1F-A4B3-E345-ACF7-6945A01301A0}"/>
              </a:ext>
            </a:extLst>
          </xdr:cNvPr>
          <xdr:cNvSpPr txBox="1"/>
        </xdr:nvSpPr>
        <xdr:spPr>
          <a:xfrm>
            <a:off x="28063377" y="1300823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7DB14D-D7EF-3A48-B044-F06D7EE93F5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7">
        <xdr:nvSpPr>
          <xdr:cNvPr id="263" name="TextBox 262">
            <a:extLst>
              <a:ext uri="{FF2B5EF4-FFF2-40B4-BE49-F238E27FC236}">
                <a16:creationId xmlns:a16="http://schemas.microsoft.com/office/drawing/2014/main" id="{F0E5E0F7-FA18-7149-8A0A-AD24C16A6B31}"/>
              </a:ext>
            </a:extLst>
          </xdr:cNvPr>
          <xdr:cNvSpPr txBox="1"/>
        </xdr:nvSpPr>
        <xdr:spPr>
          <a:xfrm>
            <a:off x="26376093" y="1337109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C360C78-6844-9741-AD8A-22BD5986E0D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7">
        <xdr:nvSpPr>
          <xdr:cNvPr id="264" name="TextBox 263">
            <a:extLst>
              <a:ext uri="{FF2B5EF4-FFF2-40B4-BE49-F238E27FC236}">
                <a16:creationId xmlns:a16="http://schemas.microsoft.com/office/drawing/2014/main" id="{2D7A60FB-5D98-4A44-B146-03DFFFC47FAA}"/>
              </a:ext>
            </a:extLst>
          </xdr:cNvPr>
          <xdr:cNvSpPr txBox="1"/>
        </xdr:nvSpPr>
        <xdr:spPr>
          <a:xfrm>
            <a:off x="26855064" y="1337109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2A87AB0-B28B-F744-BA4F-4237D467377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J18">
        <xdr:nvSpPr>
          <xdr:cNvPr id="266" name="TextBox 265">
            <a:extLst>
              <a:ext uri="{FF2B5EF4-FFF2-40B4-BE49-F238E27FC236}">
                <a16:creationId xmlns:a16="http://schemas.microsoft.com/office/drawing/2014/main" id="{84E9D992-C719-6745-AB9F-141C8CEF946C}"/>
              </a:ext>
            </a:extLst>
          </xdr:cNvPr>
          <xdr:cNvSpPr txBox="1"/>
        </xdr:nvSpPr>
        <xdr:spPr>
          <a:xfrm>
            <a:off x="25331065" y="131896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ED0DE6-9E5C-3F4C-BD20-278E55C9077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267" name="TextBox 266">
            <a:extLst>
              <a:ext uri="{FF2B5EF4-FFF2-40B4-BE49-F238E27FC236}">
                <a16:creationId xmlns:a16="http://schemas.microsoft.com/office/drawing/2014/main" id="{A6ABD100-5A88-6C41-BB21-EA3CB14A8F9F}"/>
              </a:ext>
            </a:extLst>
          </xdr:cNvPr>
          <xdr:cNvSpPr txBox="1"/>
        </xdr:nvSpPr>
        <xdr:spPr>
          <a:xfrm>
            <a:off x="25810037" y="131896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A64FC-23AB-1447-ABDD-3135B88DB7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86B8F4F7-93F6-1448-B8FD-CC768339C821}"/>
              </a:ext>
            </a:extLst>
          </xdr:cNvPr>
          <xdr:cNvGrpSpPr/>
        </xdr:nvGrpSpPr>
        <xdr:grpSpPr>
          <a:xfrm>
            <a:off x="25334694" y="3508843"/>
            <a:ext cx="5329509" cy="541848"/>
            <a:chOff x="23810694" y="3327414"/>
            <a:chExt cx="5002938" cy="514634"/>
          </a:xfrm>
        </xdr:grpSpPr>
        <xdr:sp macro="" textlink="Location1ANALYSIS!J4">
          <xdr:nvSpPr>
            <xdr:cNvPr id="224" name="TextBox 223">
              <a:extLst>
                <a:ext uri="{FF2B5EF4-FFF2-40B4-BE49-F238E27FC236}">
                  <a16:creationId xmlns:a16="http://schemas.microsoft.com/office/drawing/2014/main" id="{8DE9B3A0-2588-4441-B3CC-8133AD0D9B8C}"/>
                </a:ext>
              </a:extLst>
            </xdr:cNvPr>
            <xdr:cNvSpPr txBox="1"/>
          </xdr:nvSpPr>
          <xdr:spPr>
            <a:xfrm>
              <a:off x="28081514" y="3363703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D2D3680-2DE4-4145-A686-48523359C01C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4">
          <xdr:nvSpPr>
            <xdr:cNvPr id="225" name="TextBox 224">
              <a:extLst>
                <a:ext uri="{FF2B5EF4-FFF2-40B4-BE49-F238E27FC236}">
                  <a16:creationId xmlns:a16="http://schemas.microsoft.com/office/drawing/2014/main" id="{5EFD4B5C-0CAB-C148-AB0F-991BFBD0231D}"/>
                </a:ext>
              </a:extLst>
            </xdr:cNvPr>
            <xdr:cNvSpPr txBox="1"/>
          </xdr:nvSpPr>
          <xdr:spPr>
            <a:xfrm>
              <a:off x="28506057" y="3363703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CAE114C5-A152-E24F-85D7-39877A0986F0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0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J5">
          <xdr:nvSpPr>
            <xdr:cNvPr id="227" name="TextBox 226">
              <a:extLst>
                <a:ext uri="{FF2B5EF4-FFF2-40B4-BE49-F238E27FC236}">
                  <a16:creationId xmlns:a16="http://schemas.microsoft.com/office/drawing/2014/main" id="{D86FF4DE-6CC8-7E46-AF0B-46C9A6BE4354}"/>
                </a:ext>
              </a:extLst>
            </xdr:cNvPr>
            <xdr:cNvSpPr txBox="1"/>
          </xdr:nvSpPr>
          <xdr:spPr>
            <a:xfrm>
              <a:off x="27109059" y="336370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7135652-0B6F-C346-8DD1-3B907017035A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1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5">
          <xdr:nvSpPr>
            <xdr:cNvPr id="228" name="TextBox 227">
              <a:extLst>
                <a:ext uri="{FF2B5EF4-FFF2-40B4-BE49-F238E27FC236}">
                  <a16:creationId xmlns:a16="http://schemas.microsoft.com/office/drawing/2014/main" id="{EF611D09-5E7A-B946-93CC-8E5BC87ADCE4}"/>
                </a:ext>
              </a:extLst>
            </xdr:cNvPr>
            <xdr:cNvSpPr txBox="1"/>
          </xdr:nvSpPr>
          <xdr:spPr>
            <a:xfrm>
              <a:off x="27533602" y="336370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74577C5A-6073-D24C-BBF4-F7D403D2A8A5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3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J$8">
          <xdr:nvSpPr>
            <xdr:cNvPr id="230" name="TextBox 229">
              <a:extLst>
                <a:ext uri="{FF2B5EF4-FFF2-40B4-BE49-F238E27FC236}">
                  <a16:creationId xmlns:a16="http://schemas.microsoft.com/office/drawing/2014/main" id="{7896CAA1-FB88-5F4D-B6AA-E1805467653F}"/>
                </a:ext>
              </a:extLst>
            </xdr:cNvPr>
            <xdr:cNvSpPr txBox="1"/>
          </xdr:nvSpPr>
          <xdr:spPr>
            <a:xfrm>
              <a:off x="25955177" y="332741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D3796CFC-108A-5445-83D4-8AC8C237963D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2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K$8">
          <xdr:nvSpPr>
            <xdr:cNvPr id="231" name="TextBox 230">
              <a:extLst>
                <a:ext uri="{FF2B5EF4-FFF2-40B4-BE49-F238E27FC236}">
                  <a16:creationId xmlns:a16="http://schemas.microsoft.com/office/drawing/2014/main" id="{A9C62B00-A2E0-2842-80F6-1E8550FB8B5D}"/>
                </a:ext>
              </a:extLst>
            </xdr:cNvPr>
            <xdr:cNvSpPr txBox="1"/>
          </xdr:nvSpPr>
          <xdr:spPr>
            <a:xfrm>
              <a:off x="26379720" y="3327414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902410FE-FF77-364E-B1B5-973482A1F992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2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J$7">
          <xdr:nvSpPr>
            <xdr:cNvPr id="233" name="TextBox 232">
              <a:extLst>
                <a:ext uri="{FF2B5EF4-FFF2-40B4-BE49-F238E27FC236}">
                  <a16:creationId xmlns:a16="http://schemas.microsoft.com/office/drawing/2014/main" id="{CBCB3E0C-1893-AF46-BBBB-9FE8341148EC}"/>
                </a:ext>
              </a:extLst>
            </xdr:cNvPr>
            <xdr:cNvSpPr txBox="1"/>
          </xdr:nvSpPr>
          <xdr:spPr>
            <a:xfrm>
              <a:off x="24801293" y="3363700"/>
              <a:ext cx="2948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E9CBB08-01B7-564D-BE07-686A929625FE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1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$K$7">
          <xdr:nvSpPr>
            <xdr:cNvPr id="234" name="TextBox 233">
              <a:extLst>
                <a:ext uri="{FF2B5EF4-FFF2-40B4-BE49-F238E27FC236}">
                  <a16:creationId xmlns:a16="http://schemas.microsoft.com/office/drawing/2014/main" id="{8B88283E-AF59-1F4B-BC82-F63DB039A983}"/>
                </a:ext>
              </a:extLst>
            </xdr:cNvPr>
            <xdr:cNvSpPr txBox="1"/>
          </xdr:nvSpPr>
          <xdr:spPr>
            <a:xfrm>
              <a:off x="25225836" y="3363700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5D453E1B-290E-554D-AACF-4E90E4B55532}" type="TxLink">
                <a:rPr lang="en-US" sz="2400" b="0" i="0" u="none" strike="noStrike">
                  <a:solidFill>
                    <a:srgbClr val="000000"/>
                  </a:solidFill>
                  <a:latin typeface="Verdana"/>
                  <a:ea typeface="Verdana"/>
                  <a:cs typeface="Verdana"/>
                </a:rPr>
                <a:pPr/>
                <a:t>1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J8">
          <xdr:nvSpPr>
            <xdr:cNvPr id="236" name="TextBox 235">
              <a:extLst>
                <a:ext uri="{FF2B5EF4-FFF2-40B4-BE49-F238E27FC236}">
                  <a16:creationId xmlns:a16="http://schemas.microsoft.com/office/drawing/2014/main" id="{0B4C49F5-6F98-EA42-8803-3961584CEA4A}"/>
                </a:ext>
              </a:extLst>
            </xdr:cNvPr>
            <xdr:cNvSpPr txBox="1"/>
          </xdr:nvSpPr>
          <xdr:spPr>
            <a:xfrm>
              <a:off x="23810694" y="3345557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4FCB2D3A-B36F-DE46-A351-5C5C443C658B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2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Location1ANALYSIS!K8">
          <xdr:nvSpPr>
            <xdr:cNvPr id="237" name="TextBox 236">
              <a:extLst>
                <a:ext uri="{FF2B5EF4-FFF2-40B4-BE49-F238E27FC236}">
                  <a16:creationId xmlns:a16="http://schemas.microsoft.com/office/drawing/2014/main" id="{5F9CE1BB-F535-C645-9990-16C954A29F45}"/>
                </a:ext>
              </a:extLst>
            </xdr:cNvPr>
            <xdr:cNvSpPr txBox="1"/>
          </xdr:nvSpPr>
          <xdr:spPr>
            <a:xfrm>
              <a:off x="24235237" y="3345557"/>
              <a:ext cx="307575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fld id="{6869A09F-A228-DE4D-BE93-230C2AB09395}" type="TxLink">
                <a:rPr lang="en-US" sz="24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/>
                <a:t>2</a:t>
              </a:fld>
              <a:endParaRPr lang="en-US" sz="2400" b="1" i="0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6" name="TextBox 255">
              <a:extLst>
                <a:ext uri="{FF2B5EF4-FFF2-40B4-BE49-F238E27FC236}">
                  <a16:creationId xmlns:a16="http://schemas.microsoft.com/office/drawing/2014/main" id="{679399FE-DD58-A647-BA80-0C200EBF64EC}"/>
                </a:ext>
              </a:extLst>
            </xdr:cNvPr>
            <xdr:cNvSpPr txBox="1"/>
          </xdr:nvSpPr>
          <xdr:spPr>
            <a:xfrm>
              <a:off x="24050171" y="3378184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59" name="TextBox 258">
              <a:extLst>
                <a:ext uri="{FF2B5EF4-FFF2-40B4-BE49-F238E27FC236}">
                  <a16:creationId xmlns:a16="http://schemas.microsoft.com/office/drawing/2014/main" id="{59D2E21E-CFEE-FB43-9BB3-55012FDBE315}"/>
                </a:ext>
              </a:extLst>
            </xdr:cNvPr>
            <xdr:cNvSpPr txBox="1"/>
          </xdr:nvSpPr>
          <xdr:spPr>
            <a:xfrm>
              <a:off x="25000859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2" name="TextBox 261">
              <a:extLst>
                <a:ext uri="{FF2B5EF4-FFF2-40B4-BE49-F238E27FC236}">
                  <a16:creationId xmlns:a16="http://schemas.microsoft.com/office/drawing/2014/main" id="{5172622E-1DE8-3443-B5AD-4B74B68A346A}"/>
                </a:ext>
              </a:extLst>
            </xdr:cNvPr>
            <xdr:cNvSpPr txBox="1"/>
          </xdr:nvSpPr>
          <xdr:spPr>
            <a:xfrm>
              <a:off x="26187405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5" name="TextBox 264">
              <a:extLst>
                <a:ext uri="{FF2B5EF4-FFF2-40B4-BE49-F238E27FC236}">
                  <a16:creationId xmlns:a16="http://schemas.microsoft.com/office/drawing/2014/main" id="{23015A49-4C29-E849-AE7E-D0DB83D497FD}"/>
                </a:ext>
              </a:extLst>
            </xdr:cNvPr>
            <xdr:cNvSpPr txBox="1"/>
          </xdr:nvSpPr>
          <xdr:spPr>
            <a:xfrm>
              <a:off x="27373950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1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#REF!">
          <xdr:nvSpPr>
            <xdr:cNvPr id="268" name="TextBox 267">
              <a:extLst>
                <a:ext uri="{FF2B5EF4-FFF2-40B4-BE49-F238E27FC236}">
                  <a16:creationId xmlns:a16="http://schemas.microsoft.com/office/drawing/2014/main" id="{4817FF6A-591E-694C-8DF7-9A521DAF1646}"/>
                </a:ext>
              </a:extLst>
            </xdr:cNvPr>
            <xdr:cNvSpPr txBox="1"/>
          </xdr:nvSpPr>
          <xdr:spPr>
            <a:xfrm>
              <a:off x="28306493" y="3378197"/>
              <a:ext cx="307575" cy="463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400" b="0" i="0" u="none" strike="noStrike">
                  <a:solidFill>
                    <a:schemeClr val="tx1"/>
                  </a:solidFill>
                  <a:latin typeface="Arial"/>
                  <a:ea typeface="Arial" charset="0"/>
                  <a:cs typeface="Arial"/>
                </a:rPr>
                <a:t>/</a:t>
              </a:r>
              <a:endParaRPr lang="en-US" sz="24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pic>
        <xdr:nvPicPr>
          <xdr:cNvPr id="270" name="Picture 269">
            <a:extLst>
              <a:ext uri="{FF2B5EF4-FFF2-40B4-BE49-F238E27FC236}">
                <a16:creationId xmlns:a16="http://schemas.microsoft.com/office/drawing/2014/main" id="{EA593EFC-4179-3746-9F7E-701F3E473F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5341943" y="5060778"/>
            <a:ext cx="5328252" cy="3279851"/>
          </a:xfrm>
          <a:prstGeom prst="rect">
            <a:avLst/>
          </a:prstGeom>
        </xdr:spPr>
      </xdr:pic>
      <xdr:sp macro="" textlink="Location2ANALYSIS!#REF!">
        <xdr:nvSpPr>
          <xdr:cNvPr id="271" name="TextBox 270">
            <a:extLst>
              <a:ext uri="{FF2B5EF4-FFF2-40B4-BE49-F238E27FC236}">
                <a16:creationId xmlns:a16="http://schemas.microsoft.com/office/drawing/2014/main" id="{F29C8102-64EE-8049-8143-FB843F31380B}"/>
              </a:ext>
            </a:extLst>
          </xdr:cNvPr>
          <xdr:cNvSpPr txBox="1"/>
        </xdr:nvSpPr>
        <xdr:spPr>
          <a:xfrm>
            <a:off x="25385519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40F8077-0BD9-634C-8514-5DDABFD9967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4">
        <xdr:nvSpPr>
          <xdr:cNvPr id="272" name="TextBox 271">
            <a:extLst>
              <a:ext uri="{FF2B5EF4-FFF2-40B4-BE49-F238E27FC236}">
                <a16:creationId xmlns:a16="http://schemas.microsoft.com/office/drawing/2014/main" id="{19F070C2-9194-7847-9867-F6C6FC7E40A5}"/>
              </a:ext>
            </a:extLst>
          </xdr:cNvPr>
          <xdr:cNvSpPr txBox="1"/>
        </xdr:nvSpPr>
        <xdr:spPr>
          <a:xfrm>
            <a:off x="25810029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00955-6D13-A443-86D4-76FDB3129AA4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">
        <xdr:nvSpPr>
          <xdr:cNvPr id="273" name="TextBox 272">
            <a:extLst>
              <a:ext uri="{FF2B5EF4-FFF2-40B4-BE49-F238E27FC236}">
                <a16:creationId xmlns:a16="http://schemas.microsoft.com/office/drawing/2014/main" id="{E1DCA745-CF26-E049-9E76-C745470F90F0}"/>
              </a:ext>
            </a:extLst>
          </xdr:cNvPr>
          <xdr:cNvSpPr txBox="1"/>
        </xdr:nvSpPr>
        <xdr:spPr>
          <a:xfrm>
            <a:off x="25566914" y="5529941"/>
            <a:ext cx="362004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0" i="0">
                <a:solidFill>
                  <a:schemeClr val="tx1"/>
                </a:solidFill>
              </a:rPr>
              <a:t>/</a:t>
            </a:r>
          </a:p>
        </xdr:txBody>
      </xdr:sp>
      <xdr:sp macro="" textlink="Location2ANALYSIS!#REF!">
        <xdr:nvSpPr>
          <xdr:cNvPr id="274" name="TextBox 273">
            <a:extLst>
              <a:ext uri="{FF2B5EF4-FFF2-40B4-BE49-F238E27FC236}">
                <a16:creationId xmlns:a16="http://schemas.microsoft.com/office/drawing/2014/main" id="{CA8F0F1B-0EE7-9940-A9D9-FF1892408CBA}"/>
              </a:ext>
            </a:extLst>
          </xdr:cNvPr>
          <xdr:cNvSpPr txBox="1"/>
        </xdr:nvSpPr>
        <xdr:spPr>
          <a:xfrm>
            <a:off x="26318031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3D26E6F-7A09-8546-BE2F-88D4A6CAACB3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5">
        <xdr:nvSpPr>
          <xdr:cNvPr id="275" name="TextBox 274">
            <a:extLst>
              <a:ext uri="{FF2B5EF4-FFF2-40B4-BE49-F238E27FC236}">
                <a16:creationId xmlns:a16="http://schemas.microsoft.com/office/drawing/2014/main" id="{CF27BA82-78A5-C44D-A72A-E7995BAAD89D}"/>
              </a:ext>
            </a:extLst>
          </xdr:cNvPr>
          <xdr:cNvSpPr txBox="1"/>
        </xdr:nvSpPr>
        <xdr:spPr>
          <a:xfrm>
            <a:off x="26561144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D67744-FE36-B74E-91F5-5F494FD82E0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76" name="TextBox 275">
            <a:extLst>
              <a:ext uri="{FF2B5EF4-FFF2-40B4-BE49-F238E27FC236}">
                <a16:creationId xmlns:a16="http://schemas.microsoft.com/office/drawing/2014/main" id="{97EAE0C8-33C5-3742-B0B3-8982E0F04373}"/>
              </a:ext>
            </a:extLst>
          </xdr:cNvPr>
          <xdr:cNvSpPr txBox="1"/>
        </xdr:nvSpPr>
        <xdr:spPr>
          <a:xfrm>
            <a:off x="26553888" y="5529941"/>
            <a:ext cx="362003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77" name="TextBox 276">
            <a:extLst>
              <a:ext uri="{FF2B5EF4-FFF2-40B4-BE49-F238E27FC236}">
                <a16:creationId xmlns:a16="http://schemas.microsoft.com/office/drawing/2014/main" id="{2B7D7411-92D8-7C49-AC7F-BB0FACEF3196}"/>
              </a:ext>
            </a:extLst>
          </xdr:cNvPr>
          <xdr:cNvSpPr txBox="1"/>
        </xdr:nvSpPr>
        <xdr:spPr>
          <a:xfrm>
            <a:off x="27631577" y="5529941"/>
            <a:ext cx="2948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62A01C1-B4D3-A14F-8F40-34CFE84384B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79" name="TextBox 278">
            <a:extLst>
              <a:ext uri="{FF2B5EF4-FFF2-40B4-BE49-F238E27FC236}">
                <a16:creationId xmlns:a16="http://schemas.microsoft.com/office/drawing/2014/main" id="{D3F0A302-FCA6-7D4F-BCBE-5B1CAF72669E}"/>
              </a:ext>
            </a:extLst>
          </xdr:cNvPr>
          <xdr:cNvSpPr txBox="1"/>
        </xdr:nvSpPr>
        <xdr:spPr>
          <a:xfrm>
            <a:off x="27867434" y="5529941"/>
            <a:ext cx="307575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80" name="TextBox 279">
            <a:extLst>
              <a:ext uri="{FF2B5EF4-FFF2-40B4-BE49-F238E27FC236}">
                <a16:creationId xmlns:a16="http://schemas.microsoft.com/office/drawing/2014/main" id="{F9E12FA1-E94F-5A4F-BCCD-475EE7909048}"/>
              </a:ext>
            </a:extLst>
          </xdr:cNvPr>
          <xdr:cNvSpPr txBox="1"/>
        </xdr:nvSpPr>
        <xdr:spPr>
          <a:xfrm>
            <a:off x="28872550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9211E6-A3F4-A449-90AA-2754860E528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7">
        <xdr:nvSpPr>
          <xdr:cNvPr id="281" name="TextBox 280">
            <a:extLst>
              <a:ext uri="{FF2B5EF4-FFF2-40B4-BE49-F238E27FC236}">
                <a16:creationId xmlns:a16="http://schemas.microsoft.com/office/drawing/2014/main" id="{49D74557-B782-6E40-8243-8542CCFC827A}"/>
              </a:ext>
            </a:extLst>
          </xdr:cNvPr>
          <xdr:cNvSpPr txBox="1"/>
        </xdr:nvSpPr>
        <xdr:spPr>
          <a:xfrm>
            <a:off x="28553230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7E16266-A6DD-634E-BF3C-43EC7D8D20D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2" name="TextBox 281">
            <a:extLst>
              <a:ext uri="{FF2B5EF4-FFF2-40B4-BE49-F238E27FC236}">
                <a16:creationId xmlns:a16="http://schemas.microsoft.com/office/drawing/2014/main" id="{425D7BD8-B843-5A46-BC6B-3138E0442BE7}"/>
              </a:ext>
            </a:extLst>
          </xdr:cNvPr>
          <xdr:cNvSpPr txBox="1"/>
        </xdr:nvSpPr>
        <xdr:spPr>
          <a:xfrm>
            <a:off x="29108407" y="5529941"/>
            <a:ext cx="362004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83" name="TextBox 282">
            <a:extLst>
              <a:ext uri="{FF2B5EF4-FFF2-40B4-BE49-F238E27FC236}">
                <a16:creationId xmlns:a16="http://schemas.microsoft.com/office/drawing/2014/main" id="{CCC00266-877F-2B41-AD8A-ACEBE037EDFE}"/>
              </a:ext>
            </a:extLst>
          </xdr:cNvPr>
          <xdr:cNvSpPr txBox="1"/>
        </xdr:nvSpPr>
        <xdr:spPr>
          <a:xfrm>
            <a:off x="29877665" y="5529941"/>
            <a:ext cx="362003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FB1C1E9-38E0-5042-9E3B-C32A9430A5F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8">
        <xdr:nvSpPr>
          <xdr:cNvPr id="284" name="TextBox 283">
            <a:extLst>
              <a:ext uri="{FF2B5EF4-FFF2-40B4-BE49-F238E27FC236}">
                <a16:creationId xmlns:a16="http://schemas.microsoft.com/office/drawing/2014/main" id="{7E27C3B7-86E1-2D48-91AF-DF43D7D75776}"/>
              </a:ext>
            </a:extLst>
          </xdr:cNvPr>
          <xdr:cNvSpPr txBox="1"/>
        </xdr:nvSpPr>
        <xdr:spPr>
          <a:xfrm>
            <a:off x="29503916" y="5529941"/>
            <a:ext cx="307575" cy="4861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1BB294-1C96-7945-9495-D51AA880E64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5" name="TextBox 284">
            <a:extLst>
              <a:ext uri="{FF2B5EF4-FFF2-40B4-BE49-F238E27FC236}">
                <a16:creationId xmlns:a16="http://schemas.microsoft.com/office/drawing/2014/main" id="{7B0EF3E8-1490-444A-81A5-9C8D55E583C0}"/>
              </a:ext>
            </a:extLst>
          </xdr:cNvPr>
          <xdr:cNvSpPr txBox="1"/>
        </xdr:nvSpPr>
        <xdr:spPr>
          <a:xfrm>
            <a:off x="30113522" y="5529941"/>
            <a:ext cx="362003" cy="4819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86" name="TextBox 285">
            <a:extLst>
              <a:ext uri="{FF2B5EF4-FFF2-40B4-BE49-F238E27FC236}">
                <a16:creationId xmlns:a16="http://schemas.microsoft.com/office/drawing/2014/main" id="{1216AEB5-695A-4E41-98D8-DD0063DE7B94}"/>
              </a:ext>
            </a:extLst>
          </xdr:cNvPr>
          <xdr:cNvSpPr txBox="1"/>
        </xdr:nvSpPr>
        <xdr:spPr>
          <a:xfrm>
            <a:off x="25374633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C1BCC6-93AD-224B-85B8-970A260AADD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9">
        <xdr:nvSpPr>
          <xdr:cNvPr id="287" name="TextBox 286">
            <a:extLst>
              <a:ext uri="{FF2B5EF4-FFF2-40B4-BE49-F238E27FC236}">
                <a16:creationId xmlns:a16="http://schemas.microsoft.com/office/drawing/2014/main" id="{3895990A-C0C0-C047-A32A-6DA1BDA55E1D}"/>
              </a:ext>
            </a:extLst>
          </xdr:cNvPr>
          <xdr:cNvSpPr txBox="1"/>
        </xdr:nvSpPr>
        <xdr:spPr>
          <a:xfrm>
            <a:off x="25799143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5242CDC-70B0-3540-9922-50CE455DA44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88" name="TextBox 287">
            <a:extLst>
              <a:ext uri="{FF2B5EF4-FFF2-40B4-BE49-F238E27FC236}">
                <a16:creationId xmlns:a16="http://schemas.microsoft.com/office/drawing/2014/main" id="{B41911BA-2868-EA40-8F99-F6F948293855}"/>
              </a:ext>
            </a:extLst>
          </xdr:cNvPr>
          <xdr:cNvSpPr txBox="1"/>
        </xdr:nvSpPr>
        <xdr:spPr>
          <a:xfrm>
            <a:off x="25556028" y="6625769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89" name="TextBox 288">
            <a:extLst>
              <a:ext uri="{FF2B5EF4-FFF2-40B4-BE49-F238E27FC236}">
                <a16:creationId xmlns:a16="http://schemas.microsoft.com/office/drawing/2014/main" id="{78D61AB6-B560-0347-B6CD-D8738E4DCFEC}"/>
              </a:ext>
            </a:extLst>
          </xdr:cNvPr>
          <xdr:cNvSpPr txBox="1"/>
        </xdr:nvSpPr>
        <xdr:spPr>
          <a:xfrm>
            <a:off x="26307145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0A8AD7C-E914-A143-A10E-A6FC4B81828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0">
        <xdr:nvSpPr>
          <xdr:cNvPr id="290" name="TextBox 289">
            <a:extLst>
              <a:ext uri="{FF2B5EF4-FFF2-40B4-BE49-F238E27FC236}">
                <a16:creationId xmlns:a16="http://schemas.microsoft.com/office/drawing/2014/main" id="{1519352A-2F8F-5849-BBE3-C99D18DCEC28}"/>
              </a:ext>
            </a:extLst>
          </xdr:cNvPr>
          <xdr:cNvSpPr txBox="1"/>
        </xdr:nvSpPr>
        <xdr:spPr>
          <a:xfrm>
            <a:off x="26550258" y="6625769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7BF618-6AB7-F44C-A0D0-3E70A767825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1" name="TextBox 290">
            <a:extLst>
              <a:ext uri="{FF2B5EF4-FFF2-40B4-BE49-F238E27FC236}">
                <a16:creationId xmlns:a16="http://schemas.microsoft.com/office/drawing/2014/main" id="{9AB080F8-CAD9-F64D-962D-9734A2B776D3}"/>
              </a:ext>
            </a:extLst>
          </xdr:cNvPr>
          <xdr:cNvSpPr txBox="1"/>
        </xdr:nvSpPr>
        <xdr:spPr>
          <a:xfrm>
            <a:off x="26543002" y="6625769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92" name="TextBox 291">
            <a:extLst>
              <a:ext uri="{FF2B5EF4-FFF2-40B4-BE49-F238E27FC236}">
                <a16:creationId xmlns:a16="http://schemas.microsoft.com/office/drawing/2014/main" id="{388072F6-1A4A-554A-A960-AA0B1D3CE6C7}"/>
              </a:ext>
            </a:extLst>
          </xdr:cNvPr>
          <xdr:cNvSpPr txBox="1"/>
        </xdr:nvSpPr>
        <xdr:spPr>
          <a:xfrm>
            <a:off x="27620691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56EDD30-FF5F-9D4A-AEB5-E1EAFECC4A8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4" name="TextBox 293">
            <a:extLst>
              <a:ext uri="{FF2B5EF4-FFF2-40B4-BE49-F238E27FC236}">
                <a16:creationId xmlns:a16="http://schemas.microsoft.com/office/drawing/2014/main" id="{9EEB0AE3-9668-0A49-B372-DCFE333FFDAF}"/>
              </a:ext>
            </a:extLst>
          </xdr:cNvPr>
          <xdr:cNvSpPr txBox="1"/>
        </xdr:nvSpPr>
        <xdr:spPr>
          <a:xfrm>
            <a:off x="27856548" y="6625769"/>
            <a:ext cx="307575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95" name="TextBox 294">
            <a:extLst>
              <a:ext uri="{FF2B5EF4-FFF2-40B4-BE49-F238E27FC236}">
                <a16:creationId xmlns:a16="http://schemas.microsoft.com/office/drawing/2014/main" id="{DC2AA207-210D-E247-8D0A-8D2BB1A7E83C}"/>
              </a:ext>
            </a:extLst>
          </xdr:cNvPr>
          <xdr:cNvSpPr txBox="1"/>
        </xdr:nvSpPr>
        <xdr:spPr>
          <a:xfrm>
            <a:off x="28861664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0BBA6BA-5625-1E4E-A825-0EB52740B41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2">
        <xdr:nvSpPr>
          <xdr:cNvPr id="296" name="TextBox 295">
            <a:extLst>
              <a:ext uri="{FF2B5EF4-FFF2-40B4-BE49-F238E27FC236}">
                <a16:creationId xmlns:a16="http://schemas.microsoft.com/office/drawing/2014/main" id="{B669560B-DE8B-3F4C-B103-A8DCD9158BB7}"/>
              </a:ext>
            </a:extLst>
          </xdr:cNvPr>
          <xdr:cNvSpPr txBox="1"/>
        </xdr:nvSpPr>
        <xdr:spPr>
          <a:xfrm>
            <a:off x="28542344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9BDD5C5-DB97-FC44-8643-9A5ECF7057B6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297" name="TextBox 296">
            <a:extLst>
              <a:ext uri="{FF2B5EF4-FFF2-40B4-BE49-F238E27FC236}">
                <a16:creationId xmlns:a16="http://schemas.microsoft.com/office/drawing/2014/main" id="{E1482536-6EC9-6649-816B-B9AAB41728FD}"/>
              </a:ext>
            </a:extLst>
          </xdr:cNvPr>
          <xdr:cNvSpPr txBox="1"/>
        </xdr:nvSpPr>
        <xdr:spPr>
          <a:xfrm>
            <a:off x="29097521" y="6625769"/>
            <a:ext cx="362004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298" name="TextBox 297">
            <a:extLst>
              <a:ext uri="{FF2B5EF4-FFF2-40B4-BE49-F238E27FC236}">
                <a16:creationId xmlns:a16="http://schemas.microsoft.com/office/drawing/2014/main" id="{FA47B64B-7BC0-674D-AFAF-955E75345C11}"/>
              </a:ext>
            </a:extLst>
          </xdr:cNvPr>
          <xdr:cNvSpPr txBox="1"/>
        </xdr:nvSpPr>
        <xdr:spPr>
          <a:xfrm>
            <a:off x="29866779" y="6625769"/>
            <a:ext cx="362003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69B685-DE2D-8049-BC53-ECFCCF4BFE9E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3">
        <xdr:nvSpPr>
          <xdr:cNvPr id="299" name="TextBox 298">
            <a:extLst>
              <a:ext uri="{FF2B5EF4-FFF2-40B4-BE49-F238E27FC236}">
                <a16:creationId xmlns:a16="http://schemas.microsoft.com/office/drawing/2014/main" id="{C27DF544-63A9-3F44-B482-348408E8D9CE}"/>
              </a:ext>
            </a:extLst>
          </xdr:cNvPr>
          <xdr:cNvSpPr txBox="1"/>
        </xdr:nvSpPr>
        <xdr:spPr>
          <a:xfrm>
            <a:off x="29493030" y="6625769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ADD17-E7E9-5047-9B0D-E8C73F16E93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0" name="TextBox 299">
            <a:extLst>
              <a:ext uri="{FF2B5EF4-FFF2-40B4-BE49-F238E27FC236}">
                <a16:creationId xmlns:a16="http://schemas.microsoft.com/office/drawing/2014/main" id="{9FFFF917-7C52-7245-BF69-F6C712889F05}"/>
              </a:ext>
            </a:extLst>
          </xdr:cNvPr>
          <xdr:cNvSpPr txBox="1"/>
        </xdr:nvSpPr>
        <xdr:spPr>
          <a:xfrm>
            <a:off x="30102636" y="6625769"/>
            <a:ext cx="362003" cy="4910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01" name="TextBox 300">
            <a:extLst>
              <a:ext uri="{FF2B5EF4-FFF2-40B4-BE49-F238E27FC236}">
                <a16:creationId xmlns:a16="http://schemas.microsoft.com/office/drawing/2014/main" id="{34CE0CFB-EA74-1546-B5D0-FE2D5398ADFF}"/>
              </a:ext>
            </a:extLst>
          </xdr:cNvPr>
          <xdr:cNvSpPr txBox="1"/>
        </xdr:nvSpPr>
        <xdr:spPr>
          <a:xfrm>
            <a:off x="25381890" y="7739740"/>
            <a:ext cx="2948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DEAFB7-D193-5944-8711-1D472854C29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4">
        <xdr:nvSpPr>
          <xdr:cNvPr id="302" name="TextBox 301">
            <a:extLst>
              <a:ext uri="{FF2B5EF4-FFF2-40B4-BE49-F238E27FC236}">
                <a16:creationId xmlns:a16="http://schemas.microsoft.com/office/drawing/2014/main" id="{1CE09A6D-A623-6745-BBFE-30A3720D018C}"/>
              </a:ext>
            </a:extLst>
          </xdr:cNvPr>
          <xdr:cNvSpPr txBox="1"/>
        </xdr:nvSpPr>
        <xdr:spPr>
          <a:xfrm>
            <a:off x="25806400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CE1CA3-64BB-1B42-8CBF-1AD4FC8DB61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3" name="TextBox 302">
            <a:extLst>
              <a:ext uri="{FF2B5EF4-FFF2-40B4-BE49-F238E27FC236}">
                <a16:creationId xmlns:a16="http://schemas.microsoft.com/office/drawing/2014/main" id="{08365DEA-0FD8-AD4E-B87B-CA090ECCA154}"/>
              </a:ext>
            </a:extLst>
          </xdr:cNvPr>
          <xdr:cNvSpPr txBox="1"/>
        </xdr:nvSpPr>
        <xdr:spPr>
          <a:xfrm>
            <a:off x="25563285" y="773974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04" name="TextBox 303">
            <a:extLst>
              <a:ext uri="{FF2B5EF4-FFF2-40B4-BE49-F238E27FC236}">
                <a16:creationId xmlns:a16="http://schemas.microsoft.com/office/drawing/2014/main" id="{3F83B5CD-5FBC-8944-9C04-F8A56D62F380}"/>
              </a:ext>
            </a:extLst>
          </xdr:cNvPr>
          <xdr:cNvSpPr txBox="1"/>
        </xdr:nvSpPr>
        <xdr:spPr>
          <a:xfrm>
            <a:off x="26314402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0DDD1E2-759F-F84B-9AD6-89A5F52077C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5">
        <xdr:nvSpPr>
          <xdr:cNvPr id="305" name="TextBox 304">
            <a:extLst>
              <a:ext uri="{FF2B5EF4-FFF2-40B4-BE49-F238E27FC236}">
                <a16:creationId xmlns:a16="http://schemas.microsoft.com/office/drawing/2014/main" id="{90843CD3-AC3E-E145-92CD-A0D1D65E4D8C}"/>
              </a:ext>
            </a:extLst>
          </xdr:cNvPr>
          <xdr:cNvSpPr txBox="1"/>
        </xdr:nvSpPr>
        <xdr:spPr>
          <a:xfrm>
            <a:off x="26557515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54B79E-3A77-7B4B-8ACA-BA1C9B5931B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6" name="TextBox 305">
            <a:extLst>
              <a:ext uri="{FF2B5EF4-FFF2-40B4-BE49-F238E27FC236}">
                <a16:creationId xmlns:a16="http://schemas.microsoft.com/office/drawing/2014/main" id="{6EF2FA48-8009-324A-BD3F-D893435076D4}"/>
              </a:ext>
            </a:extLst>
          </xdr:cNvPr>
          <xdr:cNvSpPr txBox="1"/>
        </xdr:nvSpPr>
        <xdr:spPr>
          <a:xfrm>
            <a:off x="26550259" y="7739740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07" name="TextBox 306">
            <a:extLst>
              <a:ext uri="{FF2B5EF4-FFF2-40B4-BE49-F238E27FC236}">
                <a16:creationId xmlns:a16="http://schemas.microsoft.com/office/drawing/2014/main" id="{DF858168-C2F9-2249-B4F1-26F1751F20CF}"/>
              </a:ext>
            </a:extLst>
          </xdr:cNvPr>
          <xdr:cNvSpPr txBox="1"/>
        </xdr:nvSpPr>
        <xdr:spPr>
          <a:xfrm>
            <a:off x="27627948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C9AE186-D5CE-264C-87BE-12BBBA898EA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16">
        <xdr:nvSpPr>
          <xdr:cNvPr id="308" name="TextBox 307">
            <a:extLst>
              <a:ext uri="{FF2B5EF4-FFF2-40B4-BE49-F238E27FC236}">
                <a16:creationId xmlns:a16="http://schemas.microsoft.com/office/drawing/2014/main" id="{1B706642-9113-5F4F-97D2-B94729A1F7BB}"/>
              </a:ext>
            </a:extLst>
          </xdr:cNvPr>
          <xdr:cNvSpPr txBox="1"/>
        </xdr:nvSpPr>
        <xdr:spPr>
          <a:xfrm>
            <a:off x="27562630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B82DCF1-8DFE-634C-85F1-EF9386709DD9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09" name="TextBox 308">
            <a:extLst>
              <a:ext uri="{FF2B5EF4-FFF2-40B4-BE49-F238E27FC236}">
                <a16:creationId xmlns:a16="http://schemas.microsoft.com/office/drawing/2014/main" id="{43498A5A-3ED6-6241-AF76-FB93E1B401E4}"/>
              </a:ext>
            </a:extLst>
          </xdr:cNvPr>
          <xdr:cNvSpPr txBox="1"/>
        </xdr:nvSpPr>
        <xdr:spPr>
          <a:xfrm>
            <a:off x="27863805" y="7739740"/>
            <a:ext cx="307575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10" name="TextBox 309">
            <a:extLst>
              <a:ext uri="{FF2B5EF4-FFF2-40B4-BE49-F238E27FC236}">
                <a16:creationId xmlns:a16="http://schemas.microsoft.com/office/drawing/2014/main" id="{32FD0F3B-7DC5-7040-A80E-53C40C8A716E}"/>
              </a:ext>
            </a:extLst>
          </xdr:cNvPr>
          <xdr:cNvSpPr txBox="1"/>
        </xdr:nvSpPr>
        <xdr:spPr>
          <a:xfrm>
            <a:off x="28868921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951D2EB-127A-E542-B63D-2DE090D57428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7">
        <xdr:nvSpPr>
          <xdr:cNvPr id="311" name="TextBox 310">
            <a:extLst>
              <a:ext uri="{FF2B5EF4-FFF2-40B4-BE49-F238E27FC236}">
                <a16:creationId xmlns:a16="http://schemas.microsoft.com/office/drawing/2014/main" id="{720C68B2-5144-0744-ABAE-26D6E8813436}"/>
              </a:ext>
            </a:extLst>
          </xdr:cNvPr>
          <xdr:cNvSpPr txBox="1"/>
        </xdr:nvSpPr>
        <xdr:spPr>
          <a:xfrm>
            <a:off x="28549601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BBEA346-42A2-4E48-A843-327D3217195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12" name="TextBox 311">
            <a:extLst>
              <a:ext uri="{FF2B5EF4-FFF2-40B4-BE49-F238E27FC236}">
                <a16:creationId xmlns:a16="http://schemas.microsoft.com/office/drawing/2014/main" id="{A89EA0E5-D972-074C-A71E-6ACCA1B0E47E}"/>
              </a:ext>
            </a:extLst>
          </xdr:cNvPr>
          <xdr:cNvSpPr txBox="1"/>
        </xdr:nvSpPr>
        <xdr:spPr>
          <a:xfrm>
            <a:off x="29104778" y="7739740"/>
            <a:ext cx="362004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13" name="TextBox 312">
            <a:extLst>
              <a:ext uri="{FF2B5EF4-FFF2-40B4-BE49-F238E27FC236}">
                <a16:creationId xmlns:a16="http://schemas.microsoft.com/office/drawing/2014/main" id="{FA3E02AA-9C23-874C-954A-01C806267BDF}"/>
              </a:ext>
            </a:extLst>
          </xdr:cNvPr>
          <xdr:cNvSpPr txBox="1"/>
        </xdr:nvSpPr>
        <xdr:spPr>
          <a:xfrm>
            <a:off x="29874036" y="7739740"/>
            <a:ext cx="362003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B820509-CC39-F847-8BF1-9DE0EF0A48E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8">
        <xdr:nvSpPr>
          <xdr:cNvPr id="314" name="TextBox 313">
            <a:extLst>
              <a:ext uri="{FF2B5EF4-FFF2-40B4-BE49-F238E27FC236}">
                <a16:creationId xmlns:a16="http://schemas.microsoft.com/office/drawing/2014/main" id="{BCBFD0A7-70E0-704D-9F7A-2A24699F3029}"/>
              </a:ext>
            </a:extLst>
          </xdr:cNvPr>
          <xdr:cNvSpPr txBox="1"/>
        </xdr:nvSpPr>
        <xdr:spPr>
          <a:xfrm>
            <a:off x="29500287" y="773974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6E0148-BEAB-744A-AE32-00A18F009C10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#REF!">
        <xdr:nvSpPr>
          <xdr:cNvPr id="315" name="TextBox 314">
            <a:extLst>
              <a:ext uri="{FF2B5EF4-FFF2-40B4-BE49-F238E27FC236}">
                <a16:creationId xmlns:a16="http://schemas.microsoft.com/office/drawing/2014/main" id="{FFD24BDF-246C-2A4E-9DEC-7587197E5CD0}"/>
              </a:ext>
            </a:extLst>
          </xdr:cNvPr>
          <xdr:cNvSpPr txBox="1"/>
        </xdr:nvSpPr>
        <xdr:spPr>
          <a:xfrm>
            <a:off x="30109893" y="7739740"/>
            <a:ext cx="362003" cy="49106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0" i="0" u="none" strike="noStrike">
                <a:solidFill>
                  <a:schemeClr val="tx1"/>
                </a:solidFill>
                <a:latin typeface="Arial"/>
                <a:ea typeface="Arial" charset="0"/>
                <a:cs typeface="Arial"/>
              </a:rPr>
              <a:t>/</a:t>
            </a:r>
            <a:endParaRPr lang="en-US" sz="24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2">
        <xdr:nvSpPr>
          <xdr:cNvPr id="318" name="Rectangle 317">
            <a:extLst>
              <a:ext uri="{FF2B5EF4-FFF2-40B4-BE49-F238E27FC236}">
                <a16:creationId xmlns:a16="http://schemas.microsoft.com/office/drawing/2014/main" id="{2E587A74-AFA4-A44C-A4EC-5181A6329A6F}"/>
              </a:ext>
            </a:extLst>
          </xdr:cNvPr>
          <xdr:cNvSpPr>
            <a:spLocks noChangeAspect="1"/>
          </xdr:cNvSpPr>
        </xdr:nvSpPr>
        <xdr:spPr>
          <a:xfrm>
            <a:off x="27577147" y="4330697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7C4779B-B327-DC43-91FF-442B437677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67%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3">
        <xdr:nvSpPr>
          <xdr:cNvPr id="319" name="Rectangle 318">
            <a:extLst>
              <a:ext uri="{FF2B5EF4-FFF2-40B4-BE49-F238E27FC236}">
                <a16:creationId xmlns:a16="http://schemas.microsoft.com/office/drawing/2014/main" id="{76DF6255-49D9-E94E-85C6-96DAB3CCA907}"/>
              </a:ext>
            </a:extLst>
          </xdr:cNvPr>
          <xdr:cNvSpPr>
            <a:spLocks noChangeAspect="1"/>
          </xdr:cNvSpPr>
        </xdr:nvSpPr>
        <xdr:spPr>
          <a:xfrm>
            <a:off x="25262121" y="4312554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A64F0CE-A1A0-AF44-A6FB-3E31D95ED19E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38%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4">
        <xdr:nvSpPr>
          <xdr:cNvPr id="320" name="Rectangle 319">
            <a:extLst>
              <a:ext uri="{FF2B5EF4-FFF2-40B4-BE49-F238E27FC236}">
                <a16:creationId xmlns:a16="http://schemas.microsoft.com/office/drawing/2014/main" id="{43ABA3F6-1B24-B545-8CC1-D5D4213344DA}"/>
              </a:ext>
            </a:extLst>
          </xdr:cNvPr>
          <xdr:cNvSpPr>
            <a:spLocks noChangeAspect="1"/>
          </xdr:cNvSpPr>
        </xdr:nvSpPr>
        <xdr:spPr>
          <a:xfrm>
            <a:off x="26303522" y="4312554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77A5DDE-6025-1749-9CDC-4506DFEFFD07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100%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0">
        <xdr:nvSpPr>
          <xdr:cNvPr id="327" name="Rectangle 326">
            <a:extLst>
              <a:ext uri="{FF2B5EF4-FFF2-40B4-BE49-F238E27FC236}">
                <a16:creationId xmlns:a16="http://schemas.microsoft.com/office/drawing/2014/main" id="{83AB2E79-B9AE-694C-A8F0-FCFED5222E49}"/>
              </a:ext>
            </a:extLst>
          </xdr:cNvPr>
          <xdr:cNvSpPr>
            <a:spLocks noChangeAspect="1"/>
          </xdr:cNvSpPr>
        </xdr:nvSpPr>
        <xdr:spPr>
          <a:xfrm>
            <a:off x="25302029" y="8565241"/>
            <a:ext cx="877389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8213CA0D-6D1C-0A48-AC87-74A30E4FFF8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100%</a:t>
            </a:fld>
            <a:endParaRPr lang="en-US" sz="1000" i="0"/>
          </a:p>
        </xdr:txBody>
      </xdr:sp>
      <xdr:sp macro="" textlink="Location2ANALYSIS!L31">
        <xdr:nvSpPr>
          <xdr:cNvPr id="328" name="Rectangle 327">
            <a:extLst>
              <a:ext uri="{FF2B5EF4-FFF2-40B4-BE49-F238E27FC236}">
                <a16:creationId xmlns:a16="http://schemas.microsoft.com/office/drawing/2014/main" id="{4CA69471-D72C-6F42-AD13-84AE43420D97}"/>
              </a:ext>
            </a:extLst>
          </xdr:cNvPr>
          <xdr:cNvSpPr>
            <a:spLocks noChangeAspect="1"/>
          </xdr:cNvSpPr>
        </xdr:nvSpPr>
        <xdr:spPr>
          <a:xfrm>
            <a:off x="26325288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4847D94-E55D-4C41-84B9-BE87FD6282B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100%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2">
        <xdr:nvSpPr>
          <xdr:cNvPr id="329" name="Rectangle 328">
            <a:extLst>
              <a:ext uri="{FF2B5EF4-FFF2-40B4-BE49-F238E27FC236}">
                <a16:creationId xmlns:a16="http://schemas.microsoft.com/office/drawing/2014/main" id="{4E29FD6F-1A88-0841-AFAA-C2D9ECA06333}"/>
              </a:ext>
            </a:extLst>
          </xdr:cNvPr>
          <xdr:cNvSpPr>
            <a:spLocks noChangeAspect="1"/>
          </xdr:cNvSpPr>
        </xdr:nvSpPr>
        <xdr:spPr>
          <a:xfrm>
            <a:off x="27656976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FA750B1-05D0-9C44-B9EF-B9B433792C08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40%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3">
        <xdr:nvSpPr>
          <xdr:cNvPr id="330" name="Rectangle 329">
            <a:extLst>
              <a:ext uri="{FF2B5EF4-FFF2-40B4-BE49-F238E27FC236}">
                <a16:creationId xmlns:a16="http://schemas.microsoft.com/office/drawing/2014/main" id="{04B4AC12-BDE4-AD48-B636-B05764D3771A}"/>
              </a:ext>
            </a:extLst>
          </xdr:cNvPr>
          <xdr:cNvSpPr>
            <a:spLocks noChangeAspect="1"/>
          </xdr:cNvSpPr>
        </xdr:nvSpPr>
        <xdr:spPr>
          <a:xfrm>
            <a:off x="28897949" y="8565241"/>
            <a:ext cx="877389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9D61B72-8375-7541-9AFF-95E21415E175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60%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L34">
        <xdr:nvSpPr>
          <xdr:cNvPr id="331" name="Rectangle 330">
            <a:extLst>
              <a:ext uri="{FF2B5EF4-FFF2-40B4-BE49-F238E27FC236}">
                <a16:creationId xmlns:a16="http://schemas.microsoft.com/office/drawing/2014/main" id="{DD7DB60D-00AE-7C44-8D41-2E8E278795E2}"/>
              </a:ext>
            </a:extLst>
          </xdr:cNvPr>
          <xdr:cNvSpPr>
            <a:spLocks noChangeAspect="1"/>
          </xdr:cNvSpPr>
        </xdr:nvSpPr>
        <xdr:spPr>
          <a:xfrm>
            <a:off x="29939350" y="8565241"/>
            <a:ext cx="877388" cy="292463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4BB478C-F917-E743-A4D3-BCCC79AF77EC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75%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C2">
        <xdr:nvSpPr>
          <xdr:cNvPr id="340" name="Rectangle 339">
            <a:extLst>
              <a:ext uri="{FF2B5EF4-FFF2-40B4-BE49-F238E27FC236}">
                <a16:creationId xmlns:a16="http://schemas.microsoft.com/office/drawing/2014/main" id="{F288A320-85AE-2742-9A0F-BFE53C80D81B}"/>
              </a:ext>
            </a:extLst>
          </xdr:cNvPr>
          <xdr:cNvSpPr>
            <a:spLocks noChangeAspect="1"/>
          </xdr:cNvSpPr>
        </xdr:nvSpPr>
        <xdr:spPr>
          <a:xfrm>
            <a:off x="27580771" y="560614"/>
            <a:ext cx="877388" cy="283392"/>
          </a:xfrm>
          <a:prstGeom prst="rect">
            <a:avLst/>
          </a:prstGeom>
          <a:solidFill>
            <a:srgbClr val="64003D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2AF20377-D41E-E64D-9153-B747699CF322}" type="TxLink">
              <a:rPr lang="en-US" sz="1100" b="0" i="0" u="none" strike="noStrike">
                <a:solidFill>
                  <a:schemeClr val="bg1"/>
                </a:solidFill>
                <a:latin typeface="Calibri"/>
                <a:ea typeface="Arial" charset="0"/>
                <a:cs typeface="Calibri"/>
              </a:rPr>
              <a:pPr algn="ctr"/>
              <a:t>away</a:t>
            </a:fld>
            <a:endParaRPr lang="en-US" sz="10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C2">
        <xdr:nvSpPr>
          <xdr:cNvPr id="341" name="Rectangle 340">
            <a:extLst>
              <a:ext uri="{FF2B5EF4-FFF2-40B4-BE49-F238E27FC236}">
                <a16:creationId xmlns:a16="http://schemas.microsoft.com/office/drawing/2014/main" id="{91D05D16-842F-8D49-A5B6-476B1BC1127A}"/>
              </a:ext>
            </a:extLst>
          </xdr:cNvPr>
          <xdr:cNvSpPr>
            <a:spLocks noChangeAspect="1"/>
          </xdr:cNvSpPr>
        </xdr:nvSpPr>
        <xdr:spPr>
          <a:xfrm>
            <a:off x="27577267" y="4715329"/>
            <a:ext cx="877388" cy="29246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FFFA9363-44F0-1542-AC2B-29CDC86B3C4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home</a:t>
            </a:fld>
            <a:endParaRPr lang="en-US" sz="900" b="0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87" name="TextBox 386">
            <a:extLst>
              <a:ext uri="{FF2B5EF4-FFF2-40B4-BE49-F238E27FC236}">
                <a16:creationId xmlns:a16="http://schemas.microsoft.com/office/drawing/2014/main" id="{CF1E2F90-2410-1E48-87BC-7144B9CDB6D4}"/>
              </a:ext>
            </a:extLst>
          </xdr:cNvPr>
          <xdr:cNvSpPr txBox="1"/>
        </xdr:nvSpPr>
        <xdr:spPr>
          <a:xfrm>
            <a:off x="25828204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ADD696A-F4B6-2B4A-A75E-8F3D28157102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88" name="TextBox 387">
            <a:extLst>
              <a:ext uri="{FF2B5EF4-FFF2-40B4-BE49-F238E27FC236}">
                <a16:creationId xmlns:a16="http://schemas.microsoft.com/office/drawing/2014/main" id="{F579904F-9D58-4341-8E79-349FD3FB5119}"/>
              </a:ext>
            </a:extLst>
          </xdr:cNvPr>
          <xdr:cNvSpPr txBox="1"/>
        </xdr:nvSpPr>
        <xdr:spPr>
          <a:xfrm>
            <a:off x="26797001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D9AC113-79EE-5E4A-927E-308878EF09E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389" name="TextBox 388">
            <a:extLst>
              <a:ext uri="{FF2B5EF4-FFF2-40B4-BE49-F238E27FC236}">
                <a16:creationId xmlns:a16="http://schemas.microsoft.com/office/drawing/2014/main" id="{5D341BF9-020E-2D4D-BE00-FA6F8AE9EE6F}"/>
              </a:ext>
            </a:extLst>
          </xdr:cNvPr>
          <xdr:cNvSpPr txBox="1"/>
        </xdr:nvSpPr>
        <xdr:spPr>
          <a:xfrm>
            <a:off x="28037976" y="7707130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569B93C-F067-434F-B184-02BB32E459E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4" name="TextBox 423">
            <a:extLst>
              <a:ext uri="{FF2B5EF4-FFF2-40B4-BE49-F238E27FC236}">
                <a16:creationId xmlns:a16="http://schemas.microsoft.com/office/drawing/2014/main" id="{8E714654-C15B-2546-B7F5-733C0095189F}"/>
              </a:ext>
            </a:extLst>
          </xdr:cNvPr>
          <xdr:cNvSpPr txBox="1"/>
        </xdr:nvSpPr>
        <xdr:spPr>
          <a:xfrm>
            <a:off x="29278949" y="7707130"/>
            <a:ext cx="362004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B3B6F7-20D1-B24B-BCCD-1C025C5E6F45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5" name="TextBox 424">
            <a:extLst>
              <a:ext uri="{FF2B5EF4-FFF2-40B4-BE49-F238E27FC236}">
                <a16:creationId xmlns:a16="http://schemas.microsoft.com/office/drawing/2014/main" id="{B51E9155-6632-594F-BA0A-C7D96FAE48EC}"/>
              </a:ext>
            </a:extLst>
          </xdr:cNvPr>
          <xdr:cNvSpPr txBox="1"/>
        </xdr:nvSpPr>
        <xdr:spPr>
          <a:xfrm>
            <a:off x="25804618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1F9119F-2EF0-9746-8B51-5E1348E338B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6" name="TextBox 425">
            <a:extLst>
              <a:ext uri="{FF2B5EF4-FFF2-40B4-BE49-F238E27FC236}">
                <a16:creationId xmlns:a16="http://schemas.microsoft.com/office/drawing/2014/main" id="{1656152B-F55E-1040-A6B4-4BF0AF2DC8AF}"/>
              </a:ext>
            </a:extLst>
          </xdr:cNvPr>
          <xdr:cNvSpPr txBox="1"/>
        </xdr:nvSpPr>
        <xdr:spPr>
          <a:xfrm>
            <a:off x="26786115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3348CD7-E6D8-7D4E-82DA-1DFF1E3C78F7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7" name="TextBox 426">
            <a:extLst>
              <a:ext uri="{FF2B5EF4-FFF2-40B4-BE49-F238E27FC236}">
                <a16:creationId xmlns:a16="http://schemas.microsoft.com/office/drawing/2014/main" id="{83423BA3-111F-6947-B1AB-4B50F35D3423}"/>
              </a:ext>
            </a:extLst>
          </xdr:cNvPr>
          <xdr:cNvSpPr txBox="1"/>
        </xdr:nvSpPr>
        <xdr:spPr>
          <a:xfrm>
            <a:off x="28027090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573855-3E6E-4141-A5B8-C917708200F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8" name="TextBox 427">
            <a:extLst>
              <a:ext uri="{FF2B5EF4-FFF2-40B4-BE49-F238E27FC236}">
                <a16:creationId xmlns:a16="http://schemas.microsoft.com/office/drawing/2014/main" id="{B98FF36A-4D34-A248-A7AD-DCDBE5AEC578}"/>
              </a:ext>
            </a:extLst>
          </xdr:cNvPr>
          <xdr:cNvSpPr txBox="1"/>
        </xdr:nvSpPr>
        <xdr:spPr>
          <a:xfrm>
            <a:off x="29268063" y="6643942"/>
            <a:ext cx="362004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2F5576-F569-704C-807D-CBFA140A20FA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29" name="TextBox 428">
            <a:extLst>
              <a:ext uri="{FF2B5EF4-FFF2-40B4-BE49-F238E27FC236}">
                <a16:creationId xmlns:a16="http://schemas.microsoft.com/office/drawing/2014/main" id="{EFE5B12A-54AF-4A4C-8EC2-FDAEA50A2172}"/>
              </a:ext>
            </a:extLst>
          </xdr:cNvPr>
          <xdr:cNvSpPr txBox="1"/>
        </xdr:nvSpPr>
        <xdr:spPr>
          <a:xfrm>
            <a:off x="30309463" y="6643942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AAFF42B-AD3A-CF40-B7AA-0469D0F8344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30" name="TextBox 429">
            <a:extLst>
              <a:ext uri="{FF2B5EF4-FFF2-40B4-BE49-F238E27FC236}">
                <a16:creationId xmlns:a16="http://schemas.microsoft.com/office/drawing/2014/main" id="{5515B0B6-E88E-A64F-9901-EC1DD2BD4A91}"/>
              </a:ext>
            </a:extLst>
          </xdr:cNvPr>
          <xdr:cNvSpPr txBox="1"/>
        </xdr:nvSpPr>
        <xdr:spPr>
          <a:xfrm>
            <a:off x="25824575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E680111-8556-3244-99CA-21CF8C7FB1EF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31" name="TextBox 430">
            <a:extLst>
              <a:ext uri="{FF2B5EF4-FFF2-40B4-BE49-F238E27FC236}">
                <a16:creationId xmlns:a16="http://schemas.microsoft.com/office/drawing/2014/main" id="{B9DE3EBE-CD04-1545-BB05-BC2D97640434}"/>
              </a:ext>
            </a:extLst>
          </xdr:cNvPr>
          <xdr:cNvSpPr txBox="1"/>
        </xdr:nvSpPr>
        <xdr:spPr>
          <a:xfrm>
            <a:off x="26793372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B8BDEE-DCDD-914D-B050-21ABD389ED59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32" name="TextBox 431">
            <a:extLst>
              <a:ext uri="{FF2B5EF4-FFF2-40B4-BE49-F238E27FC236}">
                <a16:creationId xmlns:a16="http://schemas.microsoft.com/office/drawing/2014/main" id="{FB23DA8F-74A9-5443-AAB8-33910078A8B3}"/>
              </a:ext>
            </a:extLst>
          </xdr:cNvPr>
          <xdr:cNvSpPr txBox="1"/>
        </xdr:nvSpPr>
        <xdr:spPr>
          <a:xfrm>
            <a:off x="28034347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0903F92-039F-0348-8096-6E3F5777D18B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2ANALYSIS!#REF!">
        <xdr:nvSpPr>
          <xdr:cNvPr id="433" name="TextBox 432">
            <a:extLst>
              <a:ext uri="{FF2B5EF4-FFF2-40B4-BE49-F238E27FC236}">
                <a16:creationId xmlns:a16="http://schemas.microsoft.com/office/drawing/2014/main" id="{FD658352-2AAE-A240-B895-72B10F0B418F}"/>
              </a:ext>
            </a:extLst>
          </xdr:cNvPr>
          <xdr:cNvSpPr txBox="1"/>
        </xdr:nvSpPr>
        <xdr:spPr>
          <a:xfrm>
            <a:off x="29275320" y="5499110"/>
            <a:ext cx="362004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53B7BB3-A81B-DF46-BAF8-04CE3F92752D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434" name="TextBox 433">
            <a:extLst>
              <a:ext uri="{FF2B5EF4-FFF2-40B4-BE49-F238E27FC236}">
                <a16:creationId xmlns:a16="http://schemas.microsoft.com/office/drawing/2014/main" id="{AEA26568-F900-6E4E-9869-4440874948D5}"/>
              </a:ext>
            </a:extLst>
          </xdr:cNvPr>
          <xdr:cNvSpPr txBox="1"/>
        </xdr:nvSpPr>
        <xdr:spPr>
          <a:xfrm>
            <a:off x="30316720" y="5499110"/>
            <a:ext cx="307575" cy="49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A64FC-23AB-1447-ABDD-3135B88DB7EC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436" name="TextBox 435">
            <a:extLst>
              <a:ext uri="{FF2B5EF4-FFF2-40B4-BE49-F238E27FC236}">
                <a16:creationId xmlns:a16="http://schemas.microsoft.com/office/drawing/2014/main" id="{D10E13C2-8D80-AA48-B5AE-D41B14C987D6}"/>
              </a:ext>
            </a:extLst>
          </xdr:cNvPr>
          <xdr:cNvSpPr txBox="1"/>
        </xdr:nvSpPr>
        <xdr:spPr>
          <a:xfrm>
            <a:off x="30284063" y="7743416"/>
            <a:ext cx="307575" cy="4952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D58105B-1C9F-A34E-B33C-CF6CF33753E1}" type="TxLink">
              <a:rPr lang="en-US" sz="24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Location1ANALYSIS!L30">
        <xdr:nvSpPr>
          <xdr:cNvPr id="411" name="Rectangle 410">
            <a:extLst>
              <a:ext uri="{FF2B5EF4-FFF2-40B4-BE49-F238E27FC236}">
                <a16:creationId xmlns:a16="http://schemas.microsoft.com/office/drawing/2014/main" id="{AE2545CF-74AB-E444-B6F0-4636973F8189}"/>
              </a:ext>
            </a:extLst>
          </xdr:cNvPr>
          <xdr:cNvSpPr>
            <a:spLocks noChangeAspect="1"/>
          </xdr:cNvSpPr>
        </xdr:nvSpPr>
        <xdr:spPr>
          <a:xfrm>
            <a:off x="28734657" y="4309660"/>
            <a:ext cx="877389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/>
            <a:fld id="{83FD721B-320A-BB48-9707-B163C0355DDF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50%</a:t>
            </a:fld>
            <a:endParaRPr lang="en-US" sz="1000" i="0"/>
          </a:p>
        </xdr:txBody>
      </xdr:sp>
      <xdr:sp macro="" textlink="Location1ANALYSIS!L31">
        <xdr:nvSpPr>
          <xdr:cNvPr id="417" name="Rectangle 416">
            <a:extLst>
              <a:ext uri="{FF2B5EF4-FFF2-40B4-BE49-F238E27FC236}">
                <a16:creationId xmlns:a16="http://schemas.microsoft.com/office/drawing/2014/main" id="{DE43E310-4969-4844-B409-4C8AEF9340FC}"/>
              </a:ext>
            </a:extLst>
          </xdr:cNvPr>
          <xdr:cNvSpPr>
            <a:spLocks noChangeAspect="1"/>
          </xdr:cNvSpPr>
        </xdr:nvSpPr>
        <xdr:spPr>
          <a:xfrm>
            <a:off x="29757916" y="4309660"/>
            <a:ext cx="877388" cy="283391"/>
          </a:xfrm>
          <a:prstGeom prst="rect">
            <a:avLst/>
          </a:prstGeom>
          <a:solidFill>
            <a:schemeClr val="bg1"/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62183CA1-0722-4847-AAD3-41C64752D6D1}" type="TxLink">
              <a:rPr lang="en-US" sz="1000" b="0" i="0" u="none" strike="noStrike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pPr algn="ctr"/>
              <a:t>75%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</xdr:grpSp>
    <xdr:clientData/>
  </xdr:twoCellAnchor>
  <xdr:oneCellAnchor>
    <xdr:from>
      <xdr:col>50</xdr:col>
      <xdr:colOff>58057</xdr:colOff>
      <xdr:row>0</xdr:row>
      <xdr:rowOff>79829</xdr:rowOff>
    </xdr:from>
    <xdr:ext cx="4114800" cy="403013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31AF004-0A24-724B-A192-961C17C12703}"/>
            </a:ext>
          </a:extLst>
        </xdr:cNvPr>
        <xdr:cNvSpPr txBox="1"/>
      </xdr:nvSpPr>
      <xdr:spPr>
        <a:xfrm>
          <a:off x="41786628" y="79829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59</xdr:col>
      <xdr:colOff>25400</xdr:colOff>
      <xdr:row>3</xdr:row>
      <xdr:rowOff>141513</xdr:rowOff>
    </xdr:from>
    <xdr:to>
      <xdr:col>60</xdr:col>
      <xdr:colOff>13788</xdr:colOff>
      <xdr:row>5</xdr:row>
      <xdr:rowOff>89261</xdr:rowOff>
    </xdr:to>
    <xdr:sp macro="" textlink="[1]Match!$C$1">
      <xdr:nvSpPr>
        <xdr:cNvPr id="566" name="Rectangle 565">
          <a:extLst>
            <a:ext uri="{FF2B5EF4-FFF2-40B4-BE49-F238E27FC236}">
              <a16:creationId xmlns:a16="http://schemas.microsoft.com/office/drawing/2014/main" id="{F2F215D8-5739-874B-95C1-2BFAB0803DD9}"/>
            </a:ext>
          </a:extLst>
        </xdr:cNvPr>
        <xdr:cNvSpPr>
          <a:spLocks noChangeAspect="1"/>
        </xdr:cNvSpPr>
      </xdr:nvSpPr>
      <xdr:spPr>
        <a:xfrm>
          <a:off x="49265114" y="631370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5BC450-DC27-1048-A1EF-BEF83177449B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57</xdr:col>
      <xdr:colOff>341089</xdr:colOff>
      <xdr:row>7</xdr:row>
      <xdr:rowOff>47167</xdr:rowOff>
    </xdr:from>
    <xdr:to>
      <xdr:col>62</xdr:col>
      <xdr:colOff>290989</xdr:colOff>
      <xdr:row>51</xdr:row>
      <xdr:rowOff>132836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6AABB3B-E663-054C-99F1-D4BCDB7AE53F}"/>
            </a:ext>
          </a:extLst>
        </xdr:cNvPr>
        <xdr:cNvGrpSpPr/>
      </xdr:nvGrpSpPr>
      <xdr:grpSpPr>
        <a:xfrm>
          <a:off x="48118489" y="1291767"/>
          <a:ext cx="4140900" cy="7908869"/>
          <a:chOff x="41870089" y="1571171"/>
          <a:chExt cx="4122758" cy="7270240"/>
        </a:xfrm>
      </xdr:grpSpPr>
      <xdr:sp macro="" textlink="Players2ANALYSIS!$C$1">
        <xdr:nvSpPr>
          <xdr:cNvPr id="458" name="Rectangle 457">
            <a:extLst>
              <a:ext uri="{FF2B5EF4-FFF2-40B4-BE49-F238E27FC236}">
                <a16:creationId xmlns:a16="http://schemas.microsoft.com/office/drawing/2014/main" id="{7BC0C8CD-E916-7641-9186-31D4B212AE6A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82E9D71-508B-4F4D-BE70-33CD94745A9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D$1">
        <xdr:nvSpPr>
          <xdr:cNvPr id="459" name="Rectangle 458">
            <a:extLst>
              <a:ext uri="{FF2B5EF4-FFF2-40B4-BE49-F238E27FC236}">
                <a16:creationId xmlns:a16="http://schemas.microsoft.com/office/drawing/2014/main" id="{CD9405C9-F273-4D45-BE6B-F6D6312A7EAA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D495E86-4DF0-AC4D-9964-5EBE2316448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E$1">
        <xdr:nvSpPr>
          <xdr:cNvPr id="460" name="Rectangle 459">
            <a:extLst>
              <a:ext uri="{FF2B5EF4-FFF2-40B4-BE49-F238E27FC236}">
                <a16:creationId xmlns:a16="http://schemas.microsoft.com/office/drawing/2014/main" id="{11FC7AFC-B678-BA4C-8C6D-1E7989E6B92F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43C7D8B-511A-BF46-89A4-7BFEA0511D4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F$1">
        <xdr:nvSpPr>
          <xdr:cNvPr id="461" name="Rectangle 460">
            <a:extLst>
              <a:ext uri="{FF2B5EF4-FFF2-40B4-BE49-F238E27FC236}">
                <a16:creationId xmlns:a16="http://schemas.microsoft.com/office/drawing/2014/main" id="{D9311B81-BDC7-CA40-B118-3C5EC395E7C3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4F1C9273-555D-0749-BC36-6FECA985A3B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G$1">
        <xdr:nvSpPr>
          <xdr:cNvPr id="463" name="Rectangle 462">
            <a:extLst>
              <a:ext uri="{FF2B5EF4-FFF2-40B4-BE49-F238E27FC236}">
                <a16:creationId xmlns:a16="http://schemas.microsoft.com/office/drawing/2014/main" id="{F98E1852-2F6F-4541-A008-33DEAEF031A2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B740857-B91F-9242-96B3-AFF3EB21307E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2ANALYSIS!$B$1">
        <xdr:nvSpPr>
          <xdr:cNvPr id="465" name="Rectangle 464">
            <a:extLst>
              <a:ext uri="{FF2B5EF4-FFF2-40B4-BE49-F238E27FC236}">
                <a16:creationId xmlns:a16="http://schemas.microsoft.com/office/drawing/2014/main" id="{0BF1333E-2E2D-744E-9DCF-40D5545BC676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7079EF1-D5EC-BF4B-AFC0-8A7A0D14E51C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745E9463-C56B-414F-B316-7C93F50EC5B7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2ANALYSIS!$C$2">
          <xdr:nvSpPr>
            <xdr:cNvPr id="453" name="Rectangle 452">
              <a:extLst>
                <a:ext uri="{FF2B5EF4-FFF2-40B4-BE49-F238E27FC236}">
                  <a16:creationId xmlns:a16="http://schemas.microsoft.com/office/drawing/2014/main" id="{92C2868D-A717-0544-B02A-37D6FAF5B275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A77488-A86E-424A-9121-A5C5AE68298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2">
          <xdr:nvSpPr>
            <xdr:cNvPr id="454" name="Rectangle 453">
              <a:extLst>
                <a:ext uri="{FF2B5EF4-FFF2-40B4-BE49-F238E27FC236}">
                  <a16:creationId xmlns:a16="http://schemas.microsoft.com/office/drawing/2014/main" id="{A0058BE9-0EDF-244B-B692-31939CE866D9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AB81DF7-8F82-394D-918B-5C753912CE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2">
          <xdr:nvSpPr>
            <xdr:cNvPr id="455" name="Rectangle 454">
              <a:extLst>
                <a:ext uri="{FF2B5EF4-FFF2-40B4-BE49-F238E27FC236}">
                  <a16:creationId xmlns:a16="http://schemas.microsoft.com/office/drawing/2014/main" id="{CE3AB8DE-47BA-354C-B95A-40A0B28F2001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99CC28D-A4FE-3D4A-B748-18C7E5DF4C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2">
          <xdr:nvSpPr>
            <xdr:cNvPr id="456" name="Rectangle 455">
              <a:extLst>
                <a:ext uri="{FF2B5EF4-FFF2-40B4-BE49-F238E27FC236}">
                  <a16:creationId xmlns:a16="http://schemas.microsoft.com/office/drawing/2014/main" id="{CB773357-C0F8-FD4F-B3A0-A7F080F83875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EA7B16F-C777-A24D-9CB9-0F1A2CCCF3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2">
          <xdr:nvSpPr>
            <xdr:cNvPr id="457" name="Rectangle 456">
              <a:extLst>
                <a:ext uri="{FF2B5EF4-FFF2-40B4-BE49-F238E27FC236}">
                  <a16:creationId xmlns:a16="http://schemas.microsoft.com/office/drawing/2014/main" id="{7C4A292B-6142-9647-A7DA-7B1909EAE756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BA7D234-753D-FB4C-838E-235C67943D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2">
          <xdr:nvSpPr>
            <xdr:cNvPr id="462" name="Rectangle 461">
              <a:extLst>
                <a:ext uri="{FF2B5EF4-FFF2-40B4-BE49-F238E27FC236}">
                  <a16:creationId xmlns:a16="http://schemas.microsoft.com/office/drawing/2014/main" id="{FF065712-7CC1-0746-8BDA-12EF919E187F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D452D0-150A-B44F-B763-1E9B229ED8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2">
          <xdr:nvSpPr>
            <xdr:cNvPr id="464" name="Rectangle 463">
              <a:extLst>
                <a:ext uri="{FF2B5EF4-FFF2-40B4-BE49-F238E27FC236}">
                  <a16:creationId xmlns:a16="http://schemas.microsoft.com/office/drawing/2014/main" id="{AFB63809-4ABE-1545-8993-40DCE7B99040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81FA760-846B-ED41-B356-19DFD0CEC3D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3">
          <xdr:nvSpPr>
            <xdr:cNvPr id="468" name="Rectangle 467">
              <a:extLst>
                <a:ext uri="{FF2B5EF4-FFF2-40B4-BE49-F238E27FC236}">
                  <a16:creationId xmlns:a16="http://schemas.microsoft.com/office/drawing/2014/main" id="{5E8CB239-530E-0546-8BF9-5A07F3A9DE07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B8D24DE-0A30-1145-9022-1C20AEB974E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4">
          <xdr:nvSpPr>
            <xdr:cNvPr id="475" name="Rectangle 474">
              <a:extLst>
                <a:ext uri="{FF2B5EF4-FFF2-40B4-BE49-F238E27FC236}">
                  <a16:creationId xmlns:a16="http://schemas.microsoft.com/office/drawing/2014/main" id="{D996B552-592D-084E-869B-DCF18296FFAA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8F1DE94-C49A-D84E-89DD-A1D47E4C8F0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5">
          <xdr:nvSpPr>
            <xdr:cNvPr id="482" name="Rectangle 481">
              <a:extLst>
                <a:ext uri="{FF2B5EF4-FFF2-40B4-BE49-F238E27FC236}">
                  <a16:creationId xmlns:a16="http://schemas.microsoft.com/office/drawing/2014/main" id="{02FD7311-7F81-054C-BA80-8A757AAE9517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7832DE-8721-4D49-A3DE-49071DB35F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6">
          <xdr:nvSpPr>
            <xdr:cNvPr id="489" name="Rectangle 488">
              <a:extLst>
                <a:ext uri="{FF2B5EF4-FFF2-40B4-BE49-F238E27FC236}">
                  <a16:creationId xmlns:a16="http://schemas.microsoft.com/office/drawing/2014/main" id="{70C78D5C-D535-094E-A15D-45B9F8439A56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E32F58-EB4D-AA47-B6CC-DB07DB2264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3">
          <xdr:nvSpPr>
            <xdr:cNvPr id="567" name="Rectangle 566">
              <a:extLst>
                <a:ext uri="{FF2B5EF4-FFF2-40B4-BE49-F238E27FC236}">
                  <a16:creationId xmlns:a16="http://schemas.microsoft.com/office/drawing/2014/main" id="{227EAA6E-36DC-7B44-B991-86506216C07C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C77A25-D6F6-6843-BF97-C5204AB653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3">
          <xdr:nvSpPr>
            <xdr:cNvPr id="568" name="Rectangle 567">
              <a:extLst>
                <a:ext uri="{FF2B5EF4-FFF2-40B4-BE49-F238E27FC236}">
                  <a16:creationId xmlns:a16="http://schemas.microsoft.com/office/drawing/2014/main" id="{25B202BA-43F5-B44D-B133-18D46650ED20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925BC6-2D4F-9943-A48A-AA91862C213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3">
          <xdr:nvSpPr>
            <xdr:cNvPr id="569" name="Rectangle 568">
              <a:extLst>
                <a:ext uri="{FF2B5EF4-FFF2-40B4-BE49-F238E27FC236}">
                  <a16:creationId xmlns:a16="http://schemas.microsoft.com/office/drawing/2014/main" id="{813710EF-EA62-9348-B14A-23918C553BE8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885C78-3216-4341-B189-E77EA989A8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3">
          <xdr:nvSpPr>
            <xdr:cNvPr id="570" name="Rectangle 569">
              <a:extLst>
                <a:ext uri="{FF2B5EF4-FFF2-40B4-BE49-F238E27FC236}">
                  <a16:creationId xmlns:a16="http://schemas.microsoft.com/office/drawing/2014/main" id="{2DD4FA5D-9F51-C742-BB91-B4B5B5C4D0E9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214DBE-8E71-9144-AF5C-D000691A745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75%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3">
          <xdr:nvSpPr>
            <xdr:cNvPr id="571" name="Rectangle 570">
              <a:extLst>
                <a:ext uri="{FF2B5EF4-FFF2-40B4-BE49-F238E27FC236}">
                  <a16:creationId xmlns:a16="http://schemas.microsoft.com/office/drawing/2014/main" id="{D9B74D2A-F6BD-8544-A9A4-30729D50342D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1AD295F-68D3-0944-9450-1923DCA6D6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3">
          <xdr:nvSpPr>
            <xdr:cNvPr id="572" name="Rectangle 571">
              <a:extLst>
                <a:ext uri="{FF2B5EF4-FFF2-40B4-BE49-F238E27FC236}">
                  <a16:creationId xmlns:a16="http://schemas.microsoft.com/office/drawing/2014/main" id="{8B14F4A7-1D32-3C40-A2B7-7D8DEBC84F0E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B836B87-BE4D-B14A-9A04-3A96A60A01F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4">
          <xdr:nvSpPr>
            <xdr:cNvPr id="573" name="Rectangle 572">
              <a:extLst>
                <a:ext uri="{FF2B5EF4-FFF2-40B4-BE49-F238E27FC236}">
                  <a16:creationId xmlns:a16="http://schemas.microsoft.com/office/drawing/2014/main" id="{95B08206-BD94-B044-B15B-8E595CD15FF1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B3A596F-863C-A441-B723-C5EC180CE9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4">
          <xdr:nvSpPr>
            <xdr:cNvPr id="574" name="Rectangle 573">
              <a:extLst>
                <a:ext uri="{FF2B5EF4-FFF2-40B4-BE49-F238E27FC236}">
                  <a16:creationId xmlns:a16="http://schemas.microsoft.com/office/drawing/2014/main" id="{30ADDFD4-9CA8-614E-BF9C-210C0A4428E3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8585D59-910C-6043-BADC-D41FA75248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4">
          <xdr:nvSpPr>
            <xdr:cNvPr id="575" name="Rectangle 574">
              <a:extLst>
                <a:ext uri="{FF2B5EF4-FFF2-40B4-BE49-F238E27FC236}">
                  <a16:creationId xmlns:a16="http://schemas.microsoft.com/office/drawing/2014/main" id="{CF3B0886-B5E4-D849-9597-CD5FF6B59BB9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E4987D1-FCA6-1342-AEA5-90030A9933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4">
          <xdr:nvSpPr>
            <xdr:cNvPr id="576" name="Rectangle 575">
              <a:extLst>
                <a:ext uri="{FF2B5EF4-FFF2-40B4-BE49-F238E27FC236}">
                  <a16:creationId xmlns:a16="http://schemas.microsoft.com/office/drawing/2014/main" id="{AF871FD5-D572-5B4C-9E48-158BB71B932A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C150FB5-9F58-794A-9F9E-920FB03559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4">
          <xdr:nvSpPr>
            <xdr:cNvPr id="577" name="Rectangle 576">
              <a:extLst>
                <a:ext uri="{FF2B5EF4-FFF2-40B4-BE49-F238E27FC236}">
                  <a16:creationId xmlns:a16="http://schemas.microsoft.com/office/drawing/2014/main" id="{F829ABFE-79A9-6B41-91A5-62B5F43DCA7C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C7C1A8F-52BE-144B-AD95-229ABDF2080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4">
          <xdr:nvSpPr>
            <xdr:cNvPr id="578" name="Rectangle 577">
              <a:extLst>
                <a:ext uri="{FF2B5EF4-FFF2-40B4-BE49-F238E27FC236}">
                  <a16:creationId xmlns:a16="http://schemas.microsoft.com/office/drawing/2014/main" id="{79775855-3842-1940-8B89-493C21B4A067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C0121D-F832-F148-A205-9212ADB880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5">
          <xdr:nvSpPr>
            <xdr:cNvPr id="585" name="Rectangle 584">
              <a:extLst>
                <a:ext uri="{FF2B5EF4-FFF2-40B4-BE49-F238E27FC236}">
                  <a16:creationId xmlns:a16="http://schemas.microsoft.com/office/drawing/2014/main" id="{7DD7425D-02E4-AA43-AC1E-C3273553329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F9D760-8EC9-7B4C-A8CA-275A815BAF4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5">
          <xdr:nvSpPr>
            <xdr:cNvPr id="586" name="Rectangle 585">
              <a:extLst>
                <a:ext uri="{FF2B5EF4-FFF2-40B4-BE49-F238E27FC236}">
                  <a16:creationId xmlns:a16="http://schemas.microsoft.com/office/drawing/2014/main" id="{78334801-6F28-BF45-9CE1-AF9C0D15FA0F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5391E8-5CDF-3C48-A2F8-BBE6AF3B3BE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5">
          <xdr:nvSpPr>
            <xdr:cNvPr id="587" name="Rectangle 586">
              <a:extLst>
                <a:ext uri="{FF2B5EF4-FFF2-40B4-BE49-F238E27FC236}">
                  <a16:creationId xmlns:a16="http://schemas.microsoft.com/office/drawing/2014/main" id="{9E2D3C22-F800-F643-B170-D3400DFC85A4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DFD3C8-BBCF-384B-B745-9399A257F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5">
          <xdr:nvSpPr>
            <xdr:cNvPr id="588" name="Rectangle 587">
              <a:extLst>
                <a:ext uri="{FF2B5EF4-FFF2-40B4-BE49-F238E27FC236}">
                  <a16:creationId xmlns:a16="http://schemas.microsoft.com/office/drawing/2014/main" id="{525DA4A0-86F3-114E-84F4-A8E5E82E2A3B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1DE269-9415-D642-9569-9F4B8EE60A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5">
          <xdr:nvSpPr>
            <xdr:cNvPr id="589" name="Rectangle 588">
              <a:extLst>
                <a:ext uri="{FF2B5EF4-FFF2-40B4-BE49-F238E27FC236}">
                  <a16:creationId xmlns:a16="http://schemas.microsoft.com/office/drawing/2014/main" id="{C683A731-C1F3-0E4F-A40F-D60DE28DC863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499D81-E36D-8E4B-9677-0EA6DE956E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5">
          <xdr:nvSpPr>
            <xdr:cNvPr id="590" name="Rectangle 589">
              <a:extLst>
                <a:ext uri="{FF2B5EF4-FFF2-40B4-BE49-F238E27FC236}">
                  <a16:creationId xmlns:a16="http://schemas.microsoft.com/office/drawing/2014/main" id="{FD47ABC6-1D0B-EB4E-BEE4-2EAB7BE3A062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7131A3-EBF8-A944-93A7-06B8B4CC60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6">
          <xdr:nvSpPr>
            <xdr:cNvPr id="591" name="Rectangle 590">
              <a:extLst>
                <a:ext uri="{FF2B5EF4-FFF2-40B4-BE49-F238E27FC236}">
                  <a16:creationId xmlns:a16="http://schemas.microsoft.com/office/drawing/2014/main" id="{EDB553F7-6124-8346-8EBD-BBAE21B9B52E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4C30E5-DEF8-3D4C-B1E0-56886039A81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6">
          <xdr:nvSpPr>
            <xdr:cNvPr id="592" name="Rectangle 591">
              <a:extLst>
                <a:ext uri="{FF2B5EF4-FFF2-40B4-BE49-F238E27FC236}">
                  <a16:creationId xmlns:a16="http://schemas.microsoft.com/office/drawing/2014/main" id="{285CFC2C-8E1F-6746-833E-0ED78529D9F3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C0C0AB1-D902-3442-8628-1EE6449F290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6">
          <xdr:nvSpPr>
            <xdr:cNvPr id="593" name="Rectangle 592">
              <a:extLst>
                <a:ext uri="{FF2B5EF4-FFF2-40B4-BE49-F238E27FC236}">
                  <a16:creationId xmlns:a16="http://schemas.microsoft.com/office/drawing/2014/main" id="{ACAD855E-75A1-9244-B7AE-3FD9FCF682D3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13E8BC3-0A6E-C842-BEDA-D12C423504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6">
          <xdr:nvSpPr>
            <xdr:cNvPr id="594" name="Rectangle 593">
              <a:extLst>
                <a:ext uri="{FF2B5EF4-FFF2-40B4-BE49-F238E27FC236}">
                  <a16:creationId xmlns:a16="http://schemas.microsoft.com/office/drawing/2014/main" id="{35FEC47E-8E9F-2B42-A4C5-E5E8A5087AC5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08090C-1F49-CC4D-8D14-D3FAA5EB2B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6">
          <xdr:nvSpPr>
            <xdr:cNvPr id="595" name="Rectangle 594">
              <a:extLst>
                <a:ext uri="{FF2B5EF4-FFF2-40B4-BE49-F238E27FC236}">
                  <a16:creationId xmlns:a16="http://schemas.microsoft.com/office/drawing/2014/main" id="{649E1C39-8F95-5042-8AFE-52D2275E080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66E18DA-9891-1E4B-AF4E-0FC59138347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6">
          <xdr:nvSpPr>
            <xdr:cNvPr id="596" name="Rectangle 595">
              <a:extLst>
                <a:ext uri="{FF2B5EF4-FFF2-40B4-BE49-F238E27FC236}">
                  <a16:creationId xmlns:a16="http://schemas.microsoft.com/office/drawing/2014/main" id="{CA09298C-0982-0942-B654-4A5DAF5E0A63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ABB2B91-E972-E94A-A1B7-89BFCE1E3FB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AAD3DED-1E33-F446-8BCF-18F568255D45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2ANALYSIS!$A$7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75A9145-E0EA-3349-9751-2F0828BD9C00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B23DC55-7D5D-4149-B1BF-1D80B7F8177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8">
          <xdr:nvSpPr>
            <xdr:cNvPr id="503" name="Rectangle 502">
              <a:extLst>
                <a:ext uri="{FF2B5EF4-FFF2-40B4-BE49-F238E27FC236}">
                  <a16:creationId xmlns:a16="http://schemas.microsoft.com/office/drawing/2014/main" id="{E7C7CC46-74AF-3C46-92FD-3A1394E14961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69F30F-4EED-714B-8B30-7C14CF74BB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9">
          <xdr:nvSpPr>
            <xdr:cNvPr id="510" name="Rectangle 509">
              <a:extLst>
                <a:ext uri="{FF2B5EF4-FFF2-40B4-BE49-F238E27FC236}">
                  <a16:creationId xmlns:a16="http://schemas.microsoft.com/office/drawing/2014/main" id="{DD8F1F50-8315-B74D-A85E-1D5457D8A12B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0C6245E-16A9-2B40-9062-5A16D390B7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18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0">
          <xdr:nvSpPr>
            <xdr:cNvPr id="517" name="Rectangle 516">
              <a:extLst>
                <a:ext uri="{FF2B5EF4-FFF2-40B4-BE49-F238E27FC236}">
                  <a16:creationId xmlns:a16="http://schemas.microsoft.com/office/drawing/2014/main" id="{12FBE83F-9273-C54C-B489-9D9C97C8335A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D2D25-F162-824E-B3DE-B5F7E4C57F3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1">
          <xdr:nvSpPr>
            <xdr:cNvPr id="524" name="Rectangle 523">
              <a:extLst>
                <a:ext uri="{FF2B5EF4-FFF2-40B4-BE49-F238E27FC236}">
                  <a16:creationId xmlns:a16="http://schemas.microsoft.com/office/drawing/2014/main" id="{81D13728-CAB5-1E44-9523-6FD120111F44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740233-C12A-6047-BF1F-A3F50B1797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7">
          <xdr:nvSpPr>
            <xdr:cNvPr id="597" name="Rectangle 596">
              <a:extLst>
                <a:ext uri="{FF2B5EF4-FFF2-40B4-BE49-F238E27FC236}">
                  <a16:creationId xmlns:a16="http://schemas.microsoft.com/office/drawing/2014/main" id="{DB964010-0541-B34A-92D9-E0FF0543E666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0633F8-28B9-D847-BCD5-1AF93A2B916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7">
          <xdr:nvSpPr>
            <xdr:cNvPr id="598" name="Rectangle 597">
              <a:extLst>
                <a:ext uri="{FF2B5EF4-FFF2-40B4-BE49-F238E27FC236}">
                  <a16:creationId xmlns:a16="http://schemas.microsoft.com/office/drawing/2014/main" id="{ED32DE80-6793-CB46-A618-C42783C4B7FD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F5670FB-80B1-DF4D-B6AE-B88A9E045A5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7">
          <xdr:nvSpPr>
            <xdr:cNvPr id="599" name="Rectangle 598">
              <a:extLst>
                <a:ext uri="{FF2B5EF4-FFF2-40B4-BE49-F238E27FC236}">
                  <a16:creationId xmlns:a16="http://schemas.microsoft.com/office/drawing/2014/main" id="{7EA21F93-80F4-ED41-90DE-69251FCDC7C4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830726-907A-0E40-BADC-67289B7B28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7">
          <xdr:nvSpPr>
            <xdr:cNvPr id="600" name="Rectangle 599">
              <a:extLst>
                <a:ext uri="{FF2B5EF4-FFF2-40B4-BE49-F238E27FC236}">
                  <a16:creationId xmlns:a16="http://schemas.microsoft.com/office/drawing/2014/main" id="{25B8D899-2863-1547-8949-B2D51BF60173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DCC5021-C550-5443-B618-030C40BCCE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7">
          <xdr:nvSpPr>
            <xdr:cNvPr id="601" name="Rectangle 600">
              <a:extLst>
                <a:ext uri="{FF2B5EF4-FFF2-40B4-BE49-F238E27FC236}">
                  <a16:creationId xmlns:a16="http://schemas.microsoft.com/office/drawing/2014/main" id="{5303169D-81DF-D546-B6FC-24643FC66314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03D47F2-992B-1D4E-AF6C-77548CEB277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7">
          <xdr:nvSpPr>
            <xdr:cNvPr id="602" name="Rectangle 601">
              <a:extLst>
                <a:ext uri="{FF2B5EF4-FFF2-40B4-BE49-F238E27FC236}">
                  <a16:creationId xmlns:a16="http://schemas.microsoft.com/office/drawing/2014/main" id="{4DBFC993-1849-FC4A-93CD-B08AEC6464ED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F65734-4F5B-DA4B-ACBF-4B4D4768070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8">
          <xdr:nvSpPr>
            <xdr:cNvPr id="603" name="Rectangle 602">
              <a:extLst>
                <a:ext uri="{FF2B5EF4-FFF2-40B4-BE49-F238E27FC236}">
                  <a16:creationId xmlns:a16="http://schemas.microsoft.com/office/drawing/2014/main" id="{AB1D1023-2CC9-A949-9B0A-D2F7A92E1C74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C3C368E-6D56-DF46-A4AE-393302F6D5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8">
          <xdr:nvSpPr>
            <xdr:cNvPr id="604" name="Rectangle 603">
              <a:extLst>
                <a:ext uri="{FF2B5EF4-FFF2-40B4-BE49-F238E27FC236}">
                  <a16:creationId xmlns:a16="http://schemas.microsoft.com/office/drawing/2014/main" id="{6FAEFE65-7DD5-A24F-88B7-F4EE194A3E42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67CC387-87E9-084F-BA83-B7C02C790B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8">
          <xdr:nvSpPr>
            <xdr:cNvPr id="605" name="Rectangle 604">
              <a:extLst>
                <a:ext uri="{FF2B5EF4-FFF2-40B4-BE49-F238E27FC236}">
                  <a16:creationId xmlns:a16="http://schemas.microsoft.com/office/drawing/2014/main" id="{36ED4CC8-1BF1-C647-B5CD-F21F7361CAE5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B9B1A3-7867-194F-817A-A085D2843C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8">
          <xdr:nvSpPr>
            <xdr:cNvPr id="606" name="Rectangle 605">
              <a:extLst>
                <a:ext uri="{FF2B5EF4-FFF2-40B4-BE49-F238E27FC236}">
                  <a16:creationId xmlns:a16="http://schemas.microsoft.com/office/drawing/2014/main" id="{C581E456-5930-404C-91FB-4EC5703685C5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DFF32ED-EE28-284C-B992-2ADE9FC635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8">
          <xdr:nvSpPr>
            <xdr:cNvPr id="607" name="Rectangle 606">
              <a:extLst>
                <a:ext uri="{FF2B5EF4-FFF2-40B4-BE49-F238E27FC236}">
                  <a16:creationId xmlns:a16="http://schemas.microsoft.com/office/drawing/2014/main" id="{8517756C-C7EB-2141-874F-1FB6D4B8886C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1DB7F3-A234-8443-8A62-BC46C38266D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8">
          <xdr:nvSpPr>
            <xdr:cNvPr id="608" name="Rectangle 607">
              <a:extLst>
                <a:ext uri="{FF2B5EF4-FFF2-40B4-BE49-F238E27FC236}">
                  <a16:creationId xmlns:a16="http://schemas.microsoft.com/office/drawing/2014/main" id="{0709E177-B8BD-DE43-8C07-2CD86B3F6D6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DD2A9B7-8113-B644-8459-C3AF2A40F43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9">
          <xdr:nvSpPr>
            <xdr:cNvPr id="609" name="Rectangle 608">
              <a:extLst>
                <a:ext uri="{FF2B5EF4-FFF2-40B4-BE49-F238E27FC236}">
                  <a16:creationId xmlns:a16="http://schemas.microsoft.com/office/drawing/2014/main" id="{FCB0EEA5-8032-584B-AAFA-0B64BCBBE08F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981C78E-0000-1A40-BE72-8D6229B493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9">
          <xdr:nvSpPr>
            <xdr:cNvPr id="610" name="Rectangle 609">
              <a:extLst>
                <a:ext uri="{FF2B5EF4-FFF2-40B4-BE49-F238E27FC236}">
                  <a16:creationId xmlns:a16="http://schemas.microsoft.com/office/drawing/2014/main" id="{D54E8483-99E7-6A43-961E-F6B031AB5768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DD1AAFE-85E7-F141-8198-ACAC410F43F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9">
          <xdr:nvSpPr>
            <xdr:cNvPr id="611" name="Rectangle 610">
              <a:extLst>
                <a:ext uri="{FF2B5EF4-FFF2-40B4-BE49-F238E27FC236}">
                  <a16:creationId xmlns:a16="http://schemas.microsoft.com/office/drawing/2014/main" id="{38308A2D-B8EB-9842-B749-FCA1E73C53A1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11709A-B4DE-4E49-98E9-90DFD4D26C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9">
          <xdr:nvSpPr>
            <xdr:cNvPr id="612" name="Rectangle 611">
              <a:extLst>
                <a:ext uri="{FF2B5EF4-FFF2-40B4-BE49-F238E27FC236}">
                  <a16:creationId xmlns:a16="http://schemas.microsoft.com/office/drawing/2014/main" id="{28027F6C-1411-9F4F-967B-4C9D86767472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FD0D145-FCC8-8745-86C7-3063D85FA2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9">
          <xdr:nvSpPr>
            <xdr:cNvPr id="613" name="Rectangle 612">
              <a:extLst>
                <a:ext uri="{FF2B5EF4-FFF2-40B4-BE49-F238E27FC236}">
                  <a16:creationId xmlns:a16="http://schemas.microsoft.com/office/drawing/2014/main" id="{7DE75D7A-0286-224E-B7CA-F7A5C355CCBE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E34484E-BF6D-A84C-B8C2-CA49636E5C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9">
          <xdr:nvSpPr>
            <xdr:cNvPr id="614" name="Rectangle 613">
              <a:extLst>
                <a:ext uri="{FF2B5EF4-FFF2-40B4-BE49-F238E27FC236}">
                  <a16:creationId xmlns:a16="http://schemas.microsoft.com/office/drawing/2014/main" id="{9C8D023C-7E4E-9742-8F05-6EFAE231DEEE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60899-3CBF-0342-856C-4AD7FC72F6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0">
          <xdr:nvSpPr>
            <xdr:cNvPr id="615" name="Rectangle 614">
              <a:extLst>
                <a:ext uri="{FF2B5EF4-FFF2-40B4-BE49-F238E27FC236}">
                  <a16:creationId xmlns:a16="http://schemas.microsoft.com/office/drawing/2014/main" id="{7FD58299-F923-2340-ABEF-47469933ADDF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4EA821-33C9-E941-9F64-08CBAE8A9AC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0">
          <xdr:nvSpPr>
            <xdr:cNvPr id="616" name="Rectangle 615">
              <a:extLst>
                <a:ext uri="{FF2B5EF4-FFF2-40B4-BE49-F238E27FC236}">
                  <a16:creationId xmlns:a16="http://schemas.microsoft.com/office/drawing/2014/main" id="{8D9747A2-4C14-7243-BB36-5C706FDB9EAE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2EF3B18-3961-6542-820C-D94C79C763B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0">
          <xdr:nvSpPr>
            <xdr:cNvPr id="617" name="Rectangle 616">
              <a:extLst>
                <a:ext uri="{FF2B5EF4-FFF2-40B4-BE49-F238E27FC236}">
                  <a16:creationId xmlns:a16="http://schemas.microsoft.com/office/drawing/2014/main" id="{9FEF1596-F75D-9E4F-BD79-8ABAA469054A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B03F5-538A-B346-9258-986386AF4B0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0">
          <xdr:nvSpPr>
            <xdr:cNvPr id="618" name="Rectangle 617">
              <a:extLst>
                <a:ext uri="{FF2B5EF4-FFF2-40B4-BE49-F238E27FC236}">
                  <a16:creationId xmlns:a16="http://schemas.microsoft.com/office/drawing/2014/main" id="{31681D8D-FC67-6747-8FD8-66EC773A5DA8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80C570-7F0E-1942-96C6-F3F4A6ADADB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0">
          <xdr:nvSpPr>
            <xdr:cNvPr id="619" name="Rectangle 618">
              <a:extLst>
                <a:ext uri="{FF2B5EF4-FFF2-40B4-BE49-F238E27FC236}">
                  <a16:creationId xmlns:a16="http://schemas.microsoft.com/office/drawing/2014/main" id="{D73FC366-DFBF-D249-86D5-EB6B28987328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E55C653-FC49-6847-914A-5E714BF0E11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0">
          <xdr:nvSpPr>
            <xdr:cNvPr id="620" name="Rectangle 619">
              <a:extLst>
                <a:ext uri="{FF2B5EF4-FFF2-40B4-BE49-F238E27FC236}">
                  <a16:creationId xmlns:a16="http://schemas.microsoft.com/office/drawing/2014/main" id="{79FF6886-C4FE-994B-9958-FD6156766383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1B8EB5-2877-4F43-A506-5F663559D82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1">
          <xdr:nvSpPr>
            <xdr:cNvPr id="621" name="Rectangle 620">
              <a:extLst>
                <a:ext uri="{FF2B5EF4-FFF2-40B4-BE49-F238E27FC236}">
                  <a16:creationId xmlns:a16="http://schemas.microsoft.com/office/drawing/2014/main" id="{2DC37BB6-FA62-A142-AA7F-D96B7C544108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8D48314-A570-2444-961D-586838AD35F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1">
          <xdr:nvSpPr>
            <xdr:cNvPr id="622" name="Rectangle 621">
              <a:extLst>
                <a:ext uri="{FF2B5EF4-FFF2-40B4-BE49-F238E27FC236}">
                  <a16:creationId xmlns:a16="http://schemas.microsoft.com/office/drawing/2014/main" id="{A854136F-2A61-514F-8FF6-453442F1B82F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87548DA-529C-AA4D-A96A-E0CD5E785F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1">
          <xdr:nvSpPr>
            <xdr:cNvPr id="623" name="Rectangle 622">
              <a:extLst>
                <a:ext uri="{FF2B5EF4-FFF2-40B4-BE49-F238E27FC236}">
                  <a16:creationId xmlns:a16="http://schemas.microsoft.com/office/drawing/2014/main" id="{43C324AA-90C5-E542-8195-6ABEE303CF9D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FC90E67-1A0D-ED46-A8DC-61FEBE3E78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1">
          <xdr:nvSpPr>
            <xdr:cNvPr id="624" name="Rectangle 623">
              <a:extLst>
                <a:ext uri="{FF2B5EF4-FFF2-40B4-BE49-F238E27FC236}">
                  <a16:creationId xmlns:a16="http://schemas.microsoft.com/office/drawing/2014/main" id="{BA9182EB-384B-AD49-99A0-39BB260BDCA6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A5E55E-27C2-9845-B103-1BB53150E18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1">
          <xdr:nvSpPr>
            <xdr:cNvPr id="625" name="Rectangle 624">
              <a:extLst>
                <a:ext uri="{FF2B5EF4-FFF2-40B4-BE49-F238E27FC236}">
                  <a16:creationId xmlns:a16="http://schemas.microsoft.com/office/drawing/2014/main" id="{B26FA749-21B1-5B42-9F5D-8519D8BB44AA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3ADEEE8-7E7C-4541-B1C8-C9F700D4DA1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1">
          <xdr:nvSpPr>
            <xdr:cNvPr id="626" name="Rectangle 625">
              <a:extLst>
                <a:ext uri="{FF2B5EF4-FFF2-40B4-BE49-F238E27FC236}">
                  <a16:creationId xmlns:a16="http://schemas.microsoft.com/office/drawing/2014/main" id="{84634181-A984-7D42-B508-0B3C489F9265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0159FC9-5C28-DB46-B87A-380E69D86B5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D8D9F279-4651-564F-B2A8-7D2B426E8A64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2ANALYSIS!$A$12">
          <xdr:nvSpPr>
            <xdr:cNvPr id="532" name="Rectangle 531">
              <a:extLst>
                <a:ext uri="{FF2B5EF4-FFF2-40B4-BE49-F238E27FC236}">
                  <a16:creationId xmlns:a16="http://schemas.microsoft.com/office/drawing/2014/main" id="{44C84CC1-5D62-EC47-903A-5B86EA42628A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DFA9D7-F7E8-1A45-9956-8127A5EEC33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3">
          <xdr:nvSpPr>
            <xdr:cNvPr id="539" name="Rectangle 538">
              <a:extLst>
                <a:ext uri="{FF2B5EF4-FFF2-40B4-BE49-F238E27FC236}">
                  <a16:creationId xmlns:a16="http://schemas.microsoft.com/office/drawing/2014/main" id="{FB9455A2-72A9-534D-9249-62F97F0A70BB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43480FC-184B-C94E-A87B-06EDACE154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4">
          <xdr:nvSpPr>
            <xdr:cNvPr id="546" name="Rectangle 545">
              <a:extLst>
                <a:ext uri="{FF2B5EF4-FFF2-40B4-BE49-F238E27FC236}">
                  <a16:creationId xmlns:a16="http://schemas.microsoft.com/office/drawing/2014/main" id="{0886ECC2-1A9D-9F4C-9F1F-C92B5C845890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F07710-96B4-964B-A729-A6D3D5D7839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5">
          <xdr:nvSpPr>
            <xdr:cNvPr id="553" name="Rectangle 552">
              <a:extLst>
                <a:ext uri="{FF2B5EF4-FFF2-40B4-BE49-F238E27FC236}">
                  <a16:creationId xmlns:a16="http://schemas.microsoft.com/office/drawing/2014/main" id="{F54D3343-67EC-6140-8A95-517E5B992973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771B-6114-7A48-BB0C-5507C4C2FD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2">
          <xdr:nvSpPr>
            <xdr:cNvPr id="627" name="Rectangle 626">
              <a:extLst>
                <a:ext uri="{FF2B5EF4-FFF2-40B4-BE49-F238E27FC236}">
                  <a16:creationId xmlns:a16="http://schemas.microsoft.com/office/drawing/2014/main" id="{756ABEB3-775D-C149-92F0-C9C18B9A8722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DEE1E3-BBA4-1341-89DC-F9B330657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2">
          <xdr:nvSpPr>
            <xdr:cNvPr id="628" name="Rectangle 627">
              <a:extLst>
                <a:ext uri="{FF2B5EF4-FFF2-40B4-BE49-F238E27FC236}">
                  <a16:creationId xmlns:a16="http://schemas.microsoft.com/office/drawing/2014/main" id="{B4AE80C5-342B-6943-879C-79171702A9D1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921049-9213-0D4C-8429-61EE642EA7C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2">
          <xdr:nvSpPr>
            <xdr:cNvPr id="629" name="Rectangle 628">
              <a:extLst>
                <a:ext uri="{FF2B5EF4-FFF2-40B4-BE49-F238E27FC236}">
                  <a16:creationId xmlns:a16="http://schemas.microsoft.com/office/drawing/2014/main" id="{943063F1-40DB-C744-AC1B-22BAA98048E7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3A560AD-B6D0-4448-BBFA-DE4EBD9F8B4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2">
          <xdr:nvSpPr>
            <xdr:cNvPr id="630" name="Rectangle 629">
              <a:extLst>
                <a:ext uri="{FF2B5EF4-FFF2-40B4-BE49-F238E27FC236}">
                  <a16:creationId xmlns:a16="http://schemas.microsoft.com/office/drawing/2014/main" id="{B3D2EECF-A5A4-7240-8E79-32CB2C818EB2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8AFDA6-3377-3A4D-A1EA-8C86B5ECEB7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2">
          <xdr:nvSpPr>
            <xdr:cNvPr id="631" name="Rectangle 630">
              <a:extLst>
                <a:ext uri="{FF2B5EF4-FFF2-40B4-BE49-F238E27FC236}">
                  <a16:creationId xmlns:a16="http://schemas.microsoft.com/office/drawing/2014/main" id="{AED5E2B8-95A2-ED4C-904C-14C4CFA3E59E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64DC5D-308A-3240-83B7-EF148EEFA88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2">
          <xdr:nvSpPr>
            <xdr:cNvPr id="632" name="Rectangle 631">
              <a:extLst>
                <a:ext uri="{FF2B5EF4-FFF2-40B4-BE49-F238E27FC236}">
                  <a16:creationId xmlns:a16="http://schemas.microsoft.com/office/drawing/2014/main" id="{3CA3CC8E-AE9E-F740-AFFD-CA6536F025C2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62CC7F-07E6-E441-A7A7-960889AE7A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3">
          <xdr:nvSpPr>
            <xdr:cNvPr id="633" name="Rectangle 632">
              <a:extLst>
                <a:ext uri="{FF2B5EF4-FFF2-40B4-BE49-F238E27FC236}">
                  <a16:creationId xmlns:a16="http://schemas.microsoft.com/office/drawing/2014/main" id="{ABF31190-1945-7E46-88AD-829A2B440FFF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60D402B-2BC3-5C4E-A77D-F608768C6ED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3">
          <xdr:nvSpPr>
            <xdr:cNvPr id="634" name="Rectangle 633">
              <a:extLst>
                <a:ext uri="{FF2B5EF4-FFF2-40B4-BE49-F238E27FC236}">
                  <a16:creationId xmlns:a16="http://schemas.microsoft.com/office/drawing/2014/main" id="{D27A2E14-865A-FE4B-AD83-0F148842387A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38155D3-DE98-144E-B92D-51927140DE5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3">
          <xdr:nvSpPr>
            <xdr:cNvPr id="635" name="Rectangle 634">
              <a:extLst>
                <a:ext uri="{FF2B5EF4-FFF2-40B4-BE49-F238E27FC236}">
                  <a16:creationId xmlns:a16="http://schemas.microsoft.com/office/drawing/2014/main" id="{38B3CFA2-85D3-F846-A157-55EB922598E8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FE073D5-A96B-2349-AFD6-CB9CCA87AA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3">
          <xdr:nvSpPr>
            <xdr:cNvPr id="636" name="Rectangle 635">
              <a:extLst>
                <a:ext uri="{FF2B5EF4-FFF2-40B4-BE49-F238E27FC236}">
                  <a16:creationId xmlns:a16="http://schemas.microsoft.com/office/drawing/2014/main" id="{A467C9E1-BD9C-714F-AD0D-5751FA355E4A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51F4CB7-4007-AC41-B3E0-164F30B4C9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3">
          <xdr:nvSpPr>
            <xdr:cNvPr id="637" name="Rectangle 636">
              <a:extLst>
                <a:ext uri="{FF2B5EF4-FFF2-40B4-BE49-F238E27FC236}">
                  <a16:creationId xmlns:a16="http://schemas.microsoft.com/office/drawing/2014/main" id="{89C0F6A0-E046-6A47-9A77-AD87E42391AA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9056B9-95E5-CF4F-B855-5AEE164CEC9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3">
          <xdr:nvSpPr>
            <xdr:cNvPr id="638" name="Rectangle 637">
              <a:extLst>
                <a:ext uri="{FF2B5EF4-FFF2-40B4-BE49-F238E27FC236}">
                  <a16:creationId xmlns:a16="http://schemas.microsoft.com/office/drawing/2014/main" id="{D53AC9F9-3D65-5E4D-A4CA-431517CF096C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D0D647-7BD1-DD48-9070-5DB374ABA57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4">
          <xdr:nvSpPr>
            <xdr:cNvPr id="639" name="Rectangle 638">
              <a:extLst>
                <a:ext uri="{FF2B5EF4-FFF2-40B4-BE49-F238E27FC236}">
                  <a16:creationId xmlns:a16="http://schemas.microsoft.com/office/drawing/2014/main" id="{11AC5F94-A7CB-F84F-A3B1-C4D9B765A732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89C50E6-C97C-1D44-9360-15F63E656EE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4">
          <xdr:nvSpPr>
            <xdr:cNvPr id="640" name="Rectangle 639">
              <a:extLst>
                <a:ext uri="{FF2B5EF4-FFF2-40B4-BE49-F238E27FC236}">
                  <a16:creationId xmlns:a16="http://schemas.microsoft.com/office/drawing/2014/main" id="{1C725170-1D01-134A-B0CE-2010C1576FED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37940AE-A6F7-2746-BFA9-967C00DEB5B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4">
          <xdr:nvSpPr>
            <xdr:cNvPr id="641" name="Rectangle 640">
              <a:extLst>
                <a:ext uri="{FF2B5EF4-FFF2-40B4-BE49-F238E27FC236}">
                  <a16:creationId xmlns:a16="http://schemas.microsoft.com/office/drawing/2014/main" id="{77E4FFC5-E2E4-3947-B34A-9C26370F68CF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A8F837-574E-634C-8D13-38CB61F18D5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2" name="Rectangle 641">
              <a:extLst>
                <a:ext uri="{FF2B5EF4-FFF2-40B4-BE49-F238E27FC236}">
                  <a16:creationId xmlns:a16="http://schemas.microsoft.com/office/drawing/2014/main" id="{65E5123A-629B-D34E-9696-CF01533E7B9C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BBA589-46F7-0449-AD7A-DC0C85D75D4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3" name="Rectangle 642">
              <a:extLst>
                <a:ext uri="{FF2B5EF4-FFF2-40B4-BE49-F238E27FC236}">
                  <a16:creationId xmlns:a16="http://schemas.microsoft.com/office/drawing/2014/main" id="{73144BB1-54E9-D242-A939-D91DCE4D035C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9DFDED-3899-694D-93E6-CF5D503F209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4">
          <xdr:nvSpPr>
            <xdr:cNvPr id="644" name="Rectangle 643">
              <a:extLst>
                <a:ext uri="{FF2B5EF4-FFF2-40B4-BE49-F238E27FC236}">
                  <a16:creationId xmlns:a16="http://schemas.microsoft.com/office/drawing/2014/main" id="{792239F9-BEBE-E344-80D9-C573AD40E82E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7317BD-4477-0540-89D8-6C24AF8BF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5">
          <xdr:nvSpPr>
            <xdr:cNvPr id="645" name="Rectangle 644">
              <a:extLst>
                <a:ext uri="{FF2B5EF4-FFF2-40B4-BE49-F238E27FC236}">
                  <a16:creationId xmlns:a16="http://schemas.microsoft.com/office/drawing/2014/main" id="{0C5274CC-AEED-4742-AAB3-A56C3822C991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5AB489-713C-464F-8193-EC708B4154D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5">
          <xdr:nvSpPr>
            <xdr:cNvPr id="646" name="Rectangle 645">
              <a:extLst>
                <a:ext uri="{FF2B5EF4-FFF2-40B4-BE49-F238E27FC236}">
                  <a16:creationId xmlns:a16="http://schemas.microsoft.com/office/drawing/2014/main" id="{1EF131C1-69CF-D44E-BA74-4F98B616BB54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B960425-2798-774B-BDD9-7470EDB908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5">
          <xdr:nvSpPr>
            <xdr:cNvPr id="647" name="Rectangle 646">
              <a:extLst>
                <a:ext uri="{FF2B5EF4-FFF2-40B4-BE49-F238E27FC236}">
                  <a16:creationId xmlns:a16="http://schemas.microsoft.com/office/drawing/2014/main" id="{C2271C25-7FF7-364C-9EC4-54AE75A059AD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2CA193-8BB9-CB47-9794-06AB3CEACD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4">
          <xdr:nvSpPr>
            <xdr:cNvPr id="648" name="Rectangle 647">
              <a:extLst>
                <a:ext uri="{FF2B5EF4-FFF2-40B4-BE49-F238E27FC236}">
                  <a16:creationId xmlns:a16="http://schemas.microsoft.com/office/drawing/2014/main" id="{B546B89E-432B-B046-BA4B-917EA4839CCD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BA3D60-6C68-8241-A311-B9948634A5F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4">
          <xdr:nvSpPr>
            <xdr:cNvPr id="649" name="Rectangle 648">
              <a:extLst>
                <a:ext uri="{FF2B5EF4-FFF2-40B4-BE49-F238E27FC236}">
                  <a16:creationId xmlns:a16="http://schemas.microsoft.com/office/drawing/2014/main" id="{76AF008D-649A-154C-B0CA-7DB34A60855F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E0F30A8-5CF0-DF41-AA99-39664EB1C0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5">
          <xdr:nvSpPr>
            <xdr:cNvPr id="650" name="Rectangle 649">
              <a:extLst>
                <a:ext uri="{FF2B5EF4-FFF2-40B4-BE49-F238E27FC236}">
                  <a16:creationId xmlns:a16="http://schemas.microsoft.com/office/drawing/2014/main" id="{8016D270-E495-9A4C-9A75-837AAA11175F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683248-B78F-364B-B121-DC5D4541E56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EEFB1B22-13DB-7141-84E4-8637FC824C84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2ANALYSIS!$A$16">
          <xdr:nvSpPr>
            <xdr:cNvPr id="651" name="Rectangle 650">
              <a:extLst>
                <a:ext uri="{FF2B5EF4-FFF2-40B4-BE49-F238E27FC236}">
                  <a16:creationId xmlns:a16="http://schemas.microsoft.com/office/drawing/2014/main" id="{6CDEEC96-10BE-9945-8DDD-14A78F6F607B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20C1498-54A5-8C4D-98C5-DA5655FCC8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7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7">
          <xdr:nvSpPr>
            <xdr:cNvPr id="652" name="Rectangle 651">
              <a:extLst>
                <a:ext uri="{FF2B5EF4-FFF2-40B4-BE49-F238E27FC236}">
                  <a16:creationId xmlns:a16="http://schemas.microsoft.com/office/drawing/2014/main" id="{5372178D-8CE0-8A4B-BD48-418CA99E0B52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70EF0C-C414-2D4F-9627-F9024EF09D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8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8">
          <xdr:nvSpPr>
            <xdr:cNvPr id="653" name="Rectangle 652">
              <a:extLst>
                <a:ext uri="{FF2B5EF4-FFF2-40B4-BE49-F238E27FC236}">
                  <a16:creationId xmlns:a16="http://schemas.microsoft.com/office/drawing/2014/main" id="{208B07E7-0360-0143-8D53-749970C7106B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681EBA-A665-214E-9987-F8EF23F083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19">
          <xdr:nvSpPr>
            <xdr:cNvPr id="654" name="Rectangle 653">
              <a:extLst>
                <a:ext uri="{FF2B5EF4-FFF2-40B4-BE49-F238E27FC236}">
                  <a16:creationId xmlns:a16="http://schemas.microsoft.com/office/drawing/2014/main" id="{EE65FD2B-AF87-4444-8C94-1D55AC8476EA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6EB9BDC-B241-E545-AA15-341644F9C61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A$20">
          <xdr:nvSpPr>
            <xdr:cNvPr id="655" name="Rectangle 654">
              <a:extLst>
                <a:ext uri="{FF2B5EF4-FFF2-40B4-BE49-F238E27FC236}">
                  <a16:creationId xmlns:a16="http://schemas.microsoft.com/office/drawing/2014/main" id="{1ADE3B01-801C-DE48-A4FB-6D7E98B31EE4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DB58BFC-B6C8-5F4C-B3E6-2C999AB326F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6">
          <xdr:nvSpPr>
            <xdr:cNvPr id="656" name="Rectangle 655">
              <a:extLst>
                <a:ext uri="{FF2B5EF4-FFF2-40B4-BE49-F238E27FC236}">
                  <a16:creationId xmlns:a16="http://schemas.microsoft.com/office/drawing/2014/main" id="{0F911E0B-A47C-C446-BD18-42B55B7F857C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9052163-054F-A54E-9328-B268D5FE0A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6">
          <xdr:nvSpPr>
            <xdr:cNvPr id="657" name="Rectangle 656">
              <a:extLst>
                <a:ext uri="{FF2B5EF4-FFF2-40B4-BE49-F238E27FC236}">
                  <a16:creationId xmlns:a16="http://schemas.microsoft.com/office/drawing/2014/main" id="{1B875B51-A323-184C-9EB5-3E0E36221797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75694D9-F1A0-E540-A807-5BA3A29285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6">
          <xdr:nvSpPr>
            <xdr:cNvPr id="658" name="Rectangle 657">
              <a:extLst>
                <a:ext uri="{FF2B5EF4-FFF2-40B4-BE49-F238E27FC236}">
                  <a16:creationId xmlns:a16="http://schemas.microsoft.com/office/drawing/2014/main" id="{7BFEFB8C-528D-9549-B028-7C130084DDCF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4B0620-1D2B-B74E-A918-DAC6A74854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6">
          <xdr:nvSpPr>
            <xdr:cNvPr id="659" name="Rectangle 658">
              <a:extLst>
                <a:ext uri="{FF2B5EF4-FFF2-40B4-BE49-F238E27FC236}">
                  <a16:creationId xmlns:a16="http://schemas.microsoft.com/office/drawing/2014/main" id="{5878EBB1-05B6-2A4C-99D4-E7E473307465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8609038-8982-C344-8B3C-A75CB249C46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6">
          <xdr:nvSpPr>
            <xdr:cNvPr id="660" name="Rectangle 659">
              <a:extLst>
                <a:ext uri="{FF2B5EF4-FFF2-40B4-BE49-F238E27FC236}">
                  <a16:creationId xmlns:a16="http://schemas.microsoft.com/office/drawing/2014/main" id="{AFDD61FF-8DA3-554F-B293-5B0D33A6A14F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BF0398-21A2-7343-8C69-22AC985351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6">
          <xdr:nvSpPr>
            <xdr:cNvPr id="661" name="Rectangle 660">
              <a:extLst>
                <a:ext uri="{FF2B5EF4-FFF2-40B4-BE49-F238E27FC236}">
                  <a16:creationId xmlns:a16="http://schemas.microsoft.com/office/drawing/2014/main" id="{B0E31997-FD5B-6547-A566-3F769C16F36F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D905E5-4709-DD4C-810A-CBEC66B026D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7">
          <xdr:nvSpPr>
            <xdr:cNvPr id="662" name="Rectangle 661">
              <a:extLst>
                <a:ext uri="{FF2B5EF4-FFF2-40B4-BE49-F238E27FC236}">
                  <a16:creationId xmlns:a16="http://schemas.microsoft.com/office/drawing/2014/main" id="{19347CF9-66F2-874A-AF61-F087105F4A0E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550B293-03E3-4D41-A6CB-6C9631BBF22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7">
          <xdr:nvSpPr>
            <xdr:cNvPr id="663" name="Rectangle 662">
              <a:extLst>
                <a:ext uri="{FF2B5EF4-FFF2-40B4-BE49-F238E27FC236}">
                  <a16:creationId xmlns:a16="http://schemas.microsoft.com/office/drawing/2014/main" id="{1E9FD2D2-8BAA-6547-831D-5F0619FBD443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11D00E6-86FF-C942-A630-5FA697388F1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7">
          <xdr:nvSpPr>
            <xdr:cNvPr id="664" name="Rectangle 663">
              <a:extLst>
                <a:ext uri="{FF2B5EF4-FFF2-40B4-BE49-F238E27FC236}">
                  <a16:creationId xmlns:a16="http://schemas.microsoft.com/office/drawing/2014/main" id="{EE432689-5284-3148-91D8-535AB60F6E4C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A0F9066-D4FA-924D-9AE5-5C69A22E8B5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7">
          <xdr:nvSpPr>
            <xdr:cNvPr id="665" name="Rectangle 664">
              <a:extLst>
                <a:ext uri="{FF2B5EF4-FFF2-40B4-BE49-F238E27FC236}">
                  <a16:creationId xmlns:a16="http://schemas.microsoft.com/office/drawing/2014/main" id="{214652E1-A53A-F443-8455-E8DC97CB2573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941F119-A9A8-4345-8675-DEBEF19039F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7">
          <xdr:nvSpPr>
            <xdr:cNvPr id="666" name="Rectangle 665">
              <a:extLst>
                <a:ext uri="{FF2B5EF4-FFF2-40B4-BE49-F238E27FC236}">
                  <a16:creationId xmlns:a16="http://schemas.microsoft.com/office/drawing/2014/main" id="{3567A78D-A0BD-474E-BD36-EC089566530E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8498DEA-4565-EB4E-B7FB-B16DA3F8BE5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7">
          <xdr:nvSpPr>
            <xdr:cNvPr id="667" name="Rectangle 666">
              <a:extLst>
                <a:ext uri="{FF2B5EF4-FFF2-40B4-BE49-F238E27FC236}">
                  <a16:creationId xmlns:a16="http://schemas.microsoft.com/office/drawing/2014/main" id="{7E2D6AD4-7C5C-1F41-83D0-C62D55F806C9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EDA6451-50D9-DF4A-A0B3-1490F204D53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8">
          <xdr:nvSpPr>
            <xdr:cNvPr id="668" name="Rectangle 667">
              <a:extLst>
                <a:ext uri="{FF2B5EF4-FFF2-40B4-BE49-F238E27FC236}">
                  <a16:creationId xmlns:a16="http://schemas.microsoft.com/office/drawing/2014/main" id="{16E78F4E-4B35-3A41-A804-F1714F31C378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F9077FB-3F9C-294F-8AED-B593D5B82A4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8">
          <xdr:nvSpPr>
            <xdr:cNvPr id="669" name="Rectangle 668">
              <a:extLst>
                <a:ext uri="{FF2B5EF4-FFF2-40B4-BE49-F238E27FC236}">
                  <a16:creationId xmlns:a16="http://schemas.microsoft.com/office/drawing/2014/main" id="{1BBEC800-8E56-7541-8781-91262EEA8A8C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D1220E-9556-D147-A1A9-1E1D3896E71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8">
          <xdr:nvSpPr>
            <xdr:cNvPr id="670" name="Rectangle 669">
              <a:extLst>
                <a:ext uri="{FF2B5EF4-FFF2-40B4-BE49-F238E27FC236}">
                  <a16:creationId xmlns:a16="http://schemas.microsoft.com/office/drawing/2014/main" id="{873A08D5-EFE7-7449-AA33-201289F11094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23CD91-B60C-3B47-822C-1208E59C9BD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8">
          <xdr:nvSpPr>
            <xdr:cNvPr id="671" name="Rectangle 670">
              <a:extLst>
                <a:ext uri="{FF2B5EF4-FFF2-40B4-BE49-F238E27FC236}">
                  <a16:creationId xmlns:a16="http://schemas.microsoft.com/office/drawing/2014/main" id="{36564F7A-4F0E-2F4E-AA1E-28963670930E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B1C5E89-B072-5D45-96DC-0533F081C19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8">
          <xdr:nvSpPr>
            <xdr:cNvPr id="672" name="Rectangle 671">
              <a:extLst>
                <a:ext uri="{FF2B5EF4-FFF2-40B4-BE49-F238E27FC236}">
                  <a16:creationId xmlns:a16="http://schemas.microsoft.com/office/drawing/2014/main" id="{EACBA11E-75E2-BB4E-B976-EA3850233556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D97AD1F-7EEC-D14B-A6E8-D073373D11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8">
          <xdr:nvSpPr>
            <xdr:cNvPr id="673" name="Rectangle 672">
              <a:extLst>
                <a:ext uri="{FF2B5EF4-FFF2-40B4-BE49-F238E27FC236}">
                  <a16:creationId xmlns:a16="http://schemas.microsoft.com/office/drawing/2014/main" id="{E8AEDF87-5F7B-254C-8015-1EB5A8F0A6E0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D35ADB0-3100-4A4A-9DFC-3F72F31C28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19">
          <xdr:nvSpPr>
            <xdr:cNvPr id="674" name="Rectangle 673">
              <a:extLst>
                <a:ext uri="{FF2B5EF4-FFF2-40B4-BE49-F238E27FC236}">
                  <a16:creationId xmlns:a16="http://schemas.microsoft.com/office/drawing/2014/main" id="{FF0C7C37-B895-834C-B53B-5CF0F234237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D816974-D61F-954D-B53C-4B6139B8993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18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19">
          <xdr:nvSpPr>
            <xdr:cNvPr id="675" name="Rectangle 674">
              <a:extLst>
                <a:ext uri="{FF2B5EF4-FFF2-40B4-BE49-F238E27FC236}">
                  <a16:creationId xmlns:a16="http://schemas.microsoft.com/office/drawing/2014/main" id="{CB923509-C9BD-2249-B8FC-9321D522464E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E46DB16-F779-B549-A9CC-4DCDC3314C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19">
          <xdr:nvSpPr>
            <xdr:cNvPr id="676" name="Rectangle 675">
              <a:extLst>
                <a:ext uri="{FF2B5EF4-FFF2-40B4-BE49-F238E27FC236}">
                  <a16:creationId xmlns:a16="http://schemas.microsoft.com/office/drawing/2014/main" id="{999859A4-5F68-E34E-84B5-922D7A69AA09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D9235C9-5E98-5C45-9FDA-01133CD03D3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19">
          <xdr:nvSpPr>
            <xdr:cNvPr id="677" name="Rectangle 676">
              <a:extLst>
                <a:ext uri="{FF2B5EF4-FFF2-40B4-BE49-F238E27FC236}">
                  <a16:creationId xmlns:a16="http://schemas.microsoft.com/office/drawing/2014/main" id="{B25D009B-F01D-5E4C-A540-47CE89EB4FA6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80C0F06-2643-964A-B9C6-3854708F9C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91%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19">
          <xdr:nvSpPr>
            <xdr:cNvPr id="678" name="Rectangle 677">
              <a:extLst>
                <a:ext uri="{FF2B5EF4-FFF2-40B4-BE49-F238E27FC236}">
                  <a16:creationId xmlns:a16="http://schemas.microsoft.com/office/drawing/2014/main" id="{876F84B6-E9AF-B64C-8F81-705701240C0B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2443C5-5F61-654A-A3B4-9A5A2761E53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19">
          <xdr:nvSpPr>
            <xdr:cNvPr id="679" name="Rectangle 678">
              <a:extLst>
                <a:ext uri="{FF2B5EF4-FFF2-40B4-BE49-F238E27FC236}">
                  <a16:creationId xmlns:a16="http://schemas.microsoft.com/office/drawing/2014/main" id="{5D1841BB-9058-FC47-B641-F8A365020BC0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B63A1F7-0329-FE4D-A990-DFB2DEC5F0C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C$20">
          <xdr:nvSpPr>
            <xdr:cNvPr id="680" name="Rectangle 679">
              <a:extLst>
                <a:ext uri="{FF2B5EF4-FFF2-40B4-BE49-F238E27FC236}">
                  <a16:creationId xmlns:a16="http://schemas.microsoft.com/office/drawing/2014/main" id="{6CE2BD40-F2B8-3D4A-AE90-0A22DC50A665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5844B7-8253-664E-AC6D-F49C82AB366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D$20">
          <xdr:nvSpPr>
            <xdr:cNvPr id="681" name="Rectangle 680">
              <a:extLst>
                <a:ext uri="{FF2B5EF4-FFF2-40B4-BE49-F238E27FC236}">
                  <a16:creationId xmlns:a16="http://schemas.microsoft.com/office/drawing/2014/main" id="{EEAD70CE-E2AB-6745-8450-437B9FB580C3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0A63325-5AF0-4E48-84C7-7088993F3B2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E$20">
          <xdr:nvSpPr>
            <xdr:cNvPr id="682" name="Rectangle 681">
              <a:extLst>
                <a:ext uri="{FF2B5EF4-FFF2-40B4-BE49-F238E27FC236}">
                  <a16:creationId xmlns:a16="http://schemas.microsoft.com/office/drawing/2014/main" id="{07209830-CFBF-BB4A-9FA1-0B40666D3627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73914AF-C9BE-1248-9971-BB34D4D7FC3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F$20">
          <xdr:nvSpPr>
            <xdr:cNvPr id="683" name="Rectangle 682">
              <a:extLst>
                <a:ext uri="{FF2B5EF4-FFF2-40B4-BE49-F238E27FC236}">
                  <a16:creationId xmlns:a16="http://schemas.microsoft.com/office/drawing/2014/main" id="{814501BD-DCEA-4749-B1B1-D3C360B472EB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BEA2FF7-1B83-7C49-AA64-21BAA0728F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G$20">
          <xdr:nvSpPr>
            <xdr:cNvPr id="684" name="Rectangle 683">
              <a:extLst>
                <a:ext uri="{FF2B5EF4-FFF2-40B4-BE49-F238E27FC236}">
                  <a16:creationId xmlns:a16="http://schemas.microsoft.com/office/drawing/2014/main" id="{E00A8043-C849-7D47-8D6A-CE46E819A541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7D8568-F53F-6742-97AC-DF248B19D6B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2ANALYSIS!$B$20">
          <xdr:nvSpPr>
            <xdr:cNvPr id="685" name="Rectangle 684">
              <a:extLst>
                <a:ext uri="{FF2B5EF4-FFF2-40B4-BE49-F238E27FC236}">
                  <a16:creationId xmlns:a16="http://schemas.microsoft.com/office/drawing/2014/main" id="{63818376-A487-EB42-9F16-07C855A5D418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C814097-CCB0-9247-AE8B-40FA508EE9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oneCellAnchor>
    <xdr:from>
      <xdr:col>57</xdr:col>
      <xdr:colOff>119744</xdr:colOff>
      <xdr:row>0</xdr:row>
      <xdr:rowOff>50800</xdr:rowOff>
    </xdr:from>
    <xdr:ext cx="4114800" cy="403013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D8D43B8F-01A8-1446-A885-A68698CB579F}"/>
            </a:ext>
          </a:extLst>
        </xdr:cNvPr>
        <xdr:cNvSpPr txBox="1"/>
      </xdr:nvSpPr>
      <xdr:spPr>
        <a:xfrm>
          <a:off x="47690315" y="50800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50</xdr:col>
      <xdr:colOff>275775</xdr:colOff>
      <xdr:row>7</xdr:row>
      <xdr:rowOff>90710</xdr:rowOff>
    </xdr:from>
    <xdr:to>
      <xdr:col>55</xdr:col>
      <xdr:colOff>225675</xdr:colOff>
      <xdr:row>52</xdr:row>
      <xdr:rowOff>13093</xdr:rowOff>
    </xdr:to>
    <xdr:grpSp>
      <xdr:nvGrpSpPr>
        <xdr:cNvPr id="688" name="Group 687">
          <a:extLst>
            <a:ext uri="{FF2B5EF4-FFF2-40B4-BE49-F238E27FC236}">
              <a16:creationId xmlns:a16="http://schemas.microsoft.com/office/drawing/2014/main" id="{8BC14FAC-CF71-2F44-A2FF-D6022D523BA0}"/>
            </a:ext>
          </a:extLst>
        </xdr:cNvPr>
        <xdr:cNvGrpSpPr/>
      </xdr:nvGrpSpPr>
      <xdr:grpSpPr>
        <a:xfrm>
          <a:off x="42185775" y="1335310"/>
          <a:ext cx="4140900" cy="7923383"/>
          <a:chOff x="41870089" y="1571171"/>
          <a:chExt cx="4122758" cy="7270240"/>
        </a:xfrm>
      </xdr:grpSpPr>
      <xdr:sp macro="" textlink="Players1ANALYSIS!$C$1">
        <xdr:nvSpPr>
          <xdr:cNvPr id="689" name="Rectangle 688">
            <a:extLst>
              <a:ext uri="{FF2B5EF4-FFF2-40B4-BE49-F238E27FC236}">
                <a16:creationId xmlns:a16="http://schemas.microsoft.com/office/drawing/2014/main" id="{75E71959-3A06-E341-BD69-90F8EEB61062}"/>
              </a:ext>
            </a:extLst>
          </xdr:cNvPr>
          <xdr:cNvSpPr>
            <a:spLocks/>
          </xdr:cNvSpPr>
        </xdr:nvSpPr>
        <xdr:spPr>
          <a:xfrm rot="16200000">
            <a:off x="43742197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EEF4B570-E441-4340-8FFA-F0BD178B50E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points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D$1">
        <xdr:nvSpPr>
          <xdr:cNvPr id="690" name="Rectangle 689">
            <a:extLst>
              <a:ext uri="{FF2B5EF4-FFF2-40B4-BE49-F238E27FC236}">
                <a16:creationId xmlns:a16="http://schemas.microsoft.com/office/drawing/2014/main" id="{73D1B6AA-95C8-D94D-9823-4E680A09A334}"/>
              </a:ext>
            </a:extLst>
          </xdr:cNvPr>
          <xdr:cNvSpPr>
            <a:spLocks/>
          </xdr:cNvSpPr>
        </xdr:nvSpPr>
        <xdr:spPr>
          <a:xfrm rot="16200000">
            <a:off x="44171690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BE8846E-382F-DC45-828E-280270E4D9A0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placed balls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E$1">
        <xdr:nvSpPr>
          <xdr:cNvPr id="691" name="Rectangle 690">
            <a:extLst>
              <a:ext uri="{FF2B5EF4-FFF2-40B4-BE49-F238E27FC236}">
                <a16:creationId xmlns:a16="http://schemas.microsoft.com/office/drawing/2014/main" id="{8F4BA50D-68AF-C847-822B-D1EDE542E87E}"/>
              </a:ext>
            </a:extLst>
          </xdr:cNvPr>
          <xdr:cNvSpPr>
            <a:spLocks/>
          </xdr:cNvSpPr>
        </xdr:nvSpPr>
        <xdr:spPr>
          <a:xfrm rot="16200000">
            <a:off x="44596232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0CC75744-5087-4940-A94F-4192105FE23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shots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F$1">
        <xdr:nvSpPr>
          <xdr:cNvPr id="692" name="Rectangle 691">
            <a:extLst>
              <a:ext uri="{FF2B5EF4-FFF2-40B4-BE49-F238E27FC236}">
                <a16:creationId xmlns:a16="http://schemas.microsoft.com/office/drawing/2014/main" id="{55C438DB-9EE6-F34C-B48B-69504E9ABBF2}"/>
              </a:ext>
            </a:extLst>
          </xdr:cNvPr>
          <xdr:cNvSpPr>
            <a:spLocks/>
          </xdr:cNvSpPr>
        </xdr:nvSpPr>
        <xdr:spPr>
          <a:xfrm rot="16200000">
            <a:off x="4502077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C2EDB66D-87B6-2D46-8167-73E19321B009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success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G$1">
        <xdr:nvSpPr>
          <xdr:cNvPr id="693" name="Rectangle 692">
            <a:extLst>
              <a:ext uri="{FF2B5EF4-FFF2-40B4-BE49-F238E27FC236}">
                <a16:creationId xmlns:a16="http://schemas.microsoft.com/office/drawing/2014/main" id="{489F7389-1988-BF4C-B6CE-4140CFD1E878}"/>
              </a:ext>
            </a:extLst>
          </xdr:cNvPr>
          <xdr:cNvSpPr>
            <a:spLocks/>
          </xdr:cNvSpPr>
        </xdr:nvSpPr>
        <xdr:spPr>
          <a:xfrm rot="16200000">
            <a:off x="45427174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5EA2F96-DC58-C64B-8B66-66603A86B7C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frees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sp macro="" textlink="Players1ANALYSIS!$B$1">
        <xdr:nvSpPr>
          <xdr:cNvPr id="694" name="Rectangle 693">
            <a:extLst>
              <a:ext uri="{FF2B5EF4-FFF2-40B4-BE49-F238E27FC236}">
                <a16:creationId xmlns:a16="http://schemas.microsoft.com/office/drawing/2014/main" id="{3CBD697E-BDBD-B746-8AB2-B344E313E07A}"/>
              </a:ext>
            </a:extLst>
          </xdr:cNvPr>
          <xdr:cNvSpPr>
            <a:spLocks/>
          </xdr:cNvSpPr>
        </xdr:nvSpPr>
        <xdr:spPr>
          <a:xfrm rot="16200000">
            <a:off x="43314025" y="1731191"/>
            <a:ext cx="685800" cy="36576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A1852CF1-60B5-AC4A-8767-E7457849CE81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 algn="ctr"/>
              <a:t>goals</a:t>
            </a:fld>
            <a:endParaRPr lang="en-US" sz="1000" b="1" i="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xdr:txBody>
      </xdr:sp>
      <xdr:grpSp>
        <xdr:nvGrpSpPr>
          <xdr:cNvPr id="695" name="Group 694">
            <a:extLst>
              <a:ext uri="{FF2B5EF4-FFF2-40B4-BE49-F238E27FC236}">
                <a16:creationId xmlns:a16="http://schemas.microsoft.com/office/drawing/2014/main" id="{7580784C-4E1E-B64E-B7D1-7F1D7232C430}"/>
              </a:ext>
            </a:extLst>
          </xdr:cNvPr>
          <xdr:cNvGrpSpPr/>
        </xdr:nvGrpSpPr>
        <xdr:grpSpPr>
          <a:xfrm>
            <a:off x="41870089" y="2318655"/>
            <a:ext cx="4104635" cy="1664069"/>
            <a:chOff x="41870089" y="2318655"/>
            <a:chExt cx="4104635" cy="1664069"/>
          </a:xfrm>
        </xdr:grpSpPr>
        <xdr:sp macro="" textlink="Players1ANALYSIS!$C$2">
          <xdr:nvSpPr>
            <xdr:cNvPr id="797" name="Rectangle 796">
              <a:extLst>
                <a:ext uri="{FF2B5EF4-FFF2-40B4-BE49-F238E27FC236}">
                  <a16:creationId xmlns:a16="http://schemas.microsoft.com/office/drawing/2014/main" id="{D6A105B3-BE8F-B342-B439-E786CACBFBC3}"/>
                </a:ext>
              </a:extLst>
            </xdr:cNvPr>
            <xdr:cNvSpPr>
              <a:spLocks/>
            </xdr:cNvSpPr>
          </xdr:nvSpPr>
          <xdr:spPr>
            <a:xfrm>
              <a:off x="43898588" y="231865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A2EC1FA-22E5-9049-AECE-B7252B41820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2">
          <xdr:nvSpPr>
            <xdr:cNvPr id="798" name="Rectangle 797">
              <a:extLst>
                <a:ext uri="{FF2B5EF4-FFF2-40B4-BE49-F238E27FC236}">
                  <a16:creationId xmlns:a16="http://schemas.microsoft.com/office/drawing/2014/main" id="{2D3E22D4-CBAA-1A46-B439-CB9F05897B8E}"/>
                </a:ext>
              </a:extLst>
            </xdr:cNvPr>
            <xdr:cNvSpPr>
              <a:spLocks/>
            </xdr:cNvSpPr>
          </xdr:nvSpPr>
          <xdr:spPr>
            <a:xfrm>
              <a:off x="44328081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EC14B4A-EE10-4544-AB9D-31F4C619B2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2">
          <xdr:nvSpPr>
            <xdr:cNvPr id="799" name="Rectangle 798">
              <a:extLst>
                <a:ext uri="{FF2B5EF4-FFF2-40B4-BE49-F238E27FC236}">
                  <a16:creationId xmlns:a16="http://schemas.microsoft.com/office/drawing/2014/main" id="{C39D07A1-8333-8C46-851E-B4B80B9384D9}"/>
                </a:ext>
              </a:extLst>
            </xdr:cNvPr>
            <xdr:cNvSpPr>
              <a:spLocks/>
            </xdr:cNvSpPr>
          </xdr:nvSpPr>
          <xdr:spPr>
            <a:xfrm>
              <a:off x="41870089" y="231865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A611304-5C37-0D4F-8AA4-CD4C8CF0BF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2">
          <xdr:nvSpPr>
            <xdr:cNvPr id="800" name="Rectangle 799">
              <a:extLst>
                <a:ext uri="{FF2B5EF4-FFF2-40B4-BE49-F238E27FC236}">
                  <a16:creationId xmlns:a16="http://schemas.microsoft.com/office/drawing/2014/main" id="{993F4B16-BE2C-5E4A-8AD6-2C39300411D2}"/>
                </a:ext>
              </a:extLst>
            </xdr:cNvPr>
            <xdr:cNvSpPr>
              <a:spLocks/>
            </xdr:cNvSpPr>
          </xdr:nvSpPr>
          <xdr:spPr>
            <a:xfrm>
              <a:off x="44752623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4086F04-244A-6340-86E9-09A01EB6F5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2">
          <xdr:nvSpPr>
            <xdr:cNvPr id="801" name="Rectangle 800">
              <a:extLst>
                <a:ext uri="{FF2B5EF4-FFF2-40B4-BE49-F238E27FC236}">
                  <a16:creationId xmlns:a16="http://schemas.microsoft.com/office/drawing/2014/main" id="{1F3820D3-6AB8-E34C-9625-6517AB72819B}"/>
                </a:ext>
              </a:extLst>
            </xdr:cNvPr>
            <xdr:cNvSpPr>
              <a:spLocks/>
            </xdr:cNvSpPr>
          </xdr:nvSpPr>
          <xdr:spPr>
            <a:xfrm>
              <a:off x="4517716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247A209-4E68-1244-833E-C25D4152EFB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2">
          <xdr:nvSpPr>
            <xdr:cNvPr id="802" name="Rectangle 801">
              <a:extLst>
                <a:ext uri="{FF2B5EF4-FFF2-40B4-BE49-F238E27FC236}">
                  <a16:creationId xmlns:a16="http://schemas.microsoft.com/office/drawing/2014/main" id="{2218DBFF-0000-F148-8670-0A277ACB15AD}"/>
                </a:ext>
              </a:extLst>
            </xdr:cNvPr>
            <xdr:cNvSpPr>
              <a:spLocks/>
            </xdr:cNvSpPr>
          </xdr:nvSpPr>
          <xdr:spPr>
            <a:xfrm>
              <a:off x="45601708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708EF94-1072-B44C-B08A-5D86BBB00DB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2">
          <xdr:nvSpPr>
            <xdr:cNvPr id="803" name="Rectangle 802">
              <a:extLst>
                <a:ext uri="{FF2B5EF4-FFF2-40B4-BE49-F238E27FC236}">
                  <a16:creationId xmlns:a16="http://schemas.microsoft.com/office/drawing/2014/main" id="{0633B9D9-E6E6-E640-9063-A6A300AEF74C}"/>
                </a:ext>
              </a:extLst>
            </xdr:cNvPr>
            <xdr:cNvSpPr>
              <a:spLocks/>
            </xdr:cNvSpPr>
          </xdr:nvSpPr>
          <xdr:spPr>
            <a:xfrm>
              <a:off x="43470416" y="231865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0AE4E33-6E11-2F41-80BC-31190D2266F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3">
          <xdr:nvSpPr>
            <xdr:cNvPr id="804" name="Rectangle 803">
              <a:extLst>
                <a:ext uri="{FF2B5EF4-FFF2-40B4-BE49-F238E27FC236}">
                  <a16:creationId xmlns:a16="http://schemas.microsoft.com/office/drawing/2014/main" id="{6A900BB2-627F-FA41-B6F8-0A617C08F8E4}"/>
                </a:ext>
              </a:extLst>
            </xdr:cNvPr>
            <xdr:cNvSpPr>
              <a:spLocks/>
            </xdr:cNvSpPr>
          </xdr:nvSpPr>
          <xdr:spPr>
            <a:xfrm>
              <a:off x="41870089" y="26706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758B4F4-4195-0544-A740-2B7514C8DFB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11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4">
          <xdr:nvSpPr>
            <xdr:cNvPr id="805" name="Rectangle 804">
              <a:extLst>
                <a:ext uri="{FF2B5EF4-FFF2-40B4-BE49-F238E27FC236}">
                  <a16:creationId xmlns:a16="http://schemas.microsoft.com/office/drawing/2014/main" id="{D24B1DFB-F74D-DC42-B4B9-DD449E7DAB03}"/>
                </a:ext>
              </a:extLst>
            </xdr:cNvPr>
            <xdr:cNvSpPr>
              <a:spLocks/>
            </xdr:cNvSpPr>
          </xdr:nvSpPr>
          <xdr:spPr>
            <a:xfrm>
              <a:off x="41870089" y="300445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308912-FAD2-C54D-B9BD-19961D22E0A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13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5">
          <xdr:nvSpPr>
            <xdr:cNvPr id="806" name="Rectangle 805">
              <a:extLst>
                <a:ext uri="{FF2B5EF4-FFF2-40B4-BE49-F238E27FC236}">
                  <a16:creationId xmlns:a16="http://schemas.microsoft.com/office/drawing/2014/main" id="{57C1020F-521C-8341-B6D0-42A3977FCF08}"/>
                </a:ext>
              </a:extLst>
            </xdr:cNvPr>
            <xdr:cNvSpPr>
              <a:spLocks/>
            </xdr:cNvSpPr>
          </xdr:nvSpPr>
          <xdr:spPr>
            <a:xfrm>
              <a:off x="41870089" y="335642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E4C79B-D853-914C-A941-412E599455D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14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6">
          <xdr:nvSpPr>
            <xdr:cNvPr id="807" name="Rectangle 806">
              <a:extLst>
                <a:ext uri="{FF2B5EF4-FFF2-40B4-BE49-F238E27FC236}">
                  <a16:creationId xmlns:a16="http://schemas.microsoft.com/office/drawing/2014/main" id="{0B73DF24-4907-0746-A7F1-8F248415A920}"/>
                </a:ext>
              </a:extLst>
            </xdr:cNvPr>
            <xdr:cNvSpPr>
              <a:spLocks/>
            </xdr:cNvSpPr>
          </xdr:nvSpPr>
          <xdr:spPr>
            <a:xfrm>
              <a:off x="41870089" y="370839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AAD2A62-A240-0840-B55F-231EA2ACB20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3">
          <xdr:nvSpPr>
            <xdr:cNvPr id="808" name="Rectangle 807">
              <a:extLst>
                <a:ext uri="{FF2B5EF4-FFF2-40B4-BE49-F238E27FC236}">
                  <a16:creationId xmlns:a16="http://schemas.microsoft.com/office/drawing/2014/main" id="{666B5020-ABF3-F649-A30E-E25D85DDFA01}"/>
                </a:ext>
              </a:extLst>
            </xdr:cNvPr>
            <xdr:cNvSpPr>
              <a:spLocks/>
            </xdr:cNvSpPr>
          </xdr:nvSpPr>
          <xdr:spPr>
            <a:xfrm>
              <a:off x="43905844" y="267062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6E63D07-6BC1-E44C-B4D1-6B787270A1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3">
          <xdr:nvSpPr>
            <xdr:cNvPr id="809" name="Rectangle 808">
              <a:extLst>
                <a:ext uri="{FF2B5EF4-FFF2-40B4-BE49-F238E27FC236}">
                  <a16:creationId xmlns:a16="http://schemas.microsoft.com/office/drawing/2014/main" id="{82D4ED33-8CA7-C448-AEED-9807CC442C05}"/>
                </a:ext>
              </a:extLst>
            </xdr:cNvPr>
            <xdr:cNvSpPr>
              <a:spLocks/>
            </xdr:cNvSpPr>
          </xdr:nvSpPr>
          <xdr:spPr>
            <a:xfrm>
              <a:off x="44335337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780C649-9093-0641-A093-5B690627935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3">
          <xdr:nvSpPr>
            <xdr:cNvPr id="810" name="Rectangle 809">
              <a:extLst>
                <a:ext uri="{FF2B5EF4-FFF2-40B4-BE49-F238E27FC236}">
                  <a16:creationId xmlns:a16="http://schemas.microsoft.com/office/drawing/2014/main" id="{4B7181EC-1532-744A-9135-ABF4D0A7F396}"/>
                </a:ext>
              </a:extLst>
            </xdr:cNvPr>
            <xdr:cNvSpPr>
              <a:spLocks/>
            </xdr:cNvSpPr>
          </xdr:nvSpPr>
          <xdr:spPr>
            <a:xfrm>
              <a:off x="44759879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0FE4AD2-6BB9-A349-9924-2B0418599F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3">
          <xdr:nvSpPr>
            <xdr:cNvPr id="811" name="Rectangle 810">
              <a:extLst>
                <a:ext uri="{FF2B5EF4-FFF2-40B4-BE49-F238E27FC236}">
                  <a16:creationId xmlns:a16="http://schemas.microsoft.com/office/drawing/2014/main" id="{E4FA49F1-3530-6447-A283-A45BA588B6D2}"/>
                </a:ext>
              </a:extLst>
            </xdr:cNvPr>
            <xdr:cNvSpPr>
              <a:spLocks/>
            </xdr:cNvSpPr>
          </xdr:nvSpPr>
          <xdr:spPr>
            <a:xfrm>
              <a:off x="4518442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D2433B8-A6AA-4F49-8BB5-6E11F098C00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3">
          <xdr:nvSpPr>
            <xdr:cNvPr id="812" name="Rectangle 811">
              <a:extLst>
                <a:ext uri="{FF2B5EF4-FFF2-40B4-BE49-F238E27FC236}">
                  <a16:creationId xmlns:a16="http://schemas.microsoft.com/office/drawing/2014/main" id="{1FA02761-6AC0-534E-9A80-187AF835EC3E}"/>
                </a:ext>
              </a:extLst>
            </xdr:cNvPr>
            <xdr:cNvSpPr>
              <a:spLocks/>
            </xdr:cNvSpPr>
          </xdr:nvSpPr>
          <xdr:spPr>
            <a:xfrm>
              <a:off x="45608964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1A5E35-DCFB-9445-85B6-9EE511165DE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3">
          <xdr:nvSpPr>
            <xdr:cNvPr id="813" name="Rectangle 812">
              <a:extLst>
                <a:ext uri="{FF2B5EF4-FFF2-40B4-BE49-F238E27FC236}">
                  <a16:creationId xmlns:a16="http://schemas.microsoft.com/office/drawing/2014/main" id="{880935CF-339C-9E42-B12F-30BD24DE2B83}"/>
                </a:ext>
              </a:extLst>
            </xdr:cNvPr>
            <xdr:cNvSpPr>
              <a:spLocks/>
            </xdr:cNvSpPr>
          </xdr:nvSpPr>
          <xdr:spPr>
            <a:xfrm>
              <a:off x="43477672" y="267062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D9FFA5-94DA-E841-AC07-9ACCB915884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4">
          <xdr:nvSpPr>
            <xdr:cNvPr id="814" name="Rectangle 813">
              <a:extLst>
                <a:ext uri="{FF2B5EF4-FFF2-40B4-BE49-F238E27FC236}">
                  <a16:creationId xmlns:a16="http://schemas.microsoft.com/office/drawing/2014/main" id="{18AD0220-258B-1142-9F3E-B8958449192B}"/>
                </a:ext>
              </a:extLst>
            </xdr:cNvPr>
            <xdr:cNvSpPr>
              <a:spLocks/>
            </xdr:cNvSpPr>
          </xdr:nvSpPr>
          <xdr:spPr>
            <a:xfrm>
              <a:off x="43894957" y="300445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CAEF160-DD50-5349-8247-8C86A0A5996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4">
          <xdr:nvSpPr>
            <xdr:cNvPr id="815" name="Rectangle 814">
              <a:extLst>
                <a:ext uri="{FF2B5EF4-FFF2-40B4-BE49-F238E27FC236}">
                  <a16:creationId xmlns:a16="http://schemas.microsoft.com/office/drawing/2014/main" id="{13FC4390-6D97-7C45-A382-7DE252BFA2A9}"/>
                </a:ext>
              </a:extLst>
            </xdr:cNvPr>
            <xdr:cNvSpPr>
              <a:spLocks/>
            </xdr:cNvSpPr>
          </xdr:nvSpPr>
          <xdr:spPr>
            <a:xfrm>
              <a:off x="44324450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E08DC87-CE8C-DC47-A4AD-7D01B373BCA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4">
          <xdr:nvSpPr>
            <xdr:cNvPr id="816" name="Rectangle 815">
              <a:extLst>
                <a:ext uri="{FF2B5EF4-FFF2-40B4-BE49-F238E27FC236}">
                  <a16:creationId xmlns:a16="http://schemas.microsoft.com/office/drawing/2014/main" id="{5149131F-DDA4-7F45-A8EE-124C8F7D23CB}"/>
                </a:ext>
              </a:extLst>
            </xdr:cNvPr>
            <xdr:cNvSpPr>
              <a:spLocks/>
            </xdr:cNvSpPr>
          </xdr:nvSpPr>
          <xdr:spPr>
            <a:xfrm>
              <a:off x="44748992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5D85828-C101-8648-B9B1-A357405E853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4">
          <xdr:nvSpPr>
            <xdr:cNvPr id="817" name="Rectangle 816">
              <a:extLst>
                <a:ext uri="{FF2B5EF4-FFF2-40B4-BE49-F238E27FC236}">
                  <a16:creationId xmlns:a16="http://schemas.microsoft.com/office/drawing/2014/main" id="{94468776-3E7C-1040-88C7-463BC1B15689}"/>
                </a:ext>
              </a:extLst>
            </xdr:cNvPr>
            <xdr:cNvSpPr>
              <a:spLocks/>
            </xdr:cNvSpPr>
          </xdr:nvSpPr>
          <xdr:spPr>
            <a:xfrm>
              <a:off x="4517353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6A876A3-DBED-F54C-B6A4-8D99D33AC8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4">
          <xdr:nvSpPr>
            <xdr:cNvPr id="818" name="Rectangle 817">
              <a:extLst>
                <a:ext uri="{FF2B5EF4-FFF2-40B4-BE49-F238E27FC236}">
                  <a16:creationId xmlns:a16="http://schemas.microsoft.com/office/drawing/2014/main" id="{D3A9B285-5250-024C-9A08-7A9BD993D8CB}"/>
                </a:ext>
              </a:extLst>
            </xdr:cNvPr>
            <xdr:cNvSpPr>
              <a:spLocks/>
            </xdr:cNvSpPr>
          </xdr:nvSpPr>
          <xdr:spPr>
            <a:xfrm>
              <a:off x="45598077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B789DB2-9F50-1B4A-9D17-2474FA5709A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4">
          <xdr:nvSpPr>
            <xdr:cNvPr id="819" name="Rectangle 818">
              <a:extLst>
                <a:ext uri="{FF2B5EF4-FFF2-40B4-BE49-F238E27FC236}">
                  <a16:creationId xmlns:a16="http://schemas.microsoft.com/office/drawing/2014/main" id="{901696BF-C725-3640-998A-CABCD73D5A5B}"/>
                </a:ext>
              </a:extLst>
            </xdr:cNvPr>
            <xdr:cNvSpPr>
              <a:spLocks/>
            </xdr:cNvSpPr>
          </xdr:nvSpPr>
          <xdr:spPr>
            <a:xfrm>
              <a:off x="43466785" y="300445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2CFDB32-24D1-3148-9915-BC9AE0B6C6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5">
          <xdr:nvSpPr>
            <xdr:cNvPr id="820" name="Rectangle 819">
              <a:extLst>
                <a:ext uri="{FF2B5EF4-FFF2-40B4-BE49-F238E27FC236}">
                  <a16:creationId xmlns:a16="http://schemas.microsoft.com/office/drawing/2014/main" id="{536633E7-E49A-1040-A071-3C8FCC0EAA1E}"/>
                </a:ext>
              </a:extLst>
            </xdr:cNvPr>
            <xdr:cNvSpPr>
              <a:spLocks/>
            </xdr:cNvSpPr>
          </xdr:nvSpPr>
          <xdr:spPr>
            <a:xfrm>
              <a:off x="43884070" y="3356431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0BF53D-69E6-E849-9490-C602F46FAEC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5">
          <xdr:nvSpPr>
            <xdr:cNvPr id="821" name="Rectangle 820">
              <a:extLst>
                <a:ext uri="{FF2B5EF4-FFF2-40B4-BE49-F238E27FC236}">
                  <a16:creationId xmlns:a16="http://schemas.microsoft.com/office/drawing/2014/main" id="{A20BB01A-3BB4-674D-8FE2-01EE30892F9E}"/>
                </a:ext>
              </a:extLst>
            </xdr:cNvPr>
            <xdr:cNvSpPr>
              <a:spLocks/>
            </xdr:cNvSpPr>
          </xdr:nvSpPr>
          <xdr:spPr>
            <a:xfrm>
              <a:off x="44313563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20AF59-E9FF-CA41-8D57-2D4A081D942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5">
          <xdr:nvSpPr>
            <xdr:cNvPr id="822" name="Rectangle 821">
              <a:extLst>
                <a:ext uri="{FF2B5EF4-FFF2-40B4-BE49-F238E27FC236}">
                  <a16:creationId xmlns:a16="http://schemas.microsoft.com/office/drawing/2014/main" id="{6815E121-30AF-314F-BA89-2CF1DF5F9A56}"/>
                </a:ext>
              </a:extLst>
            </xdr:cNvPr>
            <xdr:cNvSpPr>
              <a:spLocks/>
            </xdr:cNvSpPr>
          </xdr:nvSpPr>
          <xdr:spPr>
            <a:xfrm>
              <a:off x="44738105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E6EBE55-A369-004C-9EAC-6EEE41F7AF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5">
          <xdr:nvSpPr>
            <xdr:cNvPr id="823" name="Rectangle 822">
              <a:extLst>
                <a:ext uri="{FF2B5EF4-FFF2-40B4-BE49-F238E27FC236}">
                  <a16:creationId xmlns:a16="http://schemas.microsoft.com/office/drawing/2014/main" id="{53F23657-021E-D744-ADAD-F9107FD08D91}"/>
                </a:ext>
              </a:extLst>
            </xdr:cNvPr>
            <xdr:cNvSpPr>
              <a:spLocks/>
            </xdr:cNvSpPr>
          </xdr:nvSpPr>
          <xdr:spPr>
            <a:xfrm>
              <a:off x="4516264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C11A793-3067-D448-9934-5CF192EFF57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5">
          <xdr:nvSpPr>
            <xdr:cNvPr id="824" name="Rectangle 823">
              <a:extLst>
                <a:ext uri="{FF2B5EF4-FFF2-40B4-BE49-F238E27FC236}">
                  <a16:creationId xmlns:a16="http://schemas.microsoft.com/office/drawing/2014/main" id="{EC046EA5-68AF-3647-8089-014C8F0A74A7}"/>
                </a:ext>
              </a:extLst>
            </xdr:cNvPr>
            <xdr:cNvSpPr>
              <a:spLocks/>
            </xdr:cNvSpPr>
          </xdr:nvSpPr>
          <xdr:spPr>
            <a:xfrm>
              <a:off x="45587190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8F206F8-5CFD-F847-8798-0B10FA5C1B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5">
          <xdr:nvSpPr>
            <xdr:cNvPr id="825" name="Rectangle 824">
              <a:extLst>
                <a:ext uri="{FF2B5EF4-FFF2-40B4-BE49-F238E27FC236}">
                  <a16:creationId xmlns:a16="http://schemas.microsoft.com/office/drawing/2014/main" id="{13AF9D42-5712-D245-9254-F2F13E02DBB5}"/>
                </a:ext>
              </a:extLst>
            </xdr:cNvPr>
            <xdr:cNvSpPr>
              <a:spLocks/>
            </xdr:cNvSpPr>
          </xdr:nvSpPr>
          <xdr:spPr>
            <a:xfrm>
              <a:off x="43455898" y="3356431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759BE87-7269-7240-A5CA-666A1305928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6">
          <xdr:nvSpPr>
            <xdr:cNvPr id="826" name="Rectangle 825">
              <a:extLst>
                <a:ext uri="{FF2B5EF4-FFF2-40B4-BE49-F238E27FC236}">
                  <a16:creationId xmlns:a16="http://schemas.microsoft.com/office/drawing/2014/main" id="{39C4D0AA-ADC0-AE4D-B89C-933BFEB50FCC}"/>
                </a:ext>
              </a:extLst>
            </xdr:cNvPr>
            <xdr:cNvSpPr>
              <a:spLocks/>
            </xdr:cNvSpPr>
          </xdr:nvSpPr>
          <xdr:spPr>
            <a:xfrm>
              <a:off x="43873183" y="3708404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26B4A21-219D-7F43-B176-815192469A5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6">
          <xdr:nvSpPr>
            <xdr:cNvPr id="827" name="Rectangle 826">
              <a:extLst>
                <a:ext uri="{FF2B5EF4-FFF2-40B4-BE49-F238E27FC236}">
                  <a16:creationId xmlns:a16="http://schemas.microsoft.com/office/drawing/2014/main" id="{1312F300-53FF-F440-97DE-3F93DCD94E0A}"/>
                </a:ext>
              </a:extLst>
            </xdr:cNvPr>
            <xdr:cNvSpPr>
              <a:spLocks/>
            </xdr:cNvSpPr>
          </xdr:nvSpPr>
          <xdr:spPr>
            <a:xfrm>
              <a:off x="44302676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6E125F8-BCA8-FC42-B1FC-705A70457D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6">
          <xdr:nvSpPr>
            <xdr:cNvPr id="828" name="Rectangle 827">
              <a:extLst>
                <a:ext uri="{FF2B5EF4-FFF2-40B4-BE49-F238E27FC236}">
                  <a16:creationId xmlns:a16="http://schemas.microsoft.com/office/drawing/2014/main" id="{0F51B529-180F-4148-A81A-27FEE70D9071}"/>
                </a:ext>
              </a:extLst>
            </xdr:cNvPr>
            <xdr:cNvSpPr>
              <a:spLocks/>
            </xdr:cNvSpPr>
          </xdr:nvSpPr>
          <xdr:spPr>
            <a:xfrm>
              <a:off x="44727218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5FAF9B-38A1-2849-A0F5-8CA694EED0E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6">
          <xdr:nvSpPr>
            <xdr:cNvPr id="829" name="Rectangle 828">
              <a:extLst>
                <a:ext uri="{FF2B5EF4-FFF2-40B4-BE49-F238E27FC236}">
                  <a16:creationId xmlns:a16="http://schemas.microsoft.com/office/drawing/2014/main" id="{3534E01D-E364-7D4A-99A9-7B4CE9C9A078}"/>
                </a:ext>
              </a:extLst>
            </xdr:cNvPr>
            <xdr:cNvSpPr>
              <a:spLocks/>
            </xdr:cNvSpPr>
          </xdr:nvSpPr>
          <xdr:spPr>
            <a:xfrm>
              <a:off x="4515176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795943B-CB54-844F-B42A-8D740E8D3D1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6">
          <xdr:nvSpPr>
            <xdr:cNvPr id="830" name="Rectangle 829">
              <a:extLst>
                <a:ext uri="{FF2B5EF4-FFF2-40B4-BE49-F238E27FC236}">
                  <a16:creationId xmlns:a16="http://schemas.microsoft.com/office/drawing/2014/main" id="{46F3370A-84C6-4049-AF72-16A934B3BCFD}"/>
                </a:ext>
              </a:extLst>
            </xdr:cNvPr>
            <xdr:cNvSpPr>
              <a:spLocks/>
            </xdr:cNvSpPr>
          </xdr:nvSpPr>
          <xdr:spPr>
            <a:xfrm>
              <a:off x="45576303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570D63E-8F63-BF42-A7E8-A4547873958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6">
          <xdr:nvSpPr>
            <xdr:cNvPr id="831" name="Rectangle 830">
              <a:extLst>
                <a:ext uri="{FF2B5EF4-FFF2-40B4-BE49-F238E27FC236}">
                  <a16:creationId xmlns:a16="http://schemas.microsoft.com/office/drawing/2014/main" id="{43160A56-B32D-474B-8881-DD325B0066DF}"/>
                </a:ext>
              </a:extLst>
            </xdr:cNvPr>
            <xdr:cNvSpPr>
              <a:spLocks/>
            </xdr:cNvSpPr>
          </xdr:nvSpPr>
          <xdr:spPr>
            <a:xfrm>
              <a:off x="43445011" y="3708404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284A3F-E40B-5D47-A477-5E57217DD5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6" name="Group 695">
            <a:extLst>
              <a:ext uri="{FF2B5EF4-FFF2-40B4-BE49-F238E27FC236}">
                <a16:creationId xmlns:a16="http://schemas.microsoft.com/office/drawing/2014/main" id="{7AC43F35-8956-F746-BB23-109B6D05EB78}"/>
              </a:ext>
            </a:extLst>
          </xdr:cNvPr>
          <xdr:cNvGrpSpPr/>
        </xdr:nvGrpSpPr>
        <xdr:grpSpPr>
          <a:xfrm>
            <a:off x="41870089" y="4060377"/>
            <a:ext cx="4104629" cy="1682212"/>
            <a:chOff x="41870089" y="4060377"/>
            <a:chExt cx="4104629" cy="1682212"/>
          </a:xfrm>
        </xdr:grpSpPr>
        <xdr:sp macro="" textlink="Players1ANALYSIS!$A$7">
          <xdr:nvSpPr>
            <xdr:cNvPr id="762" name="Rectangle 761">
              <a:extLst>
                <a:ext uri="{FF2B5EF4-FFF2-40B4-BE49-F238E27FC236}">
                  <a16:creationId xmlns:a16="http://schemas.microsoft.com/office/drawing/2014/main" id="{7B744C40-7C6D-6141-B7DF-B8493DE8769D}"/>
                </a:ext>
              </a:extLst>
            </xdr:cNvPr>
            <xdr:cNvSpPr>
              <a:spLocks/>
            </xdr:cNvSpPr>
          </xdr:nvSpPr>
          <xdr:spPr>
            <a:xfrm>
              <a:off x="41870089" y="4067625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FA6640F-D856-9842-85B5-82B46D708BB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8">
          <xdr:nvSpPr>
            <xdr:cNvPr id="763" name="Rectangle 762">
              <a:extLst>
                <a:ext uri="{FF2B5EF4-FFF2-40B4-BE49-F238E27FC236}">
                  <a16:creationId xmlns:a16="http://schemas.microsoft.com/office/drawing/2014/main" id="{6969E50B-6E3E-3548-BA07-9E9A69BF9B9E}"/>
                </a:ext>
              </a:extLst>
            </xdr:cNvPr>
            <xdr:cNvSpPr>
              <a:spLocks/>
            </xdr:cNvSpPr>
          </xdr:nvSpPr>
          <xdr:spPr>
            <a:xfrm>
              <a:off x="41870089" y="44195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DC5C374-A395-5C4F-867C-778201DE5E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9">
          <xdr:nvSpPr>
            <xdr:cNvPr id="764" name="Rectangle 763">
              <a:extLst>
                <a:ext uri="{FF2B5EF4-FFF2-40B4-BE49-F238E27FC236}">
                  <a16:creationId xmlns:a16="http://schemas.microsoft.com/office/drawing/2014/main" id="{3C0575D0-DF8F-4E4C-BBDA-0DC819C4E671}"/>
                </a:ext>
              </a:extLst>
            </xdr:cNvPr>
            <xdr:cNvSpPr>
              <a:spLocks/>
            </xdr:cNvSpPr>
          </xdr:nvSpPr>
          <xdr:spPr>
            <a:xfrm>
              <a:off x="41870089" y="4753426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2CC12C2-A150-8F45-AD83-6A03DAE0810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6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0">
          <xdr:nvSpPr>
            <xdr:cNvPr id="765" name="Rectangle 764">
              <a:extLst>
                <a:ext uri="{FF2B5EF4-FFF2-40B4-BE49-F238E27FC236}">
                  <a16:creationId xmlns:a16="http://schemas.microsoft.com/office/drawing/2014/main" id="{BE5CEADC-0D79-1E47-8720-275417297EE1}"/>
                </a:ext>
              </a:extLst>
            </xdr:cNvPr>
            <xdr:cNvSpPr>
              <a:spLocks/>
            </xdr:cNvSpPr>
          </xdr:nvSpPr>
          <xdr:spPr>
            <a:xfrm>
              <a:off x="41870089" y="5105397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3B52E1D-CDF8-1F40-9461-2178638082D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9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1">
          <xdr:nvSpPr>
            <xdr:cNvPr id="766" name="Rectangle 765">
              <a:extLst>
                <a:ext uri="{FF2B5EF4-FFF2-40B4-BE49-F238E27FC236}">
                  <a16:creationId xmlns:a16="http://schemas.microsoft.com/office/drawing/2014/main" id="{1FE68EE3-B7EB-8D49-BAAF-DF03CDF7EB43}"/>
                </a:ext>
              </a:extLst>
            </xdr:cNvPr>
            <xdr:cNvSpPr>
              <a:spLocks/>
            </xdr:cNvSpPr>
          </xdr:nvSpPr>
          <xdr:spPr>
            <a:xfrm>
              <a:off x="41870089" y="545736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EDACEB-07CE-6844-A64A-82D335C8510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All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7">
          <xdr:nvSpPr>
            <xdr:cNvPr id="767" name="Rectangle 766">
              <a:extLst>
                <a:ext uri="{FF2B5EF4-FFF2-40B4-BE49-F238E27FC236}">
                  <a16:creationId xmlns:a16="http://schemas.microsoft.com/office/drawing/2014/main" id="{5BB4E4DF-99B2-2945-BD87-9D3AE94C6D5D}"/>
                </a:ext>
              </a:extLst>
            </xdr:cNvPr>
            <xdr:cNvSpPr>
              <a:spLocks/>
            </xdr:cNvSpPr>
          </xdr:nvSpPr>
          <xdr:spPr>
            <a:xfrm>
              <a:off x="43880439" y="4060377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9640919-7D2D-7941-8DDF-27C1D435D14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7">
          <xdr:nvSpPr>
            <xdr:cNvPr id="768" name="Rectangle 767">
              <a:extLst>
                <a:ext uri="{FF2B5EF4-FFF2-40B4-BE49-F238E27FC236}">
                  <a16:creationId xmlns:a16="http://schemas.microsoft.com/office/drawing/2014/main" id="{A002DF2E-F433-CD44-AF5B-0AA5001DAF97}"/>
                </a:ext>
              </a:extLst>
            </xdr:cNvPr>
            <xdr:cNvSpPr>
              <a:spLocks/>
            </xdr:cNvSpPr>
          </xdr:nvSpPr>
          <xdr:spPr>
            <a:xfrm>
              <a:off x="44309932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0D9A46-DB39-894A-AF2C-61C0FFBDB9F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7">
          <xdr:nvSpPr>
            <xdr:cNvPr id="769" name="Rectangle 768">
              <a:extLst>
                <a:ext uri="{FF2B5EF4-FFF2-40B4-BE49-F238E27FC236}">
                  <a16:creationId xmlns:a16="http://schemas.microsoft.com/office/drawing/2014/main" id="{1A09FCC8-2AB6-BB49-962D-3C3B5FBA5D76}"/>
                </a:ext>
              </a:extLst>
            </xdr:cNvPr>
            <xdr:cNvSpPr>
              <a:spLocks/>
            </xdr:cNvSpPr>
          </xdr:nvSpPr>
          <xdr:spPr>
            <a:xfrm>
              <a:off x="44734474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9806F91-6896-B042-A01B-CB3DC29AF4F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7">
          <xdr:nvSpPr>
            <xdr:cNvPr id="770" name="Rectangle 769">
              <a:extLst>
                <a:ext uri="{FF2B5EF4-FFF2-40B4-BE49-F238E27FC236}">
                  <a16:creationId xmlns:a16="http://schemas.microsoft.com/office/drawing/2014/main" id="{AF0D434E-F599-D042-9A64-45DEDEE456EF}"/>
                </a:ext>
              </a:extLst>
            </xdr:cNvPr>
            <xdr:cNvSpPr>
              <a:spLocks/>
            </xdr:cNvSpPr>
          </xdr:nvSpPr>
          <xdr:spPr>
            <a:xfrm>
              <a:off x="4515901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869FA0-DDCB-6C40-AE46-14662087FA2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7">
          <xdr:nvSpPr>
            <xdr:cNvPr id="771" name="Rectangle 770">
              <a:extLst>
                <a:ext uri="{FF2B5EF4-FFF2-40B4-BE49-F238E27FC236}">
                  <a16:creationId xmlns:a16="http://schemas.microsoft.com/office/drawing/2014/main" id="{A8F94D9D-9096-024C-A684-01B6568B508C}"/>
                </a:ext>
              </a:extLst>
            </xdr:cNvPr>
            <xdr:cNvSpPr>
              <a:spLocks/>
            </xdr:cNvSpPr>
          </xdr:nvSpPr>
          <xdr:spPr>
            <a:xfrm>
              <a:off x="45583559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1BB84B-A6A6-A647-9536-7B00C88AD0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7">
          <xdr:nvSpPr>
            <xdr:cNvPr id="772" name="Rectangle 771">
              <a:extLst>
                <a:ext uri="{FF2B5EF4-FFF2-40B4-BE49-F238E27FC236}">
                  <a16:creationId xmlns:a16="http://schemas.microsoft.com/office/drawing/2014/main" id="{00B25CBD-1231-C149-9B6B-67148C3BBED7}"/>
                </a:ext>
              </a:extLst>
            </xdr:cNvPr>
            <xdr:cNvSpPr>
              <a:spLocks/>
            </xdr:cNvSpPr>
          </xdr:nvSpPr>
          <xdr:spPr>
            <a:xfrm>
              <a:off x="43452267" y="4060377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93C5AB5-20B8-EA44-9EE5-F966FFB2013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8">
          <xdr:nvSpPr>
            <xdr:cNvPr id="773" name="Rectangle 772">
              <a:extLst>
                <a:ext uri="{FF2B5EF4-FFF2-40B4-BE49-F238E27FC236}">
                  <a16:creationId xmlns:a16="http://schemas.microsoft.com/office/drawing/2014/main" id="{7F61F7ED-A4C6-7B44-ACA6-7FD3CBB6F657}"/>
                </a:ext>
              </a:extLst>
            </xdr:cNvPr>
            <xdr:cNvSpPr>
              <a:spLocks/>
            </xdr:cNvSpPr>
          </xdr:nvSpPr>
          <xdr:spPr>
            <a:xfrm>
              <a:off x="43905838" y="443049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CE0CE64-BE15-D941-AA46-525654EEC1C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8">
          <xdr:nvSpPr>
            <xdr:cNvPr id="774" name="Rectangle 773">
              <a:extLst>
                <a:ext uri="{FF2B5EF4-FFF2-40B4-BE49-F238E27FC236}">
                  <a16:creationId xmlns:a16="http://schemas.microsoft.com/office/drawing/2014/main" id="{AE901B95-ECE9-8542-BB83-969470C8A66A}"/>
                </a:ext>
              </a:extLst>
            </xdr:cNvPr>
            <xdr:cNvSpPr>
              <a:spLocks/>
            </xdr:cNvSpPr>
          </xdr:nvSpPr>
          <xdr:spPr>
            <a:xfrm>
              <a:off x="44335331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69BBF74-C7A3-BC4D-9DD8-BCFD51970BE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8">
          <xdr:nvSpPr>
            <xdr:cNvPr id="775" name="Rectangle 774">
              <a:extLst>
                <a:ext uri="{FF2B5EF4-FFF2-40B4-BE49-F238E27FC236}">
                  <a16:creationId xmlns:a16="http://schemas.microsoft.com/office/drawing/2014/main" id="{5FAFF119-AF27-F34B-AF18-9EF8E481714E}"/>
                </a:ext>
              </a:extLst>
            </xdr:cNvPr>
            <xdr:cNvSpPr>
              <a:spLocks/>
            </xdr:cNvSpPr>
          </xdr:nvSpPr>
          <xdr:spPr>
            <a:xfrm>
              <a:off x="44759873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0D36ADB-CFCE-2D4F-B14C-E3C2CA3DE0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8">
          <xdr:nvSpPr>
            <xdr:cNvPr id="776" name="Rectangle 775">
              <a:extLst>
                <a:ext uri="{FF2B5EF4-FFF2-40B4-BE49-F238E27FC236}">
                  <a16:creationId xmlns:a16="http://schemas.microsoft.com/office/drawing/2014/main" id="{062AA082-074A-F54F-9372-85CBC00BF846}"/>
                </a:ext>
              </a:extLst>
            </xdr:cNvPr>
            <xdr:cNvSpPr>
              <a:spLocks/>
            </xdr:cNvSpPr>
          </xdr:nvSpPr>
          <xdr:spPr>
            <a:xfrm>
              <a:off x="4518441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6FE4914-AF4B-8C40-A5F0-0BEF5F316F8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100%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8">
          <xdr:nvSpPr>
            <xdr:cNvPr id="777" name="Rectangle 776">
              <a:extLst>
                <a:ext uri="{FF2B5EF4-FFF2-40B4-BE49-F238E27FC236}">
                  <a16:creationId xmlns:a16="http://schemas.microsoft.com/office/drawing/2014/main" id="{DB1F71E8-9EDE-F048-8EA7-74C03BE9FF12}"/>
                </a:ext>
              </a:extLst>
            </xdr:cNvPr>
            <xdr:cNvSpPr>
              <a:spLocks/>
            </xdr:cNvSpPr>
          </xdr:nvSpPr>
          <xdr:spPr>
            <a:xfrm>
              <a:off x="45608958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AF1D319-7F47-7543-874C-C3032FEE5CA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8">
          <xdr:nvSpPr>
            <xdr:cNvPr id="778" name="Rectangle 777">
              <a:extLst>
                <a:ext uri="{FF2B5EF4-FFF2-40B4-BE49-F238E27FC236}">
                  <a16:creationId xmlns:a16="http://schemas.microsoft.com/office/drawing/2014/main" id="{FFAE55F8-063E-6342-9146-57006D71C110}"/>
                </a:ext>
              </a:extLst>
            </xdr:cNvPr>
            <xdr:cNvSpPr>
              <a:spLocks/>
            </xdr:cNvSpPr>
          </xdr:nvSpPr>
          <xdr:spPr>
            <a:xfrm>
              <a:off x="43477666" y="443049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AC05FE7-CE6A-7249-A931-B4414A7588D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9">
          <xdr:nvSpPr>
            <xdr:cNvPr id="779" name="Rectangle 778">
              <a:extLst>
                <a:ext uri="{FF2B5EF4-FFF2-40B4-BE49-F238E27FC236}">
                  <a16:creationId xmlns:a16="http://schemas.microsoft.com/office/drawing/2014/main" id="{56FE517C-28A4-CB4F-A126-C9E7A4064CFC}"/>
                </a:ext>
              </a:extLst>
            </xdr:cNvPr>
            <xdr:cNvSpPr>
              <a:spLocks/>
            </xdr:cNvSpPr>
          </xdr:nvSpPr>
          <xdr:spPr>
            <a:xfrm>
              <a:off x="43894951" y="4764323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2CFF6CE-C1B1-3F4F-A5A8-4CE04E7CC9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9">
          <xdr:nvSpPr>
            <xdr:cNvPr id="780" name="Rectangle 779">
              <a:extLst>
                <a:ext uri="{FF2B5EF4-FFF2-40B4-BE49-F238E27FC236}">
                  <a16:creationId xmlns:a16="http://schemas.microsoft.com/office/drawing/2014/main" id="{48C7525F-D5CB-C948-94F4-D5C89B98CC24}"/>
                </a:ext>
              </a:extLst>
            </xdr:cNvPr>
            <xdr:cNvSpPr>
              <a:spLocks/>
            </xdr:cNvSpPr>
          </xdr:nvSpPr>
          <xdr:spPr>
            <a:xfrm>
              <a:off x="44324444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33D8A7C-EA16-5C40-ADBB-88AA2D25889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9">
          <xdr:nvSpPr>
            <xdr:cNvPr id="781" name="Rectangle 780">
              <a:extLst>
                <a:ext uri="{FF2B5EF4-FFF2-40B4-BE49-F238E27FC236}">
                  <a16:creationId xmlns:a16="http://schemas.microsoft.com/office/drawing/2014/main" id="{B9639B20-72A3-BC42-BCA4-9EB62552CE43}"/>
                </a:ext>
              </a:extLst>
            </xdr:cNvPr>
            <xdr:cNvSpPr>
              <a:spLocks/>
            </xdr:cNvSpPr>
          </xdr:nvSpPr>
          <xdr:spPr>
            <a:xfrm>
              <a:off x="44748986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33D44FD-C137-8A49-943F-33DBA668322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2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9">
          <xdr:nvSpPr>
            <xdr:cNvPr id="782" name="Rectangle 781">
              <a:extLst>
                <a:ext uri="{FF2B5EF4-FFF2-40B4-BE49-F238E27FC236}">
                  <a16:creationId xmlns:a16="http://schemas.microsoft.com/office/drawing/2014/main" id="{BE530FC9-F754-F340-8D48-1F81DD8698BE}"/>
                </a:ext>
              </a:extLst>
            </xdr:cNvPr>
            <xdr:cNvSpPr>
              <a:spLocks/>
            </xdr:cNvSpPr>
          </xdr:nvSpPr>
          <xdr:spPr>
            <a:xfrm>
              <a:off x="4517352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0453AED-ACA3-C54E-854F-9498E1233B0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9">
          <xdr:nvSpPr>
            <xdr:cNvPr id="783" name="Rectangle 782">
              <a:extLst>
                <a:ext uri="{FF2B5EF4-FFF2-40B4-BE49-F238E27FC236}">
                  <a16:creationId xmlns:a16="http://schemas.microsoft.com/office/drawing/2014/main" id="{44B885AB-2C92-054B-ACD4-FC2DED303944}"/>
                </a:ext>
              </a:extLst>
            </xdr:cNvPr>
            <xdr:cNvSpPr>
              <a:spLocks/>
            </xdr:cNvSpPr>
          </xdr:nvSpPr>
          <xdr:spPr>
            <a:xfrm>
              <a:off x="45598071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9A23DC9-6B43-2D46-A258-5B4241CC27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9">
          <xdr:nvSpPr>
            <xdr:cNvPr id="784" name="Rectangle 783">
              <a:extLst>
                <a:ext uri="{FF2B5EF4-FFF2-40B4-BE49-F238E27FC236}">
                  <a16:creationId xmlns:a16="http://schemas.microsoft.com/office/drawing/2014/main" id="{3312944F-E359-9A48-9514-925C088EA180}"/>
                </a:ext>
              </a:extLst>
            </xdr:cNvPr>
            <xdr:cNvSpPr>
              <a:spLocks/>
            </xdr:cNvSpPr>
          </xdr:nvSpPr>
          <xdr:spPr>
            <a:xfrm>
              <a:off x="43466779" y="4764323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13844D8-B0A4-D442-BB71-64F1D295228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0">
          <xdr:nvSpPr>
            <xdr:cNvPr id="785" name="Rectangle 784">
              <a:extLst>
                <a:ext uri="{FF2B5EF4-FFF2-40B4-BE49-F238E27FC236}">
                  <a16:creationId xmlns:a16="http://schemas.microsoft.com/office/drawing/2014/main" id="{C4F498C3-22DF-3D44-A4B7-D3306E16D5F8}"/>
                </a:ext>
              </a:extLst>
            </xdr:cNvPr>
            <xdr:cNvSpPr>
              <a:spLocks/>
            </xdr:cNvSpPr>
          </xdr:nvSpPr>
          <xdr:spPr>
            <a:xfrm>
              <a:off x="43902207" y="5116296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118B8B9-0431-A444-904A-37BBB79F08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0">
          <xdr:nvSpPr>
            <xdr:cNvPr id="786" name="Rectangle 785">
              <a:extLst>
                <a:ext uri="{FF2B5EF4-FFF2-40B4-BE49-F238E27FC236}">
                  <a16:creationId xmlns:a16="http://schemas.microsoft.com/office/drawing/2014/main" id="{963786B8-8E29-144D-A380-A65CCB4A7D71}"/>
                </a:ext>
              </a:extLst>
            </xdr:cNvPr>
            <xdr:cNvSpPr>
              <a:spLocks/>
            </xdr:cNvSpPr>
          </xdr:nvSpPr>
          <xdr:spPr>
            <a:xfrm>
              <a:off x="44331700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76B6A22-C9C5-5843-AB46-72FE84F22C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0">
          <xdr:nvSpPr>
            <xdr:cNvPr id="787" name="Rectangle 786">
              <a:extLst>
                <a:ext uri="{FF2B5EF4-FFF2-40B4-BE49-F238E27FC236}">
                  <a16:creationId xmlns:a16="http://schemas.microsoft.com/office/drawing/2014/main" id="{56C1F660-6E83-D54D-94B0-A1EE9D6752C6}"/>
                </a:ext>
              </a:extLst>
            </xdr:cNvPr>
            <xdr:cNvSpPr>
              <a:spLocks/>
            </xdr:cNvSpPr>
          </xdr:nvSpPr>
          <xdr:spPr>
            <a:xfrm>
              <a:off x="44756242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78B24B5-FBE4-9D47-87D6-A0A12CA7BAE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5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0">
          <xdr:nvSpPr>
            <xdr:cNvPr id="788" name="Rectangle 787">
              <a:extLst>
                <a:ext uri="{FF2B5EF4-FFF2-40B4-BE49-F238E27FC236}">
                  <a16:creationId xmlns:a16="http://schemas.microsoft.com/office/drawing/2014/main" id="{1D301A67-59BE-414C-8EA4-98BC470452D0}"/>
                </a:ext>
              </a:extLst>
            </xdr:cNvPr>
            <xdr:cNvSpPr>
              <a:spLocks/>
            </xdr:cNvSpPr>
          </xdr:nvSpPr>
          <xdr:spPr>
            <a:xfrm>
              <a:off x="4518078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1C1253A-7D2D-B04B-B9A5-20D8B27A785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40%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0">
          <xdr:nvSpPr>
            <xdr:cNvPr id="789" name="Rectangle 788">
              <a:extLst>
                <a:ext uri="{FF2B5EF4-FFF2-40B4-BE49-F238E27FC236}">
                  <a16:creationId xmlns:a16="http://schemas.microsoft.com/office/drawing/2014/main" id="{4B7CD6B8-6F25-4944-BB77-FA37129DC147}"/>
                </a:ext>
              </a:extLst>
            </xdr:cNvPr>
            <xdr:cNvSpPr>
              <a:spLocks/>
            </xdr:cNvSpPr>
          </xdr:nvSpPr>
          <xdr:spPr>
            <a:xfrm>
              <a:off x="45605327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F0833EB-7108-D743-AA1C-3C7EDEFA01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0">
          <xdr:nvSpPr>
            <xdr:cNvPr id="790" name="Rectangle 789">
              <a:extLst>
                <a:ext uri="{FF2B5EF4-FFF2-40B4-BE49-F238E27FC236}">
                  <a16:creationId xmlns:a16="http://schemas.microsoft.com/office/drawing/2014/main" id="{3D16FFE1-5996-1D46-84D0-25D117A7BBF8}"/>
                </a:ext>
              </a:extLst>
            </xdr:cNvPr>
            <xdr:cNvSpPr>
              <a:spLocks/>
            </xdr:cNvSpPr>
          </xdr:nvSpPr>
          <xdr:spPr>
            <a:xfrm>
              <a:off x="43474035" y="5116296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7A096BC-1336-9B44-BA91-980F7CBDF2F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1">
          <xdr:nvSpPr>
            <xdr:cNvPr id="791" name="Rectangle 790">
              <a:extLst>
                <a:ext uri="{FF2B5EF4-FFF2-40B4-BE49-F238E27FC236}">
                  <a16:creationId xmlns:a16="http://schemas.microsoft.com/office/drawing/2014/main" id="{5F4E21B2-2DBE-3F47-90E6-A2A00D532DE0}"/>
                </a:ext>
              </a:extLst>
            </xdr:cNvPr>
            <xdr:cNvSpPr>
              <a:spLocks/>
            </xdr:cNvSpPr>
          </xdr:nvSpPr>
          <xdr:spPr>
            <a:xfrm>
              <a:off x="43891320" y="546826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2C2E630-F0F9-F149-9608-F535A558C4E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1">
          <xdr:nvSpPr>
            <xdr:cNvPr id="792" name="Rectangle 791">
              <a:extLst>
                <a:ext uri="{FF2B5EF4-FFF2-40B4-BE49-F238E27FC236}">
                  <a16:creationId xmlns:a16="http://schemas.microsoft.com/office/drawing/2014/main" id="{22DB5D15-821B-1B47-B7BE-31AA38961621}"/>
                </a:ext>
              </a:extLst>
            </xdr:cNvPr>
            <xdr:cNvSpPr>
              <a:spLocks/>
            </xdr:cNvSpPr>
          </xdr:nvSpPr>
          <xdr:spPr>
            <a:xfrm>
              <a:off x="44320813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27610AB-F0A3-6A46-A771-7C3B0861E41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1">
          <xdr:nvSpPr>
            <xdr:cNvPr id="793" name="Rectangle 792">
              <a:extLst>
                <a:ext uri="{FF2B5EF4-FFF2-40B4-BE49-F238E27FC236}">
                  <a16:creationId xmlns:a16="http://schemas.microsoft.com/office/drawing/2014/main" id="{6C5C905A-DF78-2E4F-8BA7-9756BFE52029}"/>
                </a:ext>
              </a:extLst>
            </xdr:cNvPr>
            <xdr:cNvSpPr>
              <a:spLocks/>
            </xdr:cNvSpPr>
          </xdr:nvSpPr>
          <xdr:spPr>
            <a:xfrm>
              <a:off x="44745355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01AF031-44F3-604C-BC88-73BA50E194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19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1">
          <xdr:nvSpPr>
            <xdr:cNvPr id="794" name="Rectangle 793">
              <a:extLst>
                <a:ext uri="{FF2B5EF4-FFF2-40B4-BE49-F238E27FC236}">
                  <a16:creationId xmlns:a16="http://schemas.microsoft.com/office/drawing/2014/main" id="{71A6F323-498B-5D47-8505-B1C9F05B95FA}"/>
                </a:ext>
              </a:extLst>
            </xdr:cNvPr>
            <xdr:cNvSpPr>
              <a:spLocks/>
            </xdr:cNvSpPr>
          </xdr:nvSpPr>
          <xdr:spPr>
            <a:xfrm>
              <a:off x="4516989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94C7CAE-F496-604A-891C-5BB707333DA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63%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1">
          <xdr:nvSpPr>
            <xdr:cNvPr id="795" name="Rectangle 794">
              <a:extLst>
                <a:ext uri="{FF2B5EF4-FFF2-40B4-BE49-F238E27FC236}">
                  <a16:creationId xmlns:a16="http://schemas.microsoft.com/office/drawing/2014/main" id="{4DE85E06-D26F-D249-BDC9-9BE2F1C6A40B}"/>
                </a:ext>
              </a:extLst>
            </xdr:cNvPr>
            <xdr:cNvSpPr>
              <a:spLocks/>
            </xdr:cNvSpPr>
          </xdr:nvSpPr>
          <xdr:spPr>
            <a:xfrm>
              <a:off x="45594440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6742D67-D689-2344-9E5D-A05B03B1A1A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1">
          <xdr:nvSpPr>
            <xdr:cNvPr id="796" name="Rectangle 795">
              <a:extLst>
                <a:ext uri="{FF2B5EF4-FFF2-40B4-BE49-F238E27FC236}">
                  <a16:creationId xmlns:a16="http://schemas.microsoft.com/office/drawing/2014/main" id="{2DD0CD29-C6BE-EC48-AFBC-E8DCC8D9A9ED}"/>
                </a:ext>
              </a:extLst>
            </xdr:cNvPr>
            <xdr:cNvSpPr>
              <a:spLocks/>
            </xdr:cNvSpPr>
          </xdr:nvSpPr>
          <xdr:spPr>
            <a:xfrm>
              <a:off x="43463148" y="546826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5F5C9EF-BC88-7D4A-AAE5-EA736B56773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1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7" name="Group 696">
            <a:extLst>
              <a:ext uri="{FF2B5EF4-FFF2-40B4-BE49-F238E27FC236}">
                <a16:creationId xmlns:a16="http://schemas.microsoft.com/office/drawing/2014/main" id="{7770675C-D136-AF46-9CB0-58482241C103}"/>
              </a:ext>
            </a:extLst>
          </xdr:cNvPr>
          <xdr:cNvGrpSpPr/>
        </xdr:nvGrpSpPr>
        <xdr:grpSpPr>
          <a:xfrm>
            <a:off x="41870089" y="5798451"/>
            <a:ext cx="4119135" cy="1333887"/>
            <a:chOff x="41870089" y="5798451"/>
            <a:chExt cx="4119135" cy="1333887"/>
          </a:xfrm>
        </xdr:grpSpPr>
        <xdr:sp macro="" textlink="Players1ANALYSIS!$A$12">
          <xdr:nvSpPr>
            <xdr:cNvPr id="734" name="Rectangle 733">
              <a:extLst>
                <a:ext uri="{FF2B5EF4-FFF2-40B4-BE49-F238E27FC236}">
                  <a16:creationId xmlns:a16="http://schemas.microsoft.com/office/drawing/2014/main" id="{D49770B0-0D05-2C42-ADDD-FE4A69B9F4F6}"/>
                </a:ext>
              </a:extLst>
            </xdr:cNvPr>
            <xdr:cNvSpPr>
              <a:spLocks/>
            </xdr:cNvSpPr>
          </xdr:nvSpPr>
          <xdr:spPr>
            <a:xfrm>
              <a:off x="41870089" y="579845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5A871F-E937-444B-A5F9-A9ADA6BFC6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3">
          <xdr:nvSpPr>
            <xdr:cNvPr id="735" name="Rectangle 734">
              <a:extLst>
                <a:ext uri="{FF2B5EF4-FFF2-40B4-BE49-F238E27FC236}">
                  <a16:creationId xmlns:a16="http://schemas.microsoft.com/office/drawing/2014/main" id="{C4DB2C23-1152-624F-AA6B-4F17CE4E75F9}"/>
                </a:ext>
              </a:extLst>
            </xdr:cNvPr>
            <xdr:cNvSpPr>
              <a:spLocks/>
            </xdr:cNvSpPr>
          </xdr:nvSpPr>
          <xdr:spPr>
            <a:xfrm>
              <a:off x="41870089" y="61504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FA5EDB-47D6-1743-9187-5675729D58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4">
          <xdr:nvSpPr>
            <xdr:cNvPr id="736" name="Rectangle 735">
              <a:extLst>
                <a:ext uri="{FF2B5EF4-FFF2-40B4-BE49-F238E27FC236}">
                  <a16:creationId xmlns:a16="http://schemas.microsoft.com/office/drawing/2014/main" id="{B9EA5B55-7BD5-F148-9251-84C9B34E0057}"/>
                </a:ext>
              </a:extLst>
            </xdr:cNvPr>
            <xdr:cNvSpPr>
              <a:spLocks/>
            </xdr:cNvSpPr>
          </xdr:nvSpPr>
          <xdr:spPr>
            <a:xfrm>
              <a:off x="41870089" y="648425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D757676-3A76-BC49-AA9D-52DCE1D46C2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5">
          <xdr:nvSpPr>
            <xdr:cNvPr id="737" name="Rectangle 736">
              <a:extLst>
                <a:ext uri="{FF2B5EF4-FFF2-40B4-BE49-F238E27FC236}">
                  <a16:creationId xmlns:a16="http://schemas.microsoft.com/office/drawing/2014/main" id="{1C599B8E-2516-D448-97F7-6E1F8BFEE779}"/>
                </a:ext>
              </a:extLst>
            </xdr:cNvPr>
            <xdr:cNvSpPr>
              <a:spLocks/>
            </xdr:cNvSpPr>
          </xdr:nvSpPr>
          <xdr:spPr>
            <a:xfrm>
              <a:off x="41870089" y="683622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EDFAECF-B555-AB42-B420-D3E5253D537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2">
          <xdr:nvSpPr>
            <xdr:cNvPr id="738" name="Rectangle 737">
              <a:extLst>
                <a:ext uri="{FF2B5EF4-FFF2-40B4-BE49-F238E27FC236}">
                  <a16:creationId xmlns:a16="http://schemas.microsoft.com/office/drawing/2014/main" id="{8AAB93E6-9457-D543-BC44-870CE90AC041}"/>
                </a:ext>
              </a:extLst>
            </xdr:cNvPr>
            <xdr:cNvSpPr>
              <a:spLocks/>
            </xdr:cNvSpPr>
          </xdr:nvSpPr>
          <xdr:spPr>
            <a:xfrm>
              <a:off x="43898576" y="582024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4E2A72-4ECA-A74A-B967-38AB6557C5D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2">
          <xdr:nvSpPr>
            <xdr:cNvPr id="739" name="Rectangle 738">
              <a:extLst>
                <a:ext uri="{FF2B5EF4-FFF2-40B4-BE49-F238E27FC236}">
                  <a16:creationId xmlns:a16="http://schemas.microsoft.com/office/drawing/2014/main" id="{7C2A43FF-0006-DE4A-A065-53FE1D6685CC}"/>
                </a:ext>
              </a:extLst>
            </xdr:cNvPr>
            <xdr:cNvSpPr>
              <a:spLocks/>
            </xdr:cNvSpPr>
          </xdr:nvSpPr>
          <xdr:spPr>
            <a:xfrm>
              <a:off x="44328069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4D70B4F-55A3-8441-8D88-37FC08C4D9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2">
          <xdr:nvSpPr>
            <xdr:cNvPr id="740" name="Rectangle 739">
              <a:extLst>
                <a:ext uri="{FF2B5EF4-FFF2-40B4-BE49-F238E27FC236}">
                  <a16:creationId xmlns:a16="http://schemas.microsoft.com/office/drawing/2014/main" id="{686CF901-A613-5749-9115-CE775834B9D8}"/>
                </a:ext>
              </a:extLst>
            </xdr:cNvPr>
            <xdr:cNvSpPr>
              <a:spLocks/>
            </xdr:cNvSpPr>
          </xdr:nvSpPr>
          <xdr:spPr>
            <a:xfrm>
              <a:off x="44752611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0BD8A0FE-8EC5-8A4D-A1DD-5A9DC9B6791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2">
          <xdr:nvSpPr>
            <xdr:cNvPr id="741" name="Rectangle 740">
              <a:extLst>
                <a:ext uri="{FF2B5EF4-FFF2-40B4-BE49-F238E27FC236}">
                  <a16:creationId xmlns:a16="http://schemas.microsoft.com/office/drawing/2014/main" id="{3B03D70E-AAC0-FE4A-A2FC-1542E289BB5B}"/>
                </a:ext>
              </a:extLst>
            </xdr:cNvPr>
            <xdr:cNvSpPr>
              <a:spLocks/>
            </xdr:cNvSpPr>
          </xdr:nvSpPr>
          <xdr:spPr>
            <a:xfrm>
              <a:off x="4517715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F0017F8-E195-2648-B531-03000C0E9CA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2">
          <xdr:nvSpPr>
            <xdr:cNvPr id="742" name="Rectangle 741">
              <a:extLst>
                <a:ext uri="{FF2B5EF4-FFF2-40B4-BE49-F238E27FC236}">
                  <a16:creationId xmlns:a16="http://schemas.microsoft.com/office/drawing/2014/main" id="{B74EB456-EA67-9A46-BF42-F2B8D6780F50}"/>
                </a:ext>
              </a:extLst>
            </xdr:cNvPr>
            <xdr:cNvSpPr>
              <a:spLocks/>
            </xdr:cNvSpPr>
          </xdr:nvSpPr>
          <xdr:spPr>
            <a:xfrm>
              <a:off x="45601696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4B2CB4-E978-DA43-AF31-0A27AF75303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2">
          <xdr:nvSpPr>
            <xdr:cNvPr id="743" name="Rectangle 742">
              <a:extLst>
                <a:ext uri="{FF2B5EF4-FFF2-40B4-BE49-F238E27FC236}">
                  <a16:creationId xmlns:a16="http://schemas.microsoft.com/office/drawing/2014/main" id="{804E2662-946F-7345-93E2-7FA240595A55}"/>
                </a:ext>
              </a:extLst>
            </xdr:cNvPr>
            <xdr:cNvSpPr>
              <a:spLocks/>
            </xdr:cNvSpPr>
          </xdr:nvSpPr>
          <xdr:spPr>
            <a:xfrm>
              <a:off x="43470404" y="582024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8960152-5965-3942-BDBF-93790A1A3A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3">
          <xdr:nvSpPr>
            <xdr:cNvPr id="744" name="Rectangle 743">
              <a:extLst>
                <a:ext uri="{FF2B5EF4-FFF2-40B4-BE49-F238E27FC236}">
                  <a16:creationId xmlns:a16="http://schemas.microsoft.com/office/drawing/2014/main" id="{2676432D-32EB-B64E-88EF-DE1C4DDE1A13}"/>
                </a:ext>
              </a:extLst>
            </xdr:cNvPr>
            <xdr:cNvSpPr>
              <a:spLocks/>
            </xdr:cNvSpPr>
          </xdr:nvSpPr>
          <xdr:spPr>
            <a:xfrm>
              <a:off x="43905832" y="617221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5DD83F6-1039-074E-954D-DE8F560F61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3">
          <xdr:nvSpPr>
            <xdr:cNvPr id="745" name="Rectangle 744">
              <a:extLst>
                <a:ext uri="{FF2B5EF4-FFF2-40B4-BE49-F238E27FC236}">
                  <a16:creationId xmlns:a16="http://schemas.microsoft.com/office/drawing/2014/main" id="{CE601A41-F5FC-FC43-B4B8-71A0EF7E08F7}"/>
                </a:ext>
              </a:extLst>
            </xdr:cNvPr>
            <xdr:cNvSpPr>
              <a:spLocks/>
            </xdr:cNvSpPr>
          </xdr:nvSpPr>
          <xdr:spPr>
            <a:xfrm>
              <a:off x="44335325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942C343-3510-5E47-8B29-3293F88A1D1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3">
          <xdr:nvSpPr>
            <xdr:cNvPr id="746" name="Rectangle 745">
              <a:extLst>
                <a:ext uri="{FF2B5EF4-FFF2-40B4-BE49-F238E27FC236}">
                  <a16:creationId xmlns:a16="http://schemas.microsoft.com/office/drawing/2014/main" id="{5E84999A-1A50-984D-AB68-08DDB74D7729}"/>
                </a:ext>
              </a:extLst>
            </xdr:cNvPr>
            <xdr:cNvSpPr>
              <a:spLocks/>
            </xdr:cNvSpPr>
          </xdr:nvSpPr>
          <xdr:spPr>
            <a:xfrm>
              <a:off x="44759867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DE99BF0-0FCE-B14E-AE8B-4D3C611406B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3">
          <xdr:nvSpPr>
            <xdr:cNvPr id="747" name="Rectangle 746">
              <a:extLst>
                <a:ext uri="{FF2B5EF4-FFF2-40B4-BE49-F238E27FC236}">
                  <a16:creationId xmlns:a16="http://schemas.microsoft.com/office/drawing/2014/main" id="{4C854AF1-7FC7-DC4D-837D-48ECFF7FC8E1}"/>
                </a:ext>
              </a:extLst>
            </xdr:cNvPr>
            <xdr:cNvSpPr>
              <a:spLocks/>
            </xdr:cNvSpPr>
          </xdr:nvSpPr>
          <xdr:spPr>
            <a:xfrm>
              <a:off x="4518441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F7789E3-0A91-5442-ABA1-03AA037381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3">
          <xdr:nvSpPr>
            <xdr:cNvPr id="748" name="Rectangle 747">
              <a:extLst>
                <a:ext uri="{FF2B5EF4-FFF2-40B4-BE49-F238E27FC236}">
                  <a16:creationId xmlns:a16="http://schemas.microsoft.com/office/drawing/2014/main" id="{9778B13A-5540-A94A-8AD3-A18674C597C3}"/>
                </a:ext>
              </a:extLst>
            </xdr:cNvPr>
            <xdr:cNvSpPr>
              <a:spLocks/>
            </xdr:cNvSpPr>
          </xdr:nvSpPr>
          <xdr:spPr>
            <a:xfrm>
              <a:off x="45608952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B08A6E9-40E3-5840-A552-5C7EA6DC076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3">
          <xdr:nvSpPr>
            <xdr:cNvPr id="749" name="Rectangle 748">
              <a:extLst>
                <a:ext uri="{FF2B5EF4-FFF2-40B4-BE49-F238E27FC236}">
                  <a16:creationId xmlns:a16="http://schemas.microsoft.com/office/drawing/2014/main" id="{99B1F743-B6BA-3E4B-9E29-E10523760B99}"/>
                </a:ext>
              </a:extLst>
            </xdr:cNvPr>
            <xdr:cNvSpPr>
              <a:spLocks/>
            </xdr:cNvSpPr>
          </xdr:nvSpPr>
          <xdr:spPr>
            <a:xfrm>
              <a:off x="43477660" y="617221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85827E24-AFB7-0340-A91F-E4CCA49504C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4">
          <xdr:nvSpPr>
            <xdr:cNvPr id="750" name="Rectangle 749">
              <a:extLst>
                <a:ext uri="{FF2B5EF4-FFF2-40B4-BE49-F238E27FC236}">
                  <a16:creationId xmlns:a16="http://schemas.microsoft.com/office/drawing/2014/main" id="{C0977DDD-2C41-764A-8FF2-A4F23B795F0D}"/>
                </a:ext>
              </a:extLst>
            </xdr:cNvPr>
            <xdr:cNvSpPr>
              <a:spLocks/>
            </xdr:cNvSpPr>
          </xdr:nvSpPr>
          <xdr:spPr>
            <a:xfrm>
              <a:off x="43894945" y="652418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EB8C892-544F-D84B-A4FB-2E7C87DE276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4">
          <xdr:nvSpPr>
            <xdr:cNvPr id="751" name="Rectangle 750">
              <a:extLst>
                <a:ext uri="{FF2B5EF4-FFF2-40B4-BE49-F238E27FC236}">
                  <a16:creationId xmlns:a16="http://schemas.microsoft.com/office/drawing/2014/main" id="{9390EB44-9698-974A-B475-EE30C98303D7}"/>
                </a:ext>
              </a:extLst>
            </xdr:cNvPr>
            <xdr:cNvSpPr>
              <a:spLocks/>
            </xdr:cNvSpPr>
          </xdr:nvSpPr>
          <xdr:spPr>
            <a:xfrm>
              <a:off x="44324438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5D1A1F8-60C1-5646-8C22-7596582222E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4">
          <xdr:nvSpPr>
            <xdr:cNvPr id="752" name="Rectangle 751">
              <a:extLst>
                <a:ext uri="{FF2B5EF4-FFF2-40B4-BE49-F238E27FC236}">
                  <a16:creationId xmlns:a16="http://schemas.microsoft.com/office/drawing/2014/main" id="{DC35E383-30AC-F347-A274-D13606F34423}"/>
                </a:ext>
              </a:extLst>
            </xdr:cNvPr>
            <xdr:cNvSpPr>
              <a:spLocks/>
            </xdr:cNvSpPr>
          </xdr:nvSpPr>
          <xdr:spPr>
            <a:xfrm>
              <a:off x="44748980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C31DAC-4FE8-E84C-BFDE-F85CDD75B55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3" name="Rectangle 752">
              <a:extLst>
                <a:ext uri="{FF2B5EF4-FFF2-40B4-BE49-F238E27FC236}">
                  <a16:creationId xmlns:a16="http://schemas.microsoft.com/office/drawing/2014/main" id="{94D73AC3-0418-0745-A75C-05CED2B56F26}"/>
                </a:ext>
              </a:extLst>
            </xdr:cNvPr>
            <xdr:cNvSpPr>
              <a:spLocks/>
            </xdr:cNvSpPr>
          </xdr:nvSpPr>
          <xdr:spPr>
            <a:xfrm>
              <a:off x="4517352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54" name="Rectangle 753">
              <a:extLst>
                <a:ext uri="{FF2B5EF4-FFF2-40B4-BE49-F238E27FC236}">
                  <a16:creationId xmlns:a16="http://schemas.microsoft.com/office/drawing/2014/main" id="{8F8F1A22-3092-F040-ADE6-6A33DAE69DE1}"/>
                </a:ext>
              </a:extLst>
            </xdr:cNvPr>
            <xdr:cNvSpPr>
              <a:spLocks/>
            </xdr:cNvSpPr>
          </xdr:nvSpPr>
          <xdr:spPr>
            <a:xfrm>
              <a:off x="45598065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4">
          <xdr:nvSpPr>
            <xdr:cNvPr id="755" name="Rectangle 754">
              <a:extLst>
                <a:ext uri="{FF2B5EF4-FFF2-40B4-BE49-F238E27FC236}">
                  <a16:creationId xmlns:a16="http://schemas.microsoft.com/office/drawing/2014/main" id="{6473DABA-4590-0440-899C-1D6E27C890A5}"/>
                </a:ext>
              </a:extLst>
            </xdr:cNvPr>
            <xdr:cNvSpPr>
              <a:spLocks/>
            </xdr:cNvSpPr>
          </xdr:nvSpPr>
          <xdr:spPr>
            <a:xfrm>
              <a:off x="43466773" y="652418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3DF0A4C-EF5A-A94F-8D2C-0872143E6E7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5">
          <xdr:nvSpPr>
            <xdr:cNvPr id="756" name="Rectangle 755">
              <a:extLst>
                <a:ext uri="{FF2B5EF4-FFF2-40B4-BE49-F238E27FC236}">
                  <a16:creationId xmlns:a16="http://schemas.microsoft.com/office/drawing/2014/main" id="{E60009AD-48E1-2241-A3F7-3CC892F6178B}"/>
                </a:ext>
              </a:extLst>
            </xdr:cNvPr>
            <xdr:cNvSpPr>
              <a:spLocks/>
            </xdr:cNvSpPr>
          </xdr:nvSpPr>
          <xdr:spPr>
            <a:xfrm>
              <a:off x="43920344" y="685801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03CAE7C-5E20-EA4B-A595-E8C4D842B6A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5">
          <xdr:nvSpPr>
            <xdr:cNvPr id="757" name="Rectangle 756">
              <a:extLst>
                <a:ext uri="{FF2B5EF4-FFF2-40B4-BE49-F238E27FC236}">
                  <a16:creationId xmlns:a16="http://schemas.microsoft.com/office/drawing/2014/main" id="{A07F413C-8D2C-814A-86BE-B2F69516FC43}"/>
                </a:ext>
              </a:extLst>
            </xdr:cNvPr>
            <xdr:cNvSpPr>
              <a:spLocks/>
            </xdr:cNvSpPr>
          </xdr:nvSpPr>
          <xdr:spPr>
            <a:xfrm>
              <a:off x="44349837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6EFFFC3-3ACD-E740-8F04-9045EE7569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5">
          <xdr:nvSpPr>
            <xdr:cNvPr id="758" name="Rectangle 757">
              <a:extLst>
                <a:ext uri="{FF2B5EF4-FFF2-40B4-BE49-F238E27FC236}">
                  <a16:creationId xmlns:a16="http://schemas.microsoft.com/office/drawing/2014/main" id="{2135F856-A2DB-9E43-99F7-01A4A7E042E7}"/>
                </a:ext>
              </a:extLst>
            </xdr:cNvPr>
            <xdr:cNvSpPr>
              <a:spLocks/>
            </xdr:cNvSpPr>
          </xdr:nvSpPr>
          <xdr:spPr>
            <a:xfrm>
              <a:off x="44774379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58EAAC7-53D2-3442-9EAC-B3B3E9C972D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4">
          <xdr:nvSpPr>
            <xdr:cNvPr id="759" name="Rectangle 758">
              <a:extLst>
                <a:ext uri="{FF2B5EF4-FFF2-40B4-BE49-F238E27FC236}">
                  <a16:creationId xmlns:a16="http://schemas.microsoft.com/office/drawing/2014/main" id="{18F7AC7B-AA95-784E-9B5F-537CEF782C80}"/>
                </a:ext>
              </a:extLst>
            </xdr:cNvPr>
            <xdr:cNvSpPr>
              <a:spLocks/>
            </xdr:cNvSpPr>
          </xdr:nvSpPr>
          <xdr:spPr>
            <a:xfrm>
              <a:off x="4519892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546D629-6927-DD49-A008-225E439FA12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4">
          <xdr:nvSpPr>
            <xdr:cNvPr id="760" name="Rectangle 759">
              <a:extLst>
                <a:ext uri="{FF2B5EF4-FFF2-40B4-BE49-F238E27FC236}">
                  <a16:creationId xmlns:a16="http://schemas.microsoft.com/office/drawing/2014/main" id="{2130C18D-BCD6-F945-A819-B27A3A245A07}"/>
                </a:ext>
              </a:extLst>
            </xdr:cNvPr>
            <xdr:cNvSpPr>
              <a:spLocks/>
            </xdr:cNvSpPr>
          </xdr:nvSpPr>
          <xdr:spPr>
            <a:xfrm>
              <a:off x="45623464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A129ADE2-7D0B-494D-B0A7-E7CFC4A69EF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5">
          <xdr:nvSpPr>
            <xdr:cNvPr id="761" name="Rectangle 760">
              <a:extLst>
                <a:ext uri="{FF2B5EF4-FFF2-40B4-BE49-F238E27FC236}">
                  <a16:creationId xmlns:a16="http://schemas.microsoft.com/office/drawing/2014/main" id="{82165663-992A-7C43-A544-D9AD5304D14C}"/>
                </a:ext>
              </a:extLst>
            </xdr:cNvPr>
            <xdr:cNvSpPr>
              <a:spLocks/>
            </xdr:cNvSpPr>
          </xdr:nvSpPr>
          <xdr:spPr>
            <a:xfrm>
              <a:off x="43492172" y="685801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2C38740-E73C-2544-8991-68493512FF8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  <xdr:grpSp>
        <xdr:nvGrpSpPr>
          <xdr:cNvPr id="698" name="Group 697">
            <a:extLst>
              <a:ext uri="{FF2B5EF4-FFF2-40B4-BE49-F238E27FC236}">
                <a16:creationId xmlns:a16="http://schemas.microsoft.com/office/drawing/2014/main" id="{17EF87E5-10A4-5643-A3EE-B4C9A4C58E97}"/>
              </a:ext>
            </a:extLst>
          </xdr:cNvPr>
          <xdr:cNvGrpSpPr/>
        </xdr:nvGrpSpPr>
        <xdr:grpSpPr>
          <a:xfrm>
            <a:off x="41873712" y="7166442"/>
            <a:ext cx="4119135" cy="1674969"/>
            <a:chOff x="45066857" y="4245429"/>
            <a:chExt cx="4119135" cy="1674969"/>
          </a:xfrm>
        </xdr:grpSpPr>
        <xdr:sp macro="" textlink="Players1ANALYSIS!$A$16">
          <xdr:nvSpPr>
            <xdr:cNvPr id="699" name="Rectangle 698">
              <a:extLst>
                <a:ext uri="{FF2B5EF4-FFF2-40B4-BE49-F238E27FC236}">
                  <a16:creationId xmlns:a16="http://schemas.microsoft.com/office/drawing/2014/main" id="{B7C77F1F-F491-A941-BAAC-707E3CB358C5}"/>
                </a:ext>
              </a:extLst>
            </xdr:cNvPr>
            <xdr:cNvSpPr>
              <a:spLocks/>
            </xdr:cNvSpPr>
          </xdr:nvSpPr>
          <xdr:spPr>
            <a:xfrm>
              <a:off x="45066857" y="4245429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4F5476A-E144-BC47-886C-B4FB37CEB6B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7">
          <xdr:nvSpPr>
            <xdr:cNvPr id="700" name="Rectangle 699">
              <a:extLst>
                <a:ext uri="{FF2B5EF4-FFF2-40B4-BE49-F238E27FC236}">
                  <a16:creationId xmlns:a16="http://schemas.microsoft.com/office/drawing/2014/main" id="{B2DB7DAA-D729-604F-A5BF-C43399949FAF}"/>
                </a:ext>
              </a:extLst>
            </xdr:cNvPr>
            <xdr:cNvSpPr>
              <a:spLocks/>
            </xdr:cNvSpPr>
          </xdr:nvSpPr>
          <xdr:spPr>
            <a:xfrm>
              <a:off x="45066857" y="4586511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C7A3704-0161-7441-B5B7-6D85E722807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8">
          <xdr:nvSpPr>
            <xdr:cNvPr id="701" name="Rectangle 700">
              <a:extLst>
                <a:ext uri="{FF2B5EF4-FFF2-40B4-BE49-F238E27FC236}">
                  <a16:creationId xmlns:a16="http://schemas.microsoft.com/office/drawing/2014/main" id="{9A609D51-75A7-B242-82D0-F705C089506E}"/>
                </a:ext>
              </a:extLst>
            </xdr:cNvPr>
            <xdr:cNvSpPr>
              <a:spLocks/>
            </xdr:cNvSpPr>
          </xdr:nvSpPr>
          <xdr:spPr>
            <a:xfrm>
              <a:off x="45066857" y="49384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B703E3F-8EDF-0340-B07E-6ABFD8489E9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19">
          <xdr:nvSpPr>
            <xdr:cNvPr id="702" name="Rectangle 701">
              <a:extLst>
                <a:ext uri="{FF2B5EF4-FFF2-40B4-BE49-F238E27FC236}">
                  <a16:creationId xmlns:a16="http://schemas.microsoft.com/office/drawing/2014/main" id="{5D6FDA1D-9D8D-234A-AF60-350EEF087867}"/>
                </a:ext>
              </a:extLst>
            </xdr:cNvPr>
            <xdr:cNvSpPr>
              <a:spLocks/>
            </xdr:cNvSpPr>
          </xdr:nvSpPr>
          <xdr:spPr>
            <a:xfrm>
              <a:off x="45066857" y="5272312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33E0D04-624C-F84F-BC71-0B00C7D0796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A$20">
          <xdr:nvSpPr>
            <xdr:cNvPr id="703" name="Rectangle 702">
              <a:extLst>
                <a:ext uri="{FF2B5EF4-FFF2-40B4-BE49-F238E27FC236}">
                  <a16:creationId xmlns:a16="http://schemas.microsoft.com/office/drawing/2014/main" id="{1E68BA49-9E17-8C45-9A36-FC0C526498CB}"/>
                </a:ext>
              </a:extLst>
            </xdr:cNvPr>
            <xdr:cNvSpPr>
              <a:spLocks/>
            </xdr:cNvSpPr>
          </xdr:nvSpPr>
          <xdr:spPr>
            <a:xfrm>
              <a:off x="45066857" y="5624283"/>
              <a:ext cx="155448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11053A0-A942-6244-84E0-DE10FC00B0A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6">
          <xdr:nvSpPr>
            <xdr:cNvPr id="704" name="Rectangle 703">
              <a:extLst>
                <a:ext uri="{FF2B5EF4-FFF2-40B4-BE49-F238E27FC236}">
                  <a16:creationId xmlns:a16="http://schemas.microsoft.com/office/drawing/2014/main" id="{D8E254FC-C491-AC47-AB95-2D4113576E0E}"/>
                </a:ext>
              </a:extLst>
            </xdr:cNvPr>
            <xdr:cNvSpPr>
              <a:spLocks/>
            </xdr:cNvSpPr>
          </xdr:nvSpPr>
          <xdr:spPr>
            <a:xfrm>
              <a:off x="47088088" y="4256329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6ED86E2-9962-6C47-B836-41D7420D51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6">
          <xdr:nvSpPr>
            <xdr:cNvPr id="705" name="Rectangle 704">
              <a:extLst>
                <a:ext uri="{FF2B5EF4-FFF2-40B4-BE49-F238E27FC236}">
                  <a16:creationId xmlns:a16="http://schemas.microsoft.com/office/drawing/2014/main" id="{3A7C7084-9F6F-1A4E-8153-DAD0FEC57818}"/>
                </a:ext>
              </a:extLst>
            </xdr:cNvPr>
            <xdr:cNvSpPr>
              <a:spLocks/>
            </xdr:cNvSpPr>
          </xdr:nvSpPr>
          <xdr:spPr>
            <a:xfrm>
              <a:off x="47517581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45D7218-746D-C543-A112-E1BC8C4D715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6">
          <xdr:nvSpPr>
            <xdr:cNvPr id="706" name="Rectangle 705">
              <a:extLst>
                <a:ext uri="{FF2B5EF4-FFF2-40B4-BE49-F238E27FC236}">
                  <a16:creationId xmlns:a16="http://schemas.microsoft.com/office/drawing/2014/main" id="{2B53D299-692F-764E-BA8F-F343543434D5}"/>
                </a:ext>
              </a:extLst>
            </xdr:cNvPr>
            <xdr:cNvSpPr>
              <a:spLocks/>
            </xdr:cNvSpPr>
          </xdr:nvSpPr>
          <xdr:spPr>
            <a:xfrm>
              <a:off x="47942123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4B09DE7-BB94-AF4E-84F2-69D7165BCFB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6">
          <xdr:nvSpPr>
            <xdr:cNvPr id="707" name="Rectangle 706">
              <a:extLst>
                <a:ext uri="{FF2B5EF4-FFF2-40B4-BE49-F238E27FC236}">
                  <a16:creationId xmlns:a16="http://schemas.microsoft.com/office/drawing/2014/main" id="{04AEA6A7-45E6-B345-98CC-49F94A250328}"/>
                </a:ext>
              </a:extLst>
            </xdr:cNvPr>
            <xdr:cNvSpPr>
              <a:spLocks/>
            </xdr:cNvSpPr>
          </xdr:nvSpPr>
          <xdr:spPr>
            <a:xfrm>
              <a:off x="4836666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910383ED-9A1B-7943-A1F5-1E3F6317099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6">
          <xdr:nvSpPr>
            <xdr:cNvPr id="708" name="Rectangle 707">
              <a:extLst>
                <a:ext uri="{FF2B5EF4-FFF2-40B4-BE49-F238E27FC236}">
                  <a16:creationId xmlns:a16="http://schemas.microsoft.com/office/drawing/2014/main" id="{8D00BF5A-D864-134E-AB24-8A29795A9340}"/>
                </a:ext>
              </a:extLst>
            </xdr:cNvPr>
            <xdr:cNvSpPr>
              <a:spLocks/>
            </xdr:cNvSpPr>
          </xdr:nvSpPr>
          <xdr:spPr>
            <a:xfrm>
              <a:off x="48791208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55800AB9-5A07-7F44-B2A4-4B06F6CCDE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6">
          <xdr:nvSpPr>
            <xdr:cNvPr id="709" name="Rectangle 708">
              <a:extLst>
                <a:ext uri="{FF2B5EF4-FFF2-40B4-BE49-F238E27FC236}">
                  <a16:creationId xmlns:a16="http://schemas.microsoft.com/office/drawing/2014/main" id="{80C0830F-27F7-8A45-9A93-3379FF64EB16}"/>
                </a:ext>
              </a:extLst>
            </xdr:cNvPr>
            <xdr:cNvSpPr>
              <a:spLocks/>
            </xdr:cNvSpPr>
          </xdr:nvSpPr>
          <xdr:spPr>
            <a:xfrm>
              <a:off x="46659916" y="4256329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45BE558-6A21-4141-8191-821E0BF27EB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7">
          <xdr:nvSpPr>
            <xdr:cNvPr id="710" name="Rectangle 709">
              <a:extLst>
                <a:ext uri="{FF2B5EF4-FFF2-40B4-BE49-F238E27FC236}">
                  <a16:creationId xmlns:a16="http://schemas.microsoft.com/office/drawing/2014/main" id="{1884FEC9-F81F-9A43-A812-D537AA219F47}"/>
                </a:ext>
              </a:extLst>
            </xdr:cNvPr>
            <xdr:cNvSpPr>
              <a:spLocks/>
            </xdr:cNvSpPr>
          </xdr:nvSpPr>
          <xdr:spPr>
            <a:xfrm>
              <a:off x="47095344" y="4608302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EAD0878-AF92-CD41-86D0-6C291A56764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7">
          <xdr:nvSpPr>
            <xdr:cNvPr id="711" name="Rectangle 710">
              <a:extLst>
                <a:ext uri="{FF2B5EF4-FFF2-40B4-BE49-F238E27FC236}">
                  <a16:creationId xmlns:a16="http://schemas.microsoft.com/office/drawing/2014/main" id="{3C62CE5C-5086-1649-AA47-E10D246ED6CA}"/>
                </a:ext>
              </a:extLst>
            </xdr:cNvPr>
            <xdr:cNvSpPr>
              <a:spLocks/>
            </xdr:cNvSpPr>
          </xdr:nvSpPr>
          <xdr:spPr>
            <a:xfrm>
              <a:off x="47524837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2112CA6-C293-B54D-990A-804206529C2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7">
          <xdr:nvSpPr>
            <xdr:cNvPr id="712" name="Rectangle 711">
              <a:extLst>
                <a:ext uri="{FF2B5EF4-FFF2-40B4-BE49-F238E27FC236}">
                  <a16:creationId xmlns:a16="http://schemas.microsoft.com/office/drawing/2014/main" id="{F34CC045-901A-D648-B809-F96396DE058F}"/>
                </a:ext>
              </a:extLst>
            </xdr:cNvPr>
            <xdr:cNvSpPr>
              <a:spLocks/>
            </xdr:cNvSpPr>
          </xdr:nvSpPr>
          <xdr:spPr>
            <a:xfrm>
              <a:off x="47949379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8D0DAE0-B4B1-DD40-B1A3-22EF9274AF3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7">
          <xdr:nvSpPr>
            <xdr:cNvPr id="713" name="Rectangle 712">
              <a:extLst>
                <a:ext uri="{FF2B5EF4-FFF2-40B4-BE49-F238E27FC236}">
                  <a16:creationId xmlns:a16="http://schemas.microsoft.com/office/drawing/2014/main" id="{BAEAAE68-B8CD-4C48-8C4B-943A3117327E}"/>
                </a:ext>
              </a:extLst>
            </xdr:cNvPr>
            <xdr:cNvSpPr>
              <a:spLocks/>
            </xdr:cNvSpPr>
          </xdr:nvSpPr>
          <xdr:spPr>
            <a:xfrm>
              <a:off x="4837392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07B332B-0238-A34F-97A7-C89368D3486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7">
          <xdr:nvSpPr>
            <xdr:cNvPr id="714" name="Rectangle 713">
              <a:extLst>
                <a:ext uri="{FF2B5EF4-FFF2-40B4-BE49-F238E27FC236}">
                  <a16:creationId xmlns:a16="http://schemas.microsoft.com/office/drawing/2014/main" id="{A55FDE84-1240-5946-8B81-996F0F1AACA7}"/>
                </a:ext>
              </a:extLst>
            </xdr:cNvPr>
            <xdr:cNvSpPr>
              <a:spLocks/>
            </xdr:cNvSpPr>
          </xdr:nvSpPr>
          <xdr:spPr>
            <a:xfrm>
              <a:off x="48798464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AA5FC40-C332-144E-ABB1-6C8C0332D4C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7">
          <xdr:nvSpPr>
            <xdr:cNvPr id="715" name="Rectangle 714">
              <a:extLst>
                <a:ext uri="{FF2B5EF4-FFF2-40B4-BE49-F238E27FC236}">
                  <a16:creationId xmlns:a16="http://schemas.microsoft.com/office/drawing/2014/main" id="{1F2DF712-A42C-7F43-B9B2-20E60167D3B4}"/>
                </a:ext>
              </a:extLst>
            </xdr:cNvPr>
            <xdr:cNvSpPr>
              <a:spLocks/>
            </xdr:cNvSpPr>
          </xdr:nvSpPr>
          <xdr:spPr>
            <a:xfrm>
              <a:off x="46667172" y="4608302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F5509CE-31B4-5649-95F2-B78FD81CE21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8">
          <xdr:nvSpPr>
            <xdr:cNvPr id="716" name="Rectangle 715">
              <a:extLst>
                <a:ext uri="{FF2B5EF4-FFF2-40B4-BE49-F238E27FC236}">
                  <a16:creationId xmlns:a16="http://schemas.microsoft.com/office/drawing/2014/main" id="{3901956A-C304-FE47-9C40-054DAF3BD257}"/>
                </a:ext>
              </a:extLst>
            </xdr:cNvPr>
            <xdr:cNvSpPr>
              <a:spLocks/>
            </xdr:cNvSpPr>
          </xdr:nvSpPr>
          <xdr:spPr>
            <a:xfrm>
              <a:off x="47102600" y="4960275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2D65BA8C-ADF4-C142-B82C-E73AD4130EE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8">
          <xdr:nvSpPr>
            <xdr:cNvPr id="717" name="Rectangle 716">
              <a:extLst>
                <a:ext uri="{FF2B5EF4-FFF2-40B4-BE49-F238E27FC236}">
                  <a16:creationId xmlns:a16="http://schemas.microsoft.com/office/drawing/2014/main" id="{3EBFB76F-79D5-4C4A-B882-8EF0F2D72ACD}"/>
                </a:ext>
              </a:extLst>
            </xdr:cNvPr>
            <xdr:cNvSpPr>
              <a:spLocks/>
            </xdr:cNvSpPr>
          </xdr:nvSpPr>
          <xdr:spPr>
            <a:xfrm>
              <a:off x="47532093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479BF329-5D36-3E40-92CF-E949855D82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8">
          <xdr:nvSpPr>
            <xdr:cNvPr id="718" name="Rectangle 717">
              <a:extLst>
                <a:ext uri="{FF2B5EF4-FFF2-40B4-BE49-F238E27FC236}">
                  <a16:creationId xmlns:a16="http://schemas.microsoft.com/office/drawing/2014/main" id="{D9C71DD8-927A-E14F-8582-EEA5FD8382C7}"/>
                </a:ext>
              </a:extLst>
            </xdr:cNvPr>
            <xdr:cNvSpPr>
              <a:spLocks/>
            </xdr:cNvSpPr>
          </xdr:nvSpPr>
          <xdr:spPr>
            <a:xfrm>
              <a:off x="47956635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5168A56-600E-6347-80EB-B9299FBF8D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8">
          <xdr:nvSpPr>
            <xdr:cNvPr id="719" name="Rectangle 718">
              <a:extLst>
                <a:ext uri="{FF2B5EF4-FFF2-40B4-BE49-F238E27FC236}">
                  <a16:creationId xmlns:a16="http://schemas.microsoft.com/office/drawing/2014/main" id="{292EE08F-C907-3149-BC2F-922EB44DDFB0}"/>
                </a:ext>
              </a:extLst>
            </xdr:cNvPr>
            <xdr:cNvSpPr>
              <a:spLocks/>
            </xdr:cNvSpPr>
          </xdr:nvSpPr>
          <xdr:spPr>
            <a:xfrm>
              <a:off x="4838117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531E705-20B0-D04C-97FA-0FE035EE614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8">
          <xdr:nvSpPr>
            <xdr:cNvPr id="720" name="Rectangle 719">
              <a:extLst>
                <a:ext uri="{FF2B5EF4-FFF2-40B4-BE49-F238E27FC236}">
                  <a16:creationId xmlns:a16="http://schemas.microsoft.com/office/drawing/2014/main" id="{BCB4D265-C14D-A146-910A-E4F686F25A88}"/>
                </a:ext>
              </a:extLst>
            </xdr:cNvPr>
            <xdr:cNvSpPr>
              <a:spLocks/>
            </xdr:cNvSpPr>
          </xdr:nvSpPr>
          <xdr:spPr>
            <a:xfrm>
              <a:off x="48805720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9A4EE62-D476-7F47-B33D-5F54EB45FD3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8">
          <xdr:nvSpPr>
            <xdr:cNvPr id="721" name="Rectangle 720">
              <a:extLst>
                <a:ext uri="{FF2B5EF4-FFF2-40B4-BE49-F238E27FC236}">
                  <a16:creationId xmlns:a16="http://schemas.microsoft.com/office/drawing/2014/main" id="{D6E86383-FC04-794F-BE8E-D567EF51898F}"/>
                </a:ext>
              </a:extLst>
            </xdr:cNvPr>
            <xdr:cNvSpPr>
              <a:spLocks/>
            </xdr:cNvSpPr>
          </xdr:nvSpPr>
          <xdr:spPr>
            <a:xfrm>
              <a:off x="46674428" y="4960275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5257283-35D1-914C-8E48-1F77BF60053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19">
          <xdr:nvSpPr>
            <xdr:cNvPr id="722" name="Rectangle 721">
              <a:extLst>
                <a:ext uri="{FF2B5EF4-FFF2-40B4-BE49-F238E27FC236}">
                  <a16:creationId xmlns:a16="http://schemas.microsoft.com/office/drawing/2014/main" id="{15C41468-45D4-3549-ADDA-730D77C98CF4}"/>
                </a:ext>
              </a:extLst>
            </xdr:cNvPr>
            <xdr:cNvSpPr>
              <a:spLocks/>
            </xdr:cNvSpPr>
          </xdr:nvSpPr>
          <xdr:spPr>
            <a:xfrm>
              <a:off x="47091713" y="531224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571A8EE-9EB3-5240-840A-68DF4B1A9BD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19">
          <xdr:nvSpPr>
            <xdr:cNvPr id="723" name="Rectangle 722">
              <a:extLst>
                <a:ext uri="{FF2B5EF4-FFF2-40B4-BE49-F238E27FC236}">
                  <a16:creationId xmlns:a16="http://schemas.microsoft.com/office/drawing/2014/main" id="{2730BCCC-F695-094D-9095-F9F9B2B94B33}"/>
                </a:ext>
              </a:extLst>
            </xdr:cNvPr>
            <xdr:cNvSpPr>
              <a:spLocks/>
            </xdr:cNvSpPr>
          </xdr:nvSpPr>
          <xdr:spPr>
            <a:xfrm>
              <a:off x="47521206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1D419BE-9ABC-2641-9651-03DBBFED1B9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19">
          <xdr:nvSpPr>
            <xdr:cNvPr id="724" name="Rectangle 723">
              <a:extLst>
                <a:ext uri="{FF2B5EF4-FFF2-40B4-BE49-F238E27FC236}">
                  <a16:creationId xmlns:a16="http://schemas.microsoft.com/office/drawing/2014/main" id="{891C6099-282F-1240-B06F-11B9AEE374CC}"/>
                </a:ext>
              </a:extLst>
            </xdr:cNvPr>
            <xdr:cNvSpPr>
              <a:spLocks/>
            </xdr:cNvSpPr>
          </xdr:nvSpPr>
          <xdr:spPr>
            <a:xfrm>
              <a:off x="47945748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69B2F017-27E1-8249-9CAA-1E77C22CE8E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19">
          <xdr:nvSpPr>
            <xdr:cNvPr id="725" name="Rectangle 724">
              <a:extLst>
                <a:ext uri="{FF2B5EF4-FFF2-40B4-BE49-F238E27FC236}">
                  <a16:creationId xmlns:a16="http://schemas.microsoft.com/office/drawing/2014/main" id="{8660F059-5723-6143-A0A8-505C507B299A}"/>
                </a:ext>
              </a:extLst>
            </xdr:cNvPr>
            <xdr:cNvSpPr>
              <a:spLocks/>
            </xdr:cNvSpPr>
          </xdr:nvSpPr>
          <xdr:spPr>
            <a:xfrm>
              <a:off x="4837029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F20C4606-764E-1F49-AD01-3C565E7ED0C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19">
          <xdr:nvSpPr>
            <xdr:cNvPr id="726" name="Rectangle 725">
              <a:extLst>
                <a:ext uri="{FF2B5EF4-FFF2-40B4-BE49-F238E27FC236}">
                  <a16:creationId xmlns:a16="http://schemas.microsoft.com/office/drawing/2014/main" id="{3256E7AA-8B5B-474C-A8A0-6F8582017A43}"/>
                </a:ext>
              </a:extLst>
            </xdr:cNvPr>
            <xdr:cNvSpPr>
              <a:spLocks/>
            </xdr:cNvSpPr>
          </xdr:nvSpPr>
          <xdr:spPr>
            <a:xfrm>
              <a:off x="48794833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CD62DE6F-8AAA-804F-BD02-F15BE41144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19">
          <xdr:nvSpPr>
            <xdr:cNvPr id="727" name="Rectangle 726">
              <a:extLst>
                <a:ext uri="{FF2B5EF4-FFF2-40B4-BE49-F238E27FC236}">
                  <a16:creationId xmlns:a16="http://schemas.microsoft.com/office/drawing/2014/main" id="{B9A58F7D-3FCF-E642-89AE-FABAC07EA583}"/>
                </a:ext>
              </a:extLst>
            </xdr:cNvPr>
            <xdr:cNvSpPr>
              <a:spLocks/>
            </xdr:cNvSpPr>
          </xdr:nvSpPr>
          <xdr:spPr>
            <a:xfrm>
              <a:off x="46663541" y="531224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1A024F5-8BEB-6846-8CE0-C9506E02FB3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C$20">
          <xdr:nvSpPr>
            <xdr:cNvPr id="728" name="Rectangle 727">
              <a:extLst>
                <a:ext uri="{FF2B5EF4-FFF2-40B4-BE49-F238E27FC236}">
                  <a16:creationId xmlns:a16="http://schemas.microsoft.com/office/drawing/2014/main" id="{EDC14C4F-32A8-0E48-8DD0-6B7F05F28AD1}"/>
                </a:ext>
              </a:extLst>
            </xdr:cNvPr>
            <xdr:cNvSpPr>
              <a:spLocks/>
            </xdr:cNvSpPr>
          </xdr:nvSpPr>
          <xdr:spPr>
            <a:xfrm>
              <a:off x="47117112" y="5646078"/>
              <a:ext cx="3530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136D973-2104-CA45-8008-A836A403F5B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D$20">
          <xdr:nvSpPr>
            <xdr:cNvPr id="729" name="Rectangle 728">
              <a:extLst>
                <a:ext uri="{FF2B5EF4-FFF2-40B4-BE49-F238E27FC236}">
                  <a16:creationId xmlns:a16="http://schemas.microsoft.com/office/drawing/2014/main" id="{546B7417-5A96-F748-8CA0-B729ECA24927}"/>
                </a:ext>
              </a:extLst>
            </xdr:cNvPr>
            <xdr:cNvSpPr>
              <a:spLocks/>
            </xdr:cNvSpPr>
          </xdr:nvSpPr>
          <xdr:spPr>
            <a:xfrm>
              <a:off x="47546605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1C0F650D-8A63-5A43-B2A0-A79C861B52E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E$20">
          <xdr:nvSpPr>
            <xdr:cNvPr id="730" name="Rectangle 729">
              <a:extLst>
                <a:ext uri="{FF2B5EF4-FFF2-40B4-BE49-F238E27FC236}">
                  <a16:creationId xmlns:a16="http://schemas.microsoft.com/office/drawing/2014/main" id="{2B3B2999-98D8-C743-B86D-7BF74239ECE8}"/>
                </a:ext>
              </a:extLst>
            </xdr:cNvPr>
            <xdr:cNvSpPr>
              <a:spLocks/>
            </xdr:cNvSpPr>
          </xdr:nvSpPr>
          <xdr:spPr>
            <a:xfrm>
              <a:off x="47971147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D20925DD-BE35-DF41-89C6-9776D1178DE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F$20">
          <xdr:nvSpPr>
            <xdr:cNvPr id="731" name="Rectangle 730">
              <a:extLst>
                <a:ext uri="{FF2B5EF4-FFF2-40B4-BE49-F238E27FC236}">
                  <a16:creationId xmlns:a16="http://schemas.microsoft.com/office/drawing/2014/main" id="{64BA2F37-C523-FB46-AD92-8A14ADA42B70}"/>
                </a:ext>
              </a:extLst>
            </xdr:cNvPr>
            <xdr:cNvSpPr>
              <a:spLocks/>
            </xdr:cNvSpPr>
          </xdr:nvSpPr>
          <xdr:spPr>
            <a:xfrm>
              <a:off x="4839569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ECAAF4E0-3EE6-3D4B-AD95-9379CD7EF4F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0%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G$20">
          <xdr:nvSpPr>
            <xdr:cNvPr id="732" name="Rectangle 731">
              <a:extLst>
                <a:ext uri="{FF2B5EF4-FFF2-40B4-BE49-F238E27FC236}">
                  <a16:creationId xmlns:a16="http://schemas.microsoft.com/office/drawing/2014/main" id="{C556B48F-F86D-5A4D-94DA-62E9C74F082D}"/>
                </a:ext>
              </a:extLst>
            </xdr:cNvPr>
            <xdr:cNvSpPr>
              <a:spLocks/>
            </xdr:cNvSpPr>
          </xdr:nvSpPr>
          <xdr:spPr>
            <a:xfrm>
              <a:off x="48820232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B4174DF0-7587-E34D-AD87-A15DECA0DC5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Arial" charset="0"/>
                  <a:cs typeface="Calibri"/>
                </a:rPr>
                <a:pPr algn="ctr"/>
                <a:t>0</a:t>
              </a:fld>
              <a:endParaRPr lang="en-US" sz="1000" b="1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  <xdr:sp macro="" textlink="Players1ANALYSIS!$B$20">
          <xdr:nvSpPr>
            <xdr:cNvPr id="733" name="Rectangle 732">
              <a:extLst>
                <a:ext uri="{FF2B5EF4-FFF2-40B4-BE49-F238E27FC236}">
                  <a16:creationId xmlns:a16="http://schemas.microsoft.com/office/drawing/2014/main" id="{E216D813-5813-9F48-9C24-39A4B681EAF2}"/>
                </a:ext>
              </a:extLst>
            </xdr:cNvPr>
            <xdr:cNvSpPr>
              <a:spLocks/>
            </xdr:cNvSpPr>
          </xdr:nvSpPr>
          <xdr:spPr>
            <a:xfrm>
              <a:off x="46688940" y="5646078"/>
              <a:ext cx="365760" cy="27432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38C8EAF3-0A0A-CA4D-991F-769D2A6F712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Verdana"/>
                  <a:cs typeface="Calibri"/>
                </a:rPr>
                <a:pPr algn="ctr"/>
                <a:t>0</a:t>
              </a:fld>
              <a:endParaRPr lang="en-US" sz="1000" b="0" i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endParaRPr>
            </a:p>
          </xdr:txBody>
        </xdr:sp>
      </xdr:grpSp>
    </xdr:grpSp>
    <xdr:clientData/>
  </xdr:twoCellAnchor>
  <xdr:twoCellAnchor>
    <xdr:from>
      <xdr:col>51</xdr:col>
      <xdr:colOff>787399</xdr:colOff>
      <xdr:row>4</xdr:row>
      <xdr:rowOff>14513</xdr:rowOff>
    </xdr:from>
    <xdr:to>
      <xdr:col>53</xdr:col>
      <xdr:colOff>32656</xdr:colOff>
      <xdr:row>5</xdr:row>
      <xdr:rowOff>125547</xdr:rowOff>
    </xdr:to>
    <xdr:sp macro="" textlink="[1]Match!$B$1">
      <xdr:nvSpPr>
        <xdr:cNvPr id="832" name="Rectangle 831">
          <a:extLst>
            <a:ext uri="{FF2B5EF4-FFF2-40B4-BE49-F238E27FC236}">
              <a16:creationId xmlns:a16="http://schemas.microsoft.com/office/drawing/2014/main" id="{555E7A35-A547-6543-9D23-D0E020F5B576}"/>
            </a:ext>
          </a:extLst>
        </xdr:cNvPr>
        <xdr:cNvSpPr>
          <a:spLocks/>
        </xdr:cNvSpPr>
      </xdr:nvSpPr>
      <xdr:spPr>
        <a:xfrm>
          <a:off x="43350542" y="667656"/>
          <a:ext cx="91440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B87C00A-B6FE-9548-9734-CFED4EBBF41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63</xdr:col>
      <xdr:colOff>443861</xdr:colOff>
      <xdr:row>11</xdr:row>
      <xdr:rowOff>0</xdr:rowOff>
    </xdr:from>
    <xdr:to>
      <xdr:col>69</xdr:col>
      <xdr:colOff>435739</xdr:colOff>
      <xdr:row>30</xdr:row>
      <xdr:rowOff>5065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117626CB-D251-0848-9AF1-5B4AD8DB5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/>
      </xdr:blipFill>
      <xdr:spPr>
        <a:xfrm>
          <a:off x="53021861" y="1796143"/>
          <a:ext cx="4999307" cy="3107493"/>
        </a:xfrm>
        <a:prstGeom prst="rect">
          <a:avLst/>
        </a:prstGeom>
      </xdr:spPr>
    </xdr:pic>
    <xdr:clientData/>
  </xdr:twoCellAnchor>
  <xdr:twoCellAnchor>
    <xdr:from>
      <xdr:col>68</xdr:col>
      <xdr:colOff>533388</xdr:colOff>
      <xdr:row>26</xdr:row>
      <xdr:rowOff>6539</xdr:rowOff>
    </xdr:from>
    <xdr:to>
      <xdr:col>69</xdr:col>
      <xdr:colOff>6391</xdr:colOff>
      <xdr:row>28</xdr:row>
      <xdr:rowOff>147981</xdr:rowOff>
    </xdr:to>
    <xdr:sp macro="" textlink="#REF!">
      <xdr:nvSpPr>
        <xdr:cNvPr id="835" name="TextBox 834">
          <a:extLst>
            <a:ext uri="{FF2B5EF4-FFF2-40B4-BE49-F238E27FC236}">
              <a16:creationId xmlns:a16="http://schemas.microsoft.com/office/drawing/2014/main" id="{2E454C44-7618-D543-8574-928291BFFA62}"/>
            </a:ext>
          </a:extLst>
        </xdr:cNvPr>
        <xdr:cNvSpPr txBox="1"/>
      </xdr:nvSpPr>
      <xdr:spPr>
        <a:xfrm>
          <a:off x="57284245" y="42519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2352F45-D3A3-014F-B0FE-7A29C1A4247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362860</xdr:colOff>
      <xdr:row>26</xdr:row>
      <xdr:rowOff>6539</xdr:rowOff>
    </xdr:from>
    <xdr:to>
      <xdr:col>68</xdr:col>
      <xdr:colOff>267655</xdr:colOff>
      <xdr:row>28</xdr:row>
      <xdr:rowOff>147981</xdr:rowOff>
    </xdr:to>
    <xdr:sp macro="" textlink="#REF!">
      <xdr:nvSpPr>
        <xdr:cNvPr id="837" name="TextBox 836">
          <a:extLst>
            <a:ext uri="{FF2B5EF4-FFF2-40B4-BE49-F238E27FC236}">
              <a16:creationId xmlns:a16="http://schemas.microsoft.com/office/drawing/2014/main" id="{7E5AED5F-949D-6C40-8953-B87862BD332B}"/>
            </a:ext>
          </a:extLst>
        </xdr:cNvPr>
        <xdr:cNvSpPr txBox="1"/>
      </xdr:nvSpPr>
      <xdr:spPr>
        <a:xfrm>
          <a:off x="56279146" y="4251968"/>
          <a:ext cx="73936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1408A07-F010-834F-8B9D-791E387E44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7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580572</xdr:colOff>
      <xdr:row>22</xdr:row>
      <xdr:rowOff>151682</xdr:rowOff>
    </xdr:from>
    <xdr:to>
      <xdr:col>66</xdr:col>
      <xdr:colOff>365627</xdr:colOff>
      <xdr:row>25</xdr:row>
      <xdr:rowOff>129838</xdr:rowOff>
    </xdr:to>
    <xdr:sp macro="" textlink="#REF!">
      <xdr:nvSpPr>
        <xdr:cNvPr id="839" name="TextBox 838">
          <a:extLst>
            <a:ext uri="{FF2B5EF4-FFF2-40B4-BE49-F238E27FC236}">
              <a16:creationId xmlns:a16="http://schemas.microsoft.com/office/drawing/2014/main" id="{E9468D83-4D5B-8E45-84CD-E6FB8A39C6A8}"/>
            </a:ext>
          </a:extLst>
        </xdr:cNvPr>
        <xdr:cNvSpPr txBox="1"/>
      </xdr:nvSpPr>
      <xdr:spPr>
        <a:xfrm>
          <a:off x="54827715" y="3743968"/>
          <a:ext cx="61962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DEAA075-1478-FB42-B6A2-9FB2FA5CA96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6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526146</xdr:colOff>
      <xdr:row>26</xdr:row>
      <xdr:rowOff>6539</xdr:rowOff>
    </xdr:from>
    <xdr:to>
      <xdr:col>65</xdr:col>
      <xdr:colOff>287616</xdr:colOff>
      <xdr:row>28</xdr:row>
      <xdr:rowOff>147981</xdr:rowOff>
    </xdr:to>
    <xdr:sp macro="" textlink="#REF!">
      <xdr:nvSpPr>
        <xdr:cNvPr id="841" name="TextBox 840">
          <a:extLst>
            <a:ext uri="{FF2B5EF4-FFF2-40B4-BE49-F238E27FC236}">
              <a16:creationId xmlns:a16="http://schemas.microsoft.com/office/drawing/2014/main" id="{B2611DAA-E361-4740-B8D9-53D069E520B4}"/>
            </a:ext>
          </a:extLst>
        </xdr:cNvPr>
        <xdr:cNvSpPr txBox="1"/>
      </xdr:nvSpPr>
      <xdr:spPr>
        <a:xfrm>
          <a:off x="53938717" y="4251968"/>
          <a:ext cx="59604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FD31239-4912-F84A-AA74-4551D54874B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9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435425</xdr:colOff>
      <xdr:row>26</xdr:row>
      <xdr:rowOff>6539</xdr:rowOff>
    </xdr:from>
    <xdr:to>
      <xdr:col>63</xdr:col>
      <xdr:colOff>743000</xdr:colOff>
      <xdr:row>28</xdr:row>
      <xdr:rowOff>147981</xdr:rowOff>
    </xdr:to>
    <xdr:sp macro="" textlink="#REF!">
      <xdr:nvSpPr>
        <xdr:cNvPr id="843" name="TextBox 842">
          <a:extLst>
            <a:ext uri="{FF2B5EF4-FFF2-40B4-BE49-F238E27FC236}">
              <a16:creationId xmlns:a16="http://schemas.microsoft.com/office/drawing/2014/main" id="{2A6C206E-9532-8C4B-ADC4-D2CAFBB70306}"/>
            </a:ext>
          </a:extLst>
        </xdr:cNvPr>
        <xdr:cNvSpPr txBox="1"/>
      </xdr:nvSpPr>
      <xdr:spPr>
        <a:xfrm>
          <a:off x="53013425" y="42519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A77F43D-6585-5A40-A637-CD07344DD48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674902</xdr:colOff>
      <xdr:row>26</xdr:row>
      <xdr:rowOff>6539</xdr:rowOff>
    </xdr:from>
    <xdr:to>
      <xdr:col>64</xdr:col>
      <xdr:colOff>147906</xdr:colOff>
      <xdr:row>28</xdr:row>
      <xdr:rowOff>143819</xdr:rowOff>
    </xdr:to>
    <xdr:sp macro="" textlink="#REF!">
      <xdr:nvSpPr>
        <xdr:cNvPr id="845" name="TextBox 844">
          <a:extLst>
            <a:ext uri="{FF2B5EF4-FFF2-40B4-BE49-F238E27FC236}">
              <a16:creationId xmlns:a16="http://schemas.microsoft.com/office/drawing/2014/main" id="{6C6AD744-7BB9-9F43-A3B6-B54B48A132EE}"/>
            </a:ext>
          </a:extLst>
        </xdr:cNvPr>
        <xdr:cNvSpPr txBox="1"/>
      </xdr:nvSpPr>
      <xdr:spPr>
        <a:xfrm>
          <a:off x="53252902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791019</xdr:colOff>
      <xdr:row>26</xdr:row>
      <xdr:rowOff>6539</xdr:rowOff>
    </xdr:from>
    <xdr:to>
      <xdr:col>65</xdr:col>
      <xdr:colOff>264022</xdr:colOff>
      <xdr:row>28</xdr:row>
      <xdr:rowOff>143819</xdr:rowOff>
    </xdr:to>
    <xdr:sp macro="" textlink="#REF!">
      <xdr:nvSpPr>
        <xdr:cNvPr id="846" name="TextBox 845">
          <a:extLst>
            <a:ext uri="{FF2B5EF4-FFF2-40B4-BE49-F238E27FC236}">
              <a16:creationId xmlns:a16="http://schemas.microsoft.com/office/drawing/2014/main" id="{70C69239-9147-BA4D-B7D4-5FB0AB48F2F6}"/>
            </a:ext>
          </a:extLst>
        </xdr:cNvPr>
        <xdr:cNvSpPr txBox="1"/>
      </xdr:nvSpPr>
      <xdr:spPr>
        <a:xfrm>
          <a:off x="54203590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290279</xdr:colOff>
      <xdr:row>22</xdr:row>
      <xdr:rowOff>151682</xdr:rowOff>
    </xdr:from>
    <xdr:to>
      <xdr:col>66</xdr:col>
      <xdr:colOff>597854</xdr:colOff>
      <xdr:row>25</xdr:row>
      <xdr:rowOff>125676</xdr:rowOff>
    </xdr:to>
    <xdr:sp macro="" textlink="#REF!">
      <xdr:nvSpPr>
        <xdr:cNvPr id="847" name="TextBox 846">
          <a:extLst>
            <a:ext uri="{FF2B5EF4-FFF2-40B4-BE49-F238E27FC236}">
              <a16:creationId xmlns:a16="http://schemas.microsoft.com/office/drawing/2014/main" id="{3F17C6B6-7598-334D-88FA-0AC775C93DAD}"/>
            </a:ext>
          </a:extLst>
        </xdr:cNvPr>
        <xdr:cNvSpPr txBox="1"/>
      </xdr:nvSpPr>
      <xdr:spPr>
        <a:xfrm>
          <a:off x="55371993" y="3743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660395</xdr:colOff>
      <xdr:row>26</xdr:row>
      <xdr:rowOff>6539</xdr:rowOff>
    </xdr:from>
    <xdr:to>
      <xdr:col>68</xdr:col>
      <xdr:colOff>133399</xdr:colOff>
      <xdr:row>28</xdr:row>
      <xdr:rowOff>143819</xdr:rowOff>
    </xdr:to>
    <xdr:sp macro="" textlink="#REF!">
      <xdr:nvSpPr>
        <xdr:cNvPr id="848" name="TextBox 847">
          <a:extLst>
            <a:ext uri="{FF2B5EF4-FFF2-40B4-BE49-F238E27FC236}">
              <a16:creationId xmlns:a16="http://schemas.microsoft.com/office/drawing/2014/main" id="{51082DED-2C56-E747-852A-ECBAEE585899}"/>
            </a:ext>
          </a:extLst>
        </xdr:cNvPr>
        <xdr:cNvSpPr txBox="1"/>
      </xdr:nvSpPr>
      <xdr:spPr>
        <a:xfrm>
          <a:off x="56576681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758367</xdr:colOff>
      <xdr:row>26</xdr:row>
      <xdr:rowOff>6539</xdr:rowOff>
    </xdr:from>
    <xdr:to>
      <xdr:col>69</xdr:col>
      <xdr:colOff>231370</xdr:colOff>
      <xdr:row>28</xdr:row>
      <xdr:rowOff>143819</xdr:rowOff>
    </xdr:to>
    <xdr:sp macro="" textlink="#REF!">
      <xdr:nvSpPr>
        <xdr:cNvPr id="849" name="TextBox 848">
          <a:extLst>
            <a:ext uri="{FF2B5EF4-FFF2-40B4-BE49-F238E27FC236}">
              <a16:creationId xmlns:a16="http://schemas.microsoft.com/office/drawing/2014/main" id="{93ABAE23-1934-044A-85C7-FDD2AE3C0C25}"/>
            </a:ext>
          </a:extLst>
        </xdr:cNvPr>
        <xdr:cNvSpPr txBox="1"/>
      </xdr:nvSpPr>
      <xdr:spPr>
        <a:xfrm>
          <a:off x="57509224" y="42519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540645</xdr:colOff>
      <xdr:row>19</xdr:row>
      <xdr:rowOff>13796</xdr:rowOff>
    </xdr:from>
    <xdr:to>
      <xdr:col>69</xdr:col>
      <xdr:colOff>13648</xdr:colOff>
      <xdr:row>21</xdr:row>
      <xdr:rowOff>155238</xdr:rowOff>
    </xdr:to>
    <xdr:sp macro="" textlink="#REF!">
      <xdr:nvSpPr>
        <xdr:cNvPr id="851" name="TextBox 850">
          <a:extLst>
            <a:ext uri="{FF2B5EF4-FFF2-40B4-BE49-F238E27FC236}">
              <a16:creationId xmlns:a16="http://schemas.microsoft.com/office/drawing/2014/main" id="{82977E09-D5AE-3D4D-862B-E14C819A2F23}"/>
            </a:ext>
          </a:extLst>
        </xdr:cNvPr>
        <xdr:cNvSpPr txBox="1"/>
      </xdr:nvSpPr>
      <xdr:spPr>
        <a:xfrm>
          <a:off x="57291502" y="3116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65F4FE2-DFA7-E24D-96AA-BB1555C712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199572</xdr:colOff>
      <xdr:row>19</xdr:row>
      <xdr:rowOff>13796</xdr:rowOff>
    </xdr:from>
    <xdr:to>
      <xdr:col>68</xdr:col>
      <xdr:colOff>39053</xdr:colOff>
      <xdr:row>21</xdr:row>
      <xdr:rowOff>155238</xdr:rowOff>
    </xdr:to>
    <xdr:sp macro="" textlink="#REF!">
      <xdr:nvSpPr>
        <xdr:cNvPr id="853" name="TextBox 852">
          <a:extLst>
            <a:ext uri="{FF2B5EF4-FFF2-40B4-BE49-F238E27FC236}">
              <a16:creationId xmlns:a16="http://schemas.microsoft.com/office/drawing/2014/main" id="{D90D9430-A93E-8E4F-9F16-D41B0C371E72}"/>
            </a:ext>
          </a:extLst>
        </xdr:cNvPr>
        <xdr:cNvSpPr txBox="1"/>
      </xdr:nvSpPr>
      <xdr:spPr>
        <a:xfrm>
          <a:off x="56115858" y="3116225"/>
          <a:ext cx="67405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0B8DEDD-854B-AF40-8598-0361AFC31D8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598710</xdr:colOff>
      <xdr:row>19</xdr:row>
      <xdr:rowOff>13796</xdr:rowOff>
    </xdr:from>
    <xdr:to>
      <xdr:col>65</xdr:col>
      <xdr:colOff>59013</xdr:colOff>
      <xdr:row>21</xdr:row>
      <xdr:rowOff>155238</xdr:rowOff>
    </xdr:to>
    <xdr:sp macro="" textlink="#REF!">
      <xdr:nvSpPr>
        <xdr:cNvPr id="857" name="TextBox 856">
          <a:extLst>
            <a:ext uri="{FF2B5EF4-FFF2-40B4-BE49-F238E27FC236}">
              <a16:creationId xmlns:a16="http://schemas.microsoft.com/office/drawing/2014/main" id="{A6BCE5B6-E599-9044-B64C-1568A7D18311}"/>
            </a:ext>
          </a:extLst>
        </xdr:cNvPr>
        <xdr:cNvSpPr txBox="1"/>
      </xdr:nvSpPr>
      <xdr:spPr>
        <a:xfrm>
          <a:off x="54011281" y="311622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A118C7B-D97A-6D4E-B3FE-E55A259B047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442682</xdr:colOff>
      <xdr:row>19</xdr:row>
      <xdr:rowOff>13796</xdr:rowOff>
    </xdr:from>
    <xdr:to>
      <xdr:col>63</xdr:col>
      <xdr:colOff>750257</xdr:colOff>
      <xdr:row>21</xdr:row>
      <xdr:rowOff>155238</xdr:rowOff>
    </xdr:to>
    <xdr:sp macro="" textlink="#REF!">
      <xdr:nvSpPr>
        <xdr:cNvPr id="859" name="TextBox 858">
          <a:extLst>
            <a:ext uri="{FF2B5EF4-FFF2-40B4-BE49-F238E27FC236}">
              <a16:creationId xmlns:a16="http://schemas.microsoft.com/office/drawing/2014/main" id="{6BF03ADA-8B94-1A43-98AD-36D5EDB2460F}"/>
            </a:ext>
          </a:extLst>
        </xdr:cNvPr>
        <xdr:cNvSpPr txBox="1"/>
      </xdr:nvSpPr>
      <xdr:spPr>
        <a:xfrm>
          <a:off x="53020682" y="3116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4242D28-8E47-3548-8D4F-F717538E9E1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682159</xdr:colOff>
      <xdr:row>19</xdr:row>
      <xdr:rowOff>13796</xdr:rowOff>
    </xdr:from>
    <xdr:to>
      <xdr:col>64</xdr:col>
      <xdr:colOff>155163</xdr:colOff>
      <xdr:row>21</xdr:row>
      <xdr:rowOff>151076</xdr:rowOff>
    </xdr:to>
    <xdr:sp macro="" textlink="#REF!">
      <xdr:nvSpPr>
        <xdr:cNvPr id="861" name="TextBox 860">
          <a:extLst>
            <a:ext uri="{FF2B5EF4-FFF2-40B4-BE49-F238E27FC236}">
              <a16:creationId xmlns:a16="http://schemas.microsoft.com/office/drawing/2014/main" id="{749AC712-9EAD-7948-B546-C15A1BF69077}"/>
            </a:ext>
          </a:extLst>
        </xdr:cNvPr>
        <xdr:cNvSpPr txBox="1"/>
      </xdr:nvSpPr>
      <xdr:spPr>
        <a:xfrm>
          <a:off x="53260159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798276</xdr:colOff>
      <xdr:row>19</xdr:row>
      <xdr:rowOff>13796</xdr:rowOff>
    </xdr:from>
    <xdr:to>
      <xdr:col>65</xdr:col>
      <xdr:colOff>271279</xdr:colOff>
      <xdr:row>21</xdr:row>
      <xdr:rowOff>151076</xdr:rowOff>
    </xdr:to>
    <xdr:sp macro="" textlink="#REF!">
      <xdr:nvSpPr>
        <xdr:cNvPr id="862" name="TextBox 861">
          <a:extLst>
            <a:ext uri="{FF2B5EF4-FFF2-40B4-BE49-F238E27FC236}">
              <a16:creationId xmlns:a16="http://schemas.microsoft.com/office/drawing/2014/main" id="{B453323C-078E-454C-B05D-1E992D3E8972}"/>
            </a:ext>
          </a:extLst>
        </xdr:cNvPr>
        <xdr:cNvSpPr txBox="1"/>
      </xdr:nvSpPr>
      <xdr:spPr>
        <a:xfrm>
          <a:off x="54210847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765624</xdr:colOff>
      <xdr:row>19</xdr:row>
      <xdr:rowOff>13796</xdr:rowOff>
    </xdr:from>
    <xdr:to>
      <xdr:col>69</xdr:col>
      <xdr:colOff>238627</xdr:colOff>
      <xdr:row>21</xdr:row>
      <xdr:rowOff>151076</xdr:rowOff>
    </xdr:to>
    <xdr:sp macro="" textlink="#REF!">
      <xdr:nvSpPr>
        <xdr:cNvPr id="865" name="TextBox 864">
          <a:extLst>
            <a:ext uri="{FF2B5EF4-FFF2-40B4-BE49-F238E27FC236}">
              <a16:creationId xmlns:a16="http://schemas.microsoft.com/office/drawing/2014/main" id="{0EFBA1A0-98F3-0540-BB42-58B86DC3E673}"/>
            </a:ext>
          </a:extLst>
        </xdr:cNvPr>
        <xdr:cNvSpPr txBox="1"/>
      </xdr:nvSpPr>
      <xdr:spPr>
        <a:xfrm>
          <a:off x="57516481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529759</xdr:colOff>
      <xdr:row>12</xdr:row>
      <xdr:rowOff>57339</xdr:rowOff>
    </xdr:from>
    <xdr:to>
      <xdr:col>69</xdr:col>
      <xdr:colOff>2762</xdr:colOff>
      <xdr:row>15</xdr:row>
      <xdr:rowOff>35495</xdr:rowOff>
    </xdr:to>
    <xdr:sp macro="" textlink="#REF!">
      <xdr:nvSpPr>
        <xdr:cNvPr id="867" name="TextBox 866">
          <a:extLst>
            <a:ext uri="{FF2B5EF4-FFF2-40B4-BE49-F238E27FC236}">
              <a16:creationId xmlns:a16="http://schemas.microsoft.com/office/drawing/2014/main" id="{4CF84421-E3EB-D345-87FA-5EE9E8181AE2}"/>
            </a:ext>
          </a:extLst>
        </xdr:cNvPr>
        <xdr:cNvSpPr txBox="1"/>
      </xdr:nvSpPr>
      <xdr:spPr>
        <a:xfrm>
          <a:off x="57280616" y="20167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BF303E4-3038-9447-93B2-2BA416EDFB4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381003</xdr:colOff>
      <xdr:row>12</xdr:row>
      <xdr:rowOff>57339</xdr:rowOff>
    </xdr:from>
    <xdr:to>
      <xdr:col>68</xdr:col>
      <xdr:colOff>227739</xdr:colOff>
      <xdr:row>15</xdr:row>
      <xdr:rowOff>35495</xdr:rowOff>
    </xdr:to>
    <xdr:sp macro="" textlink="#REF!">
      <xdr:nvSpPr>
        <xdr:cNvPr id="869" name="TextBox 868">
          <a:extLst>
            <a:ext uri="{FF2B5EF4-FFF2-40B4-BE49-F238E27FC236}">
              <a16:creationId xmlns:a16="http://schemas.microsoft.com/office/drawing/2014/main" id="{4764733C-5714-714E-B97B-F586B05348DE}"/>
            </a:ext>
          </a:extLst>
        </xdr:cNvPr>
        <xdr:cNvSpPr txBox="1"/>
      </xdr:nvSpPr>
      <xdr:spPr>
        <a:xfrm>
          <a:off x="56297289" y="2016768"/>
          <a:ext cx="68130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B855ADD-EE75-4341-974D-3E260CF3FE3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6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587824</xdr:colOff>
      <xdr:row>12</xdr:row>
      <xdr:rowOff>57339</xdr:rowOff>
    </xdr:from>
    <xdr:to>
      <xdr:col>65</xdr:col>
      <xdr:colOff>48127</xdr:colOff>
      <xdr:row>15</xdr:row>
      <xdr:rowOff>35495</xdr:rowOff>
    </xdr:to>
    <xdr:sp macro="" textlink="#REF!">
      <xdr:nvSpPr>
        <xdr:cNvPr id="873" name="TextBox 872">
          <a:extLst>
            <a:ext uri="{FF2B5EF4-FFF2-40B4-BE49-F238E27FC236}">
              <a16:creationId xmlns:a16="http://schemas.microsoft.com/office/drawing/2014/main" id="{7E0FCCCD-866D-1E4D-82C5-1F6C0AD59534}"/>
            </a:ext>
          </a:extLst>
        </xdr:cNvPr>
        <xdr:cNvSpPr txBox="1"/>
      </xdr:nvSpPr>
      <xdr:spPr>
        <a:xfrm>
          <a:off x="54000395" y="2016768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3935BB1-1970-D348-B397-FBB37D114CF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5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431796</xdr:colOff>
      <xdr:row>12</xdr:row>
      <xdr:rowOff>57339</xdr:rowOff>
    </xdr:from>
    <xdr:to>
      <xdr:col>63</xdr:col>
      <xdr:colOff>739371</xdr:colOff>
      <xdr:row>15</xdr:row>
      <xdr:rowOff>35495</xdr:rowOff>
    </xdr:to>
    <xdr:sp macro="" textlink="#REF!">
      <xdr:nvSpPr>
        <xdr:cNvPr id="875" name="TextBox 874">
          <a:extLst>
            <a:ext uri="{FF2B5EF4-FFF2-40B4-BE49-F238E27FC236}">
              <a16:creationId xmlns:a16="http://schemas.microsoft.com/office/drawing/2014/main" id="{FFD0BD07-9E8D-5E45-8194-503577D0EEAB}"/>
            </a:ext>
          </a:extLst>
        </xdr:cNvPr>
        <xdr:cNvSpPr txBox="1"/>
      </xdr:nvSpPr>
      <xdr:spPr>
        <a:xfrm>
          <a:off x="53009796" y="20167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A3A16C1-5DBA-CF46-BC55-026EBDDBD6F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671273</xdr:colOff>
      <xdr:row>12</xdr:row>
      <xdr:rowOff>57339</xdr:rowOff>
    </xdr:from>
    <xdr:to>
      <xdr:col>64</xdr:col>
      <xdr:colOff>144277</xdr:colOff>
      <xdr:row>15</xdr:row>
      <xdr:rowOff>31333</xdr:rowOff>
    </xdr:to>
    <xdr:sp macro="" textlink="#REF!">
      <xdr:nvSpPr>
        <xdr:cNvPr id="877" name="TextBox 876">
          <a:extLst>
            <a:ext uri="{FF2B5EF4-FFF2-40B4-BE49-F238E27FC236}">
              <a16:creationId xmlns:a16="http://schemas.microsoft.com/office/drawing/2014/main" id="{050700D5-9D72-4A48-8101-084D10B3D565}"/>
            </a:ext>
          </a:extLst>
        </xdr:cNvPr>
        <xdr:cNvSpPr txBox="1"/>
      </xdr:nvSpPr>
      <xdr:spPr>
        <a:xfrm>
          <a:off x="53249273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787390</xdr:colOff>
      <xdr:row>12</xdr:row>
      <xdr:rowOff>57339</xdr:rowOff>
    </xdr:from>
    <xdr:to>
      <xdr:col>65</xdr:col>
      <xdr:colOff>260393</xdr:colOff>
      <xdr:row>15</xdr:row>
      <xdr:rowOff>31333</xdr:rowOff>
    </xdr:to>
    <xdr:sp macro="" textlink="#REF!">
      <xdr:nvSpPr>
        <xdr:cNvPr id="878" name="TextBox 877">
          <a:extLst>
            <a:ext uri="{FF2B5EF4-FFF2-40B4-BE49-F238E27FC236}">
              <a16:creationId xmlns:a16="http://schemas.microsoft.com/office/drawing/2014/main" id="{74828370-2220-5C41-8602-BEC2DE22EE7E}"/>
            </a:ext>
          </a:extLst>
        </xdr:cNvPr>
        <xdr:cNvSpPr txBox="1"/>
      </xdr:nvSpPr>
      <xdr:spPr>
        <a:xfrm>
          <a:off x="54199961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656766</xdr:colOff>
      <xdr:row>12</xdr:row>
      <xdr:rowOff>57339</xdr:rowOff>
    </xdr:from>
    <xdr:to>
      <xdr:col>68</xdr:col>
      <xdr:colOff>129770</xdr:colOff>
      <xdr:row>15</xdr:row>
      <xdr:rowOff>31333</xdr:rowOff>
    </xdr:to>
    <xdr:sp macro="" textlink="#REF!">
      <xdr:nvSpPr>
        <xdr:cNvPr id="880" name="TextBox 879">
          <a:extLst>
            <a:ext uri="{FF2B5EF4-FFF2-40B4-BE49-F238E27FC236}">
              <a16:creationId xmlns:a16="http://schemas.microsoft.com/office/drawing/2014/main" id="{624D11B0-07C6-C642-AD9C-72CAABAAF84D}"/>
            </a:ext>
          </a:extLst>
        </xdr:cNvPr>
        <xdr:cNvSpPr txBox="1"/>
      </xdr:nvSpPr>
      <xdr:spPr>
        <a:xfrm>
          <a:off x="56573052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68</xdr:col>
      <xdr:colOff>754738</xdr:colOff>
      <xdr:row>12</xdr:row>
      <xdr:rowOff>57339</xdr:rowOff>
    </xdr:from>
    <xdr:to>
      <xdr:col>69</xdr:col>
      <xdr:colOff>227741</xdr:colOff>
      <xdr:row>15</xdr:row>
      <xdr:rowOff>31333</xdr:rowOff>
    </xdr:to>
    <xdr:sp macro="" textlink="#REF!">
      <xdr:nvSpPr>
        <xdr:cNvPr id="881" name="TextBox 880">
          <a:extLst>
            <a:ext uri="{FF2B5EF4-FFF2-40B4-BE49-F238E27FC236}">
              <a16:creationId xmlns:a16="http://schemas.microsoft.com/office/drawing/2014/main" id="{22C1B240-72D2-6341-80DF-B3382EF0EAA5}"/>
            </a:ext>
          </a:extLst>
        </xdr:cNvPr>
        <xdr:cNvSpPr txBox="1"/>
      </xdr:nvSpPr>
      <xdr:spPr>
        <a:xfrm>
          <a:off x="57505595" y="20167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31</xdr:row>
      <xdr:rowOff>97963</xdr:rowOff>
    </xdr:from>
    <xdr:to>
      <xdr:col>66</xdr:col>
      <xdr:colOff>407850</xdr:colOff>
      <xdr:row>33</xdr:row>
      <xdr:rowOff>45711</xdr:rowOff>
    </xdr:to>
    <xdr:sp macro="" textlink="#REF!">
      <xdr:nvSpPr>
        <xdr:cNvPr id="882" name="Rectangle 881">
          <a:extLst>
            <a:ext uri="{FF2B5EF4-FFF2-40B4-BE49-F238E27FC236}">
              <a16:creationId xmlns:a16="http://schemas.microsoft.com/office/drawing/2014/main" id="{25CFA4C8-1A0B-A34C-82E6-E4F27A44C3EC}"/>
            </a:ext>
          </a:extLst>
        </xdr:cNvPr>
        <xdr:cNvSpPr>
          <a:spLocks/>
        </xdr:cNvSpPr>
      </xdr:nvSpPr>
      <xdr:spPr>
        <a:xfrm>
          <a:off x="53935084" y="5159820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7925767-C987-EA4E-8BB5-61F0317FC4E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33</xdr:row>
      <xdr:rowOff>123363</xdr:rowOff>
    </xdr:from>
    <xdr:to>
      <xdr:col>66</xdr:col>
      <xdr:colOff>407850</xdr:colOff>
      <xdr:row>35</xdr:row>
      <xdr:rowOff>71112</xdr:rowOff>
    </xdr:to>
    <xdr:sp macro="" textlink="#REF!">
      <xdr:nvSpPr>
        <xdr:cNvPr id="883" name="Rectangle 882">
          <a:extLst>
            <a:ext uri="{FF2B5EF4-FFF2-40B4-BE49-F238E27FC236}">
              <a16:creationId xmlns:a16="http://schemas.microsoft.com/office/drawing/2014/main" id="{40C301FE-804E-F74B-BC8E-C2912DB5696B}"/>
            </a:ext>
          </a:extLst>
        </xdr:cNvPr>
        <xdr:cNvSpPr>
          <a:spLocks/>
        </xdr:cNvSpPr>
      </xdr:nvSpPr>
      <xdr:spPr>
        <a:xfrm>
          <a:off x="53935084" y="5511792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C1C4D00-1B82-8847-A978-531E6CB62F9B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35</xdr:row>
      <xdr:rowOff>148763</xdr:rowOff>
    </xdr:from>
    <xdr:to>
      <xdr:col>66</xdr:col>
      <xdr:colOff>407850</xdr:colOff>
      <xdr:row>37</xdr:row>
      <xdr:rowOff>96512</xdr:rowOff>
    </xdr:to>
    <xdr:sp macro="" textlink="#REF!">
      <xdr:nvSpPr>
        <xdr:cNvPr id="884" name="Rectangle 883">
          <a:extLst>
            <a:ext uri="{FF2B5EF4-FFF2-40B4-BE49-F238E27FC236}">
              <a16:creationId xmlns:a16="http://schemas.microsoft.com/office/drawing/2014/main" id="{7FBDEB99-31D6-DC41-856E-17C6FA960CD5}"/>
            </a:ext>
          </a:extLst>
        </xdr:cNvPr>
        <xdr:cNvSpPr>
          <a:spLocks/>
        </xdr:cNvSpPr>
      </xdr:nvSpPr>
      <xdr:spPr>
        <a:xfrm>
          <a:off x="53935084" y="5863763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C275E4B-3152-FA4C-873F-454011F64BAA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522513</xdr:colOff>
      <xdr:row>38</xdr:row>
      <xdr:rowOff>10878</xdr:rowOff>
    </xdr:from>
    <xdr:to>
      <xdr:col>66</xdr:col>
      <xdr:colOff>407850</xdr:colOff>
      <xdr:row>39</xdr:row>
      <xdr:rowOff>121912</xdr:rowOff>
    </xdr:to>
    <xdr:sp macro="" textlink="#REF!">
      <xdr:nvSpPr>
        <xdr:cNvPr id="885" name="Rectangle 884">
          <a:extLst>
            <a:ext uri="{FF2B5EF4-FFF2-40B4-BE49-F238E27FC236}">
              <a16:creationId xmlns:a16="http://schemas.microsoft.com/office/drawing/2014/main" id="{23731405-676A-0C4B-9E28-8313A424ACFB}"/>
            </a:ext>
          </a:extLst>
        </xdr:cNvPr>
        <xdr:cNvSpPr>
          <a:spLocks/>
        </xdr:cNvSpPr>
      </xdr:nvSpPr>
      <xdr:spPr>
        <a:xfrm>
          <a:off x="53935084" y="6215735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E8C57B2-36B9-BC44-9CBD-80B6BC7E06D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64</xdr:col>
      <xdr:colOff>529770</xdr:colOff>
      <xdr:row>40</xdr:row>
      <xdr:rowOff>54421</xdr:rowOff>
    </xdr:from>
    <xdr:to>
      <xdr:col>66</xdr:col>
      <xdr:colOff>415107</xdr:colOff>
      <xdr:row>42</xdr:row>
      <xdr:rowOff>2170</xdr:rowOff>
    </xdr:to>
    <xdr:sp macro="" textlink="#REF!">
      <xdr:nvSpPr>
        <xdr:cNvPr id="886" name="Rectangle 885">
          <a:extLst>
            <a:ext uri="{FF2B5EF4-FFF2-40B4-BE49-F238E27FC236}">
              <a16:creationId xmlns:a16="http://schemas.microsoft.com/office/drawing/2014/main" id="{C6877C4D-5629-6947-AE6C-552DFAAFC599}"/>
            </a:ext>
          </a:extLst>
        </xdr:cNvPr>
        <xdr:cNvSpPr>
          <a:spLocks/>
        </xdr:cNvSpPr>
      </xdr:nvSpPr>
      <xdr:spPr>
        <a:xfrm>
          <a:off x="53942341" y="6585850"/>
          <a:ext cx="155448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7B666D5-84EC-C24D-8210-81B50203D1D6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439056</xdr:colOff>
      <xdr:row>31</xdr:row>
      <xdr:rowOff>87078</xdr:rowOff>
    </xdr:from>
    <xdr:to>
      <xdr:col>67</xdr:col>
      <xdr:colOff>336004</xdr:colOff>
      <xdr:row>33</xdr:row>
      <xdr:rowOff>34826</xdr:rowOff>
    </xdr:to>
    <xdr:sp macro="" textlink="#REF!">
      <xdr:nvSpPr>
        <xdr:cNvPr id="887" name="Rectangle 886">
          <a:extLst>
            <a:ext uri="{FF2B5EF4-FFF2-40B4-BE49-F238E27FC236}">
              <a16:creationId xmlns:a16="http://schemas.microsoft.com/office/drawing/2014/main" id="{93EBDC32-7556-634C-9242-7CAA44EB4218}"/>
            </a:ext>
          </a:extLst>
        </xdr:cNvPr>
        <xdr:cNvSpPr>
          <a:spLocks/>
        </xdr:cNvSpPr>
      </xdr:nvSpPr>
      <xdr:spPr>
        <a:xfrm>
          <a:off x="55520770" y="5148935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A7C98F9-BFD7-7F4D-996F-0088FB59213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410032</xdr:colOff>
      <xdr:row>31</xdr:row>
      <xdr:rowOff>94334</xdr:rowOff>
    </xdr:from>
    <xdr:to>
      <xdr:col>68</xdr:col>
      <xdr:colOff>294281</xdr:colOff>
      <xdr:row>33</xdr:row>
      <xdr:rowOff>42082</xdr:rowOff>
    </xdr:to>
    <xdr:sp macro="" textlink="#REF!">
      <xdr:nvSpPr>
        <xdr:cNvPr id="892" name="Rectangle 891">
          <a:extLst>
            <a:ext uri="{FF2B5EF4-FFF2-40B4-BE49-F238E27FC236}">
              <a16:creationId xmlns:a16="http://schemas.microsoft.com/office/drawing/2014/main" id="{55CC2750-7D3E-5F48-BFDE-0A9007D65CFD}"/>
            </a:ext>
          </a:extLst>
        </xdr:cNvPr>
        <xdr:cNvSpPr>
          <a:spLocks/>
        </xdr:cNvSpPr>
      </xdr:nvSpPr>
      <xdr:spPr>
        <a:xfrm>
          <a:off x="56326318" y="5156191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E241075-40AE-2E4B-B553-AF000095149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428170</xdr:colOff>
      <xdr:row>33</xdr:row>
      <xdr:rowOff>130620</xdr:rowOff>
    </xdr:from>
    <xdr:to>
      <xdr:col>67</xdr:col>
      <xdr:colOff>325118</xdr:colOff>
      <xdr:row>35</xdr:row>
      <xdr:rowOff>78369</xdr:rowOff>
    </xdr:to>
    <xdr:sp macro="" textlink="#REF!">
      <xdr:nvSpPr>
        <xdr:cNvPr id="893" name="Rectangle 892">
          <a:extLst>
            <a:ext uri="{FF2B5EF4-FFF2-40B4-BE49-F238E27FC236}">
              <a16:creationId xmlns:a16="http://schemas.microsoft.com/office/drawing/2014/main" id="{4CC23151-4BDF-BD4D-AEC8-B552BB1F2476}"/>
            </a:ext>
          </a:extLst>
        </xdr:cNvPr>
        <xdr:cNvSpPr>
          <a:spLocks/>
        </xdr:cNvSpPr>
      </xdr:nvSpPr>
      <xdr:spPr>
        <a:xfrm>
          <a:off x="55509884" y="5519049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413096F-9EDD-A04D-B9DA-BE9797859F4B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399146</xdr:colOff>
      <xdr:row>33</xdr:row>
      <xdr:rowOff>137876</xdr:rowOff>
    </xdr:from>
    <xdr:to>
      <xdr:col>68</xdr:col>
      <xdr:colOff>283395</xdr:colOff>
      <xdr:row>35</xdr:row>
      <xdr:rowOff>85625</xdr:rowOff>
    </xdr:to>
    <xdr:sp macro="" textlink="#REF!">
      <xdr:nvSpPr>
        <xdr:cNvPr id="894" name="Rectangle 893">
          <a:extLst>
            <a:ext uri="{FF2B5EF4-FFF2-40B4-BE49-F238E27FC236}">
              <a16:creationId xmlns:a16="http://schemas.microsoft.com/office/drawing/2014/main" id="{0694B37F-9A90-264B-AFB5-4003CD698ABC}"/>
            </a:ext>
          </a:extLst>
        </xdr:cNvPr>
        <xdr:cNvSpPr>
          <a:spLocks/>
        </xdr:cNvSpPr>
      </xdr:nvSpPr>
      <xdr:spPr>
        <a:xfrm>
          <a:off x="56315432" y="5526305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3CDD7E9-244D-8841-99FD-46538D89BE2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435427</xdr:colOff>
      <xdr:row>35</xdr:row>
      <xdr:rowOff>137878</xdr:rowOff>
    </xdr:from>
    <xdr:to>
      <xdr:col>67</xdr:col>
      <xdr:colOff>332375</xdr:colOff>
      <xdr:row>37</xdr:row>
      <xdr:rowOff>85627</xdr:rowOff>
    </xdr:to>
    <xdr:sp macro="" textlink="#REF!">
      <xdr:nvSpPr>
        <xdr:cNvPr id="895" name="Rectangle 894">
          <a:extLst>
            <a:ext uri="{FF2B5EF4-FFF2-40B4-BE49-F238E27FC236}">
              <a16:creationId xmlns:a16="http://schemas.microsoft.com/office/drawing/2014/main" id="{541B105F-457C-B54C-83ED-4563D0D64A0B}"/>
            </a:ext>
          </a:extLst>
        </xdr:cNvPr>
        <xdr:cNvSpPr>
          <a:spLocks/>
        </xdr:cNvSpPr>
      </xdr:nvSpPr>
      <xdr:spPr>
        <a:xfrm>
          <a:off x="55517141" y="5852878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BD64BDA-0761-9846-AB02-3EE7372B74C6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406403</xdr:colOff>
      <xdr:row>35</xdr:row>
      <xdr:rowOff>145134</xdr:rowOff>
    </xdr:from>
    <xdr:to>
      <xdr:col>68</xdr:col>
      <xdr:colOff>290652</xdr:colOff>
      <xdr:row>37</xdr:row>
      <xdr:rowOff>92883</xdr:rowOff>
    </xdr:to>
    <xdr:sp macro="" textlink="#REF!">
      <xdr:nvSpPr>
        <xdr:cNvPr id="896" name="Rectangle 895">
          <a:extLst>
            <a:ext uri="{FF2B5EF4-FFF2-40B4-BE49-F238E27FC236}">
              <a16:creationId xmlns:a16="http://schemas.microsoft.com/office/drawing/2014/main" id="{26061921-A38C-2040-A148-6FD75A231698}"/>
            </a:ext>
          </a:extLst>
        </xdr:cNvPr>
        <xdr:cNvSpPr>
          <a:spLocks/>
        </xdr:cNvSpPr>
      </xdr:nvSpPr>
      <xdr:spPr>
        <a:xfrm>
          <a:off x="56322689" y="5860134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9B3B84E-513A-0244-8208-422F7A6182D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442684</xdr:colOff>
      <xdr:row>38</xdr:row>
      <xdr:rowOff>18135</xdr:rowOff>
    </xdr:from>
    <xdr:to>
      <xdr:col>67</xdr:col>
      <xdr:colOff>339632</xdr:colOff>
      <xdr:row>39</xdr:row>
      <xdr:rowOff>129169</xdr:rowOff>
    </xdr:to>
    <xdr:sp macro="" textlink="#REF!">
      <xdr:nvSpPr>
        <xdr:cNvPr id="897" name="Rectangle 896">
          <a:extLst>
            <a:ext uri="{FF2B5EF4-FFF2-40B4-BE49-F238E27FC236}">
              <a16:creationId xmlns:a16="http://schemas.microsoft.com/office/drawing/2014/main" id="{50F858AA-F09E-F843-B7F7-E4325DFD29ED}"/>
            </a:ext>
          </a:extLst>
        </xdr:cNvPr>
        <xdr:cNvSpPr>
          <a:spLocks/>
        </xdr:cNvSpPr>
      </xdr:nvSpPr>
      <xdr:spPr>
        <a:xfrm>
          <a:off x="55524398" y="6222992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D88BA02-1415-854D-BB16-D581EEDFE8E0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413660</xdr:colOff>
      <xdr:row>38</xdr:row>
      <xdr:rowOff>25391</xdr:rowOff>
    </xdr:from>
    <xdr:to>
      <xdr:col>68</xdr:col>
      <xdr:colOff>297909</xdr:colOff>
      <xdr:row>39</xdr:row>
      <xdr:rowOff>136425</xdr:rowOff>
    </xdr:to>
    <xdr:sp macro="" textlink="#REF!">
      <xdr:nvSpPr>
        <xdr:cNvPr id="898" name="Rectangle 897">
          <a:extLst>
            <a:ext uri="{FF2B5EF4-FFF2-40B4-BE49-F238E27FC236}">
              <a16:creationId xmlns:a16="http://schemas.microsoft.com/office/drawing/2014/main" id="{7C2E637B-5C57-8945-B152-25FB011FC716}"/>
            </a:ext>
          </a:extLst>
        </xdr:cNvPr>
        <xdr:cNvSpPr>
          <a:spLocks/>
        </xdr:cNvSpPr>
      </xdr:nvSpPr>
      <xdr:spPr>
        <a:xfrm>
          <a:off x="56329946" y="6230248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26A3EB4-B141-FE4E-B813-3748C09A37A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449941</xdr:colOff>
      <xdr:row>40</xdr:row>
      <xdr:rowOff>61677</xdr:rowOff>
    </xdr:from>
    <xdr:to>
      <xdr:col>67</xdr:col>
      <xdr:colOff>346889</xdr:colOff>
      <xdr:row>42</xdr:row>
      <xdr:rowOff>9426</xdr:rowOff>
    </xdr:to>
    <xdr:sp macro="" textlink="#REF!">
      <xdr:nvSpPr>
        <xdr:cNvPr id="899" name="Rectangle 898">
          <a:extLst>
            <a:ext uri="{FF2B5EF4-FFF2-40B4-BE49-F238E27FC236}">
              <a16:creationId xmlns:a16="http://schemas.microsoft.com/office/drawing/2014/main" id="{E21A7BB5-4725-9448-A5A1-4C9D85D21ED9}"/>
            </a:ext>
          </a:extLst>
        </xdr:cNvPr>
        <xdr:cNvSpPr>
          <a:spLocks/>
        </xdr:cNvSpPr>
      </xdr:nvSpPr>
      <xdr:spPr>
        <a:xfrm>
          <a:off x="55531655" y="6593106"/>
          <a:ext cx="7315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CEEAEBD-E792-6C4A-93A1-E7C4B8287F6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420917</xdr:colOff>
      <xdr:row>40</xdr:row>
      <xdr:rowOff>68933</xdr:rowOff>
    </xdr:from>
    <xdr:to>
      <xdr:col>68</xdr:col>
      <xdr:colOff>305166</xdr:colOff>
      <xdr:row>42</xdr:row>
      <xdr:rowOff>16682</xdr:rowOff>
    </xdr:to>
    <xdr:sp macro="" textlink="#REF!">
      <xdr:nvSpPr>
        <xdr:cNvPr id="900" name="Rectangle 899">
          <a:extLst>
            <a:ext uri="{FF2B5EF4-FFF2-40B4-BE49-F238E27FC236}">
              <a16:creationId xmlns:a16="http://schemas.microsoft.com/office/drawing/2014/main" id="{DEEF64FD-3F0B-2E4A-BAE8-4BD4D2A757E1}"/>
            </a:ext>
          </a:extLst>
        </xdr:cNvPr>
        <xdr:cNvSpPr>
          <a:spLocks/>
        </xdr:cNvSpPr>
      </xdr:nvSpPr>
      <xdr:spPr>
        <a:xfrm>
          <a:off x="56337203" y="6600362"/>
          <a:ext cx="71882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63B2487-9F52-4149-8CC0-410075B14769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0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29022</xdr:colOff>
      <xdr:row>16</xdr:row>
      <xdr:rowOff>13797</xdr:rowOff>
    </xdr:from>
    <xdr:to>
      <xdr:col>66</xdr:col>
      <xdr:colOff>336597</xdr:colOff>
      <xdr:row>18</xdr:row>
      <xdr:rowOff>155238</xdr:rowOff>
    </xdr:to>
    <xdr:sp macro="" textlink="#REF!">
      <xdr:nvSpPr>
        <xdr:cNvPr id="901" name="TextBox 900">
          <a:extLst>
            <a:ext uri="{FF2B5EF4-FFF2-40B4-BE49-F238E27FC236}">
              <a16:creationId xmlns:a16="http://schemas.microsoft.com/office/drawing/2014/main" id="{27438BD1-926D-5C4A-A374-95E21EF3C195}"/>
            </a:ext>
          </a:extLst>
        </xdr:cNvPr>
        <xdr:cNvSpPr txBox="1"/>
      </xdr:nvSpPr>
      <xdr:spPr>
        <a:xfrm>
          <a:off x="55110736" y="2626368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4E4480D-7862-F44A-8E54-6368E711433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261250</xdr:colOff>
      <xdr:row>16</xdr:row>
      <xdr:rowOff>13797</xdr:rowOff>
    </xdr:from>
    <xdr:to>
      <xdr:col>66</xdr:col>
      <xdr:colOff>568825</xdr:colOff>
      <xdr:row>18</xdr:row>
      <xdr:rowOff>151076</xdr:rowOff>
    </xdr:to>
    <xdr:sp macro="" textlink="#REF!">
      <xdr:nvSpPr>
        <xdr:cNvPr id="903" name="TextBox 902">
          <a:extLst>
            <a:ext uri="{FF2B5EF4-FFF2-40B4-BE49-F238E27FC236}">
              <a16:creationId xmlns:a16="http://schemas.microsoft.com/office/drawing/2014/main" id="{9E5C9B36-2814-4C4C-A19F-1393B60FC3FD}"/>
            </a:ext>
          </a:extLst>
        </xdr:cNvPr>
        <xdr:cNvSpPr txBox="1"/>
      </xdr:nvSpPr>
      <xdr:spPr>
        <a:xfrm>
          <a:off x="55342964" y="2626368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32645</xdr:colOff>
      <xdr:row>26</xdr:row>
      <xdr:rowOff>13796</xdr:rowOff>
    </xdr:from>
    <xdr:to>
      <xdr:col>69</xdr:col>
      <xdr:colOff>340220</xdr:colOff>
      <xdr:row>28</xdr:row>
      <xdr:rowOff>155238</xdr:rowOff>
    </xdr:to>
    <xdr:sp macro="" textlink="#REF!">
      <xdr:nvSpPr>
        <xdr:cNvPr id="918" name="TextBox 917">
          <a:extLst>
            <a:ext uri="{FF2B5EF4-FFF2-40B4-BE49-F238E27FC236}">
              <a16:creationId xmlns:a16="http://schemas.microsoft.com/office/drawing/2014/main" id="{B93944DB-4617-194F-ADF8-C15ACAE0FD5D}"/>
            </a:ext>
          </a:extLst>
        </xdr:cNvPr>
        <xdr:cNvSpPr txBox="1"/>
      </xdr:nvSpPr>
      <xdr:spPr>
        <a:xfrm>
          <a:off x="57618074" y="4259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C2F19A-3098-2F48-916B-0655AAB833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729333</xdr:colOff>
      <xdr:row>26</xdr:row>
      <xdr:rowOff>13796</xdr:rowOff>
    </xdr:from>
    <xdr:to>
      <xdr:col>68</xdr:col>
      <xdr:colOff>508000</xdr:colOff>
      <xdr:row>28</xdr:row>
      <xdr:rowOff>155238</xdr:rowOff>
    </xdr:to>
    <xdr:sp macro="" textlink="#REF!">
      <xdr:nvSpPr>
        <xdr:cNvPr id="919" name="TextBox 918">
          <a:extLst>
            <a:ext uri="{FF2B5EF4-FFF2-40B4-BE49-F238E27FC236}">
              <a16:creationId xmlns:a16="http://schemas.microsoft.com/office/drawing/2014/main" id="{B01CDB9A-1DAC-FC40-9925-BA431A47EDC0}"/>
            </a:ext>
          </a:extLst>
        </xdr:cNvPr>
        <xdr:cNvSpPr txBox="1"/>
      </xdr:nvSpPr>
      <xdr:spPr>
        <a:xfrm>
          <a:off x="56645619" y="4259225"/>
          <a:ext cx="61323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83514FBC-2309-1A46-91A4-87AC54B3F65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391880</xdr:colOff>
      <xdr:row>22</xdr:row>
      <xdr:rowOff>158939</xdr:rowOff>
    </xdr:from>
    <xdr:to>
      <xdr:col>67</xdr:col>
      <xdr:colOff>163285</xdr:colOff>
      <xdr:row>25</xdr:row>
      <xdr:rowOff>137095</xdr:rowOff>
    </xdr:to>
    <xdr:sp macro="" textlink="#REF!">
      <xdr:nvSpPr>
        <xdr:cNvPr id="920" name="TextBox 919">
          <a:extLst>
            <a:ext uri="{FF2B5EF4-FFF2-40B4-BE49-F238E27FC236}">
              <a16:creationId xmlns:a16="http://schemas.microsoft.com/office/drawing/2014/main" id="{5EE97DF3-7E41-4942-B257-11B2E8058A11}"/>
            </a:ext>
          </a:extLst>
        </xdr:cNvPr>
        <xdr:cNvSpPr txBox="1"/>
      </xdr:nvSpPr>
      <xdr:spPr>
        <a:xfrm>
          <a:off x="55473594" y="3751225"/>
          <a:ext cx="60597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D9538AB-520B-284E-A53A-309022DA1E36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90710</xdr:colOff>
      <xdr:row>26</xdr:row>
      <xdr:rowOff>13796</xdr:rowOff>
    </xdr:from>
    <xdr:to>
      <xdr:col>65</xdr:col>
      <xdr:colOff>671286</xdr:colOff>
      <xdr:row>28</xdr:row>
      <xdr:rowOff>155238</xdr:rowOff>
    </xdr:to>
    <xdr:sp macro="" textlink="#REF!">
      <xdr:nvSpPr>
        <xdr:cNvPr id="921" name="TextBox 920">
          <a:extLst>
            <a:ext uri="{FF2B5EF4-FFF2-40B4-BE49-F238E27FC236}">
              <a16:creationId xmlns:a16="http://schemas.microsoft.com/office/drawing/2014/main" id="{6278B401-0D4A-4245-A1E3-2B23E5103975}"/>
            </a:ext>
          </a:extLst>
        </xdr:cNvPr>
        <xdr:cNvSpPr txBox="1"/>
      </xdr:nvSpPr>
      <xdr:spPr>
        <a:xfrm>
          <a:off x="54337853" y="4259225"/>
          <a:ext cx="580576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0E2250E-79E6-2F46-B9F6-2B1916FAF0F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769254</xdr:colOff>
      <xdr:row>26</xdr:row>
      <xdr:rowOff>13796</xdr:rowOff>
    </xdr:from>
    <xdr:to>
      <xdr:col>64</xdr:col>
      <xdr:colOff>242258</xdr:colOff>
      <xdr:row>28</xdr:row>
      <xdr:rowOff>155238</xdr:rowOff>
    </xdr:to>
    <xdr:sp macro="" textlink="#REF!">
      <xdr:nvSpPr>
        <xdr:cNvPr id="922" name="TextBox 921">
          <a:extLst>
            <a:ext uri="{FF2B5EF4-FFF2-40B4-BE49-F238E27FC236}">
              <a16:creationId xmlns:a16="http://schemas.microsoft.com/office/drawing/2014/main" id="{3433490D-D765-9E40-B7D7-21FFF7BDA30C}"/>
            </a:ext>
          </a:extLst>
        </xdr:cNvPr>
        <xdr:cNvSpPr txBox="1"/>
      </xdr:nvSpPr>
      <xdr:spPr>
        <a:xfrm>
          <a:off x="53347254" y="42592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3386FD2-93D6-164F-AE6D-A6FF1BE058A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39902</xdr:colOff>
      <xdr:row>19</xdr:row>
      <xdr:rowOff>21053</xdr:rowOff>
    </xdr:from>
    <xdr:to>
      <xdr:col>69</xdr:col>
      <xdr:colOff>347477</xdr:colOff>
      <xdr:row>21</xdr:row>
      <xdr:rowOff>162495</xdr:rowOff>
    </xdr:to>
    <xdr:sp macro="" textlink="#REF!">
      <xdr:nvSpPr>
        <xdr:cNvPr id="923" name="TextBox 922">
          <a:extLst>
            <a:ext uri="{FF2B5EF4-FFF2-40B4-BE49-F238E27FC236}">
              <a16:creationId xmlns:a16="http://schemas.microsoft.com/office/drawing/2014/main" id="{793DD948-0274-A048-AFD4-B3092164C779}"/>
            </a:ext>
          </a:extLst>
        </xdr:cNvPr>
        <xdr:cNvSpPr txBox="1"/>
      </xdr:nvSpPr>
      <xdr:spPr>
        <a:xfrm>
          <a:off x="57625331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D0C7D64-5B3C-F644-AEA9-2251ED62A14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736590</xdr:colOff>
      <xdr:row>19</xdr:row>
      <xdr:rowOff>21053</xdr:rowOff>
    </xdr:from>
    <xdr:to>
      <xdr:col>68</xdr:col>
      <xdr:colOff>209594</xdr:colOff>
      <xdr:row>21</xdr:row>
      <xdr:rowOff>162495</xdr:rowOff>
    </xdr:to>
    <xdr:sp macro="" textlink="#REF!">
      <xdr:nvSpPr>
        <xdr:cNvPr id="924" name="TextBox 923">
          <a:extLst>
            <a:ext uri="{FF2B5EF4-FFF2-40B4-BE49-F238E27FC236}">
              <a16:creationId xmlns:a16="http://schemas.microsoft.com/office/drawing/2014/main" id="{4865C5CB-A27B-9244-A915-CC681B66D942}"/>
            </a:ext>
          </a:extLst>
        </xdr:cNvPr>
        <xdr:cNvSpPr txBox="1"/>
      </xdr:nvSpPr>
      <xdr:spPr>
        <a:xfrm>
          <a:off x="56652876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AE28082-889A-FF4A-A0FD-7CC77A9C5B5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97967</xdr:colOff>
      <xdr:row>19</xdr:row>
      <xdr:rowOff>21053</xdr:rowOff>
    </xdr:from>
    <xdr:to>
      <xdr:col>65</xdr:col>
      <xdr:colOff>392842</xdr:colOff>
      <xdr:row>21</xdr:row>
      <xdr:rowOff>162495</xdr:rowOff>
    </xdr:to>
    <xdr:sp macro="" textlink="#REF!">
      <xdr:nvSpPr>
        <xdr:cNvPr id="925" name="TextBox 924">
          <a:extLst>
            <a:ext uri="{FF2B5EF4-FFF2-40B4-BE49-F238E27FC236}">
              <a16:creationId xmlns:a16="http://schemas.microsoft.com/office/drawing/2014/main" id="{04B64978-B58D-7444-875C-78632E441F81}"/>
            </a:ext>
          </a:extLst>
        </xdr:cNvPr>
        <xdr:cNvSpPr txBox="1"/>
      </xdr:nvSpPr>
      <xdr:spPr>
        <a:xfrm>
          <a:off x="54345110" y="3123482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2CC509B-7BB1-8446-B499-A747BBD664E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776511</xdr:colOff>
      <xdr:row>19</xdr:row>
      <xdr:rowOff>21053</xdr:rowOff>
    </xdr:from>
    <xdr:to>
      <xdr:col>64</xdr:col>
      <xdr:colOff>249515</xdr:colOff>
      <xdr:row>21</xdr:row>
      <xdr:rowOff>162495</xdr:rowOff>
    </xdr:to>
    <xdr:sp macro="" textlink="#REF!">
      <xdr:nvSpPr>
        <xdr:cNvPr id="926" name="TextBox 925">
          <a:extLst>
            <a:ext uri="{FF2B5EF4-FFF2-40B4-BE49-F238E27FC236}">
              <a16:creationId xmlns:a16="http://schemas.microsoft.com/office/drawing/2014/main" id="{94B488B6-7788-E448-AF11-3D0170FB53FB}"/>
            </a:ext>
          </a:extLst>
        </xdr:cNvPr>
        <xdr:cNvSpPr txBox="1"/>
      </xdr:nvSpPr>
      <xdr:spPr>
        <a:xfrm>
          <a:off x="53354511" y="3123482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193BC7E-C3CA-0F43-83DA-3290BE80DD1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69</xdr:col>
      <xdr:colOff>29016</xdr:colOff>
      <xdr:row>12</xdr:row>
      <xdr:rowOff>64596</xdr:rowOff>
    </xdr:from>
    <xdr:to>
      <xdr:col>69</xdr:col>
      <xdr:colOff>336591</xdr:colOff>
      <xdr:row>15</xdr:row>
      <xdr:rowOff>42752</xdr:rowOff>
    </xdr:to>
    <xdr:sp macro="" textlink="#REF!">
      <xdr:nvSpPr>
        <xdr:cNvPr id="927" name="TextBox 926">
          <a:extLst>
            <a:ext uri="{FF2B5EF4-FFF2-40B4-BE49-F238E27FC236}">
              <a16:creationId xmlns:a16="http://schemas.microsoft.com/office/drawing/2014/main" id="{1BB5D76C-07F8-4048-B9DF-E7BBE425E94B}"/>
            </a:ext>
          </a:extLst>
        </xdr:cNvPr>
        <xdr:cNvSpPr txBox="1"/>
      </xdr:nvSpPr>
      <xdr:spPr>
        <a:xfrm>
          <a:off x="57614445" y="20240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CECF74-8206-FC4C-A17C-78B6A6D4BCD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725704</xdr:colOff>
      <xdr:row>12</xdr:row>
      <xdr:rowOff>64596</xdr:rowOff>
    </xdr:from>
    <xdr:to>
      <xdr:col>68</xdr:col>
      <xdr:colOff>508000</xdr:colOff>
      <xdr:row>15</xdr:row>
      <xdr:rowOff>42752</xdr:rowOff>
    </xdr:to>
    <xdr:sp macro="" textlink="#REF!">
      <xdr:nvSpPr>
        <xdr:cNvPr id="928" name="TextBox 927">
          <a:extLst>
            <a:ext uri="{FF2B5EF4-FFF2-40B4-BE49-F238E27FC236}">
              <a16:creationId xmlns:a16="http://schemas.microsoft.com/office/drawing/2014/main" id="{B7735E3C-BE56-164C-B6A7-CD76032B994B}"/>
            </a:ext>
          </a:extLst>
        </xdr:cNvPr>
        <xdr:cNvSpPr txBox="1"/>
      </xdr:nvSpPr>
      <xdr:spPr>
        <a:xfrm>
          <a:off x="56641990" y="2024025"/>
          <a:ext cx="61686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F4F7F06-B71A-F145-95C7-50068642B255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65</xdr:col>
      <xdr:colOff>87081</xdr:colOff>
      <xdr:row>12</xdr:row>
      <xdr:rowOff>64596</xdr:rowOff>
    </xdr:from>
    <xdr:to>
      <xdr:col>65</xdr:col>
      <xdr:colOff>381956</xdr:colOff>
      <xdr:row>15</xdr:row>
      <xdr:rowOff>42752</xdr:rowOff>
    </xdr:to>
    <xdr:sp macro="" textlink="#REF!">
      <xdr:nvSpPr>
        <xdr:cNvPr id="929" name="TextBox 928">
          <a:extLst>
            <a:ext uri="{FF2B5EF4-FFF2-40B4-BE49-F238E27FC236}">
              <a16:creationId xmlns:a16="http://schemas.microsoft.com/office/drawing/2014/main" id="{B235F4EF-0405-3544-8629-C74947C7D101}"/>
            </a:ext>
          </a:extLst>
        </xdr:cNvPr>
        <xdr:cNvSpPr txBox="1"/>
      </xdr:nvSpPr>
      <xdr:spPr>
        <a:xfrm>
          <a:off x="54334224" y="2024025"/>
          <a:ext cx="2948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1824C9E-71AC-A142-AF42-CBC05D7ADEEE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63</xdr:col>
      <xdr:colOff>765625</xdr:colOff>
      <xdr:row>12</xdr:row>
      <xdr:rowOff>64596</xdr:rowOff>
    </xdr:from>
    <xdr:to>
      <xdr:col>64</xdr:col>
      <xdr:colOff>238629</xdr:colOff>
      <xdr:row>15</xdr:row>
      <xdr:rowOff>42752</xdr:rowOff>
    </xdr:to>
    <xdr:sp macro="" textlink="#REF!">
      <xdr:nvSpPr>
        <xdr:cNvPr id="930" name="TextBox 929">
          <a:extLst>
            <a:ext uri="{FF2B5EF4-FFF2-40B4-BE49-F238E27FC236}">
              <a16:creationId xmlns:a16="http://schemas.microsoft.com/office/drawing/2014/main" id="{3621E571-61FE-B146-9472-E8FEDD71A209}"/>
            </a:ext>
          </a:extLst>
        </xdr:cNvPr>
        <xdr:cNvSpPr txBox="1"/>
      </xdr:nvSpPr>
      <xdr:spPr>
        <a:xfrm>
          <a:off x="53343625" y="20240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D4560B6-5A4E-B340-9C54-B89A15BF99D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66</xdr:col>
      <xdr:colOff>362851</xdr:colOff>
      <xdr:row>16</xdr:row>
      <xdr:rowOff>21054</xdr:rowOff>
    </xdr:from>
    <xdr:to>
      <xdr:col>66</xdr:col>
      <xdr:colOff>670426</xdr:colOff>
      <xdr:row>18</xdr:row>
      <xdr:rowOff>162495</xdr:rowOff>
    </xdr:to>
    <xdr:sp macro="" textlink="#REF!">
      <xdr:nvSpPr>
        <xdr:cNvPr id="931" name="TextBox 930">
          <a:extLst>
            <a:ext uri="{FF2B5EF4-FFF2-40B4-BE49-F238E27FC236}">
              <a16:creationId xmlns:a16="http://schemas.microsoft.com/office/drawing/2014/main" id="{CAB76311-D5FD-A342-959E-CAFBB233F6E5}"/>
            </a:ext>
          </a:extLst>
        </xdr:cNvPr>
        <xdr:cNvSpPr txBox="1"/>
      </xdr:nvSpPr>
      <xdr:spPr>
        <a:xfrm>
          <a:off x="55444565" y="2633625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8DD7E4B-DF08-BD49-95CE-FBFAD39992F0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67</xdr:col>
      <xdr:colOff>638624</xdr:colOff>
      <xdr:row>19</xdr:row>
      <xdr:rowOff>13796</xdr:rowOff>
    </xdr:from>
    <xdr:to>
      <xdr:col>68</xdr:col>
      <xdr:colOff>111628</xdr:colOff>
      <xdr:row>21</xdr:row>
      <xdr:rowOff>151076</xdr:rowOff>
    </xdr:to>
    <xdr:sp macro="" textlink="#REF!">
      <xdr:nvSpPr>
        <xdr:cNvPr id="932" name="TextBox 931">
          <a:extLst>
            <a:ext uri="{FF2B5EF4-FFF2-40B4-BE49-F238E27FC236}">
              <a16:creationId xmlns:a16="http://schemas.microsoft.com/office/drawing/2014/main" id="{D92176E8-B3BB-E14B-BAD0-68F4096034C4}"/>
            </a:ext>
          </a:extLst>
        </xdr:cNvPr>
        <xdr:cNvSpPr txBox="1"/>
      </xdr:nvSpPr>
      <xdr:spPr>
        <a:xfrm>
          <a:off x="56554910" y="3116225"/>
          <a:ext cx="307575" cy="463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0" i="0" u="none" strike="noStrike">
              <a:solidFill>
                <a:schemeClr val="tx1"/>
              </a:solidFill>
              <a:latin typeface="Arial"/>
              <a:ea typeface="Arial" charset="0"/>
              <a:cs typeface="Arial"/>
            </a:rPr>
            <a:t>/</a:t>
          </a:r>
          <a:endParaRPr lang="en-US" sz="2400" b="0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oneCellAnchor>
    <xdr:from>
      <xdr:col>64</xdr:col>
      <xdr:colOff>119742</xdr:colOff>
      <xdr:row>0</xdr:row>
      <xdr:rowOff>123372</xdr:rowOff>
    </xdr:from>
    <xdr:ext cx="4114800" cy="403013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947D9D61-C99C-3E42-8BFA-CA55983D45DF}"/>
            </a:ext>
          </a:extLst>
        </xdr:cNvPr>
        <xdr:cNvSpPr txBox="1"/>
      </xdr:nvSpPr>
      <xdr:spPr>
        <a:xfrm>
          <a:off x="53532313" y="123372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Individual</a:t>
          </a:r>
        </a:p>
      </xdr:txBody>
    </xdr:sp>
    <xdr:clientData/>
  </xdr:oneCellAnchor>
  <xdr:twoCellAnchor>
    <xdr:from>
      <xdr:col>66</xdr:col>
      <xdr:colOff>14513</xdr:colOff>
      <xdr:row>4</xdr:row>
      <xdr:rowOff>58056</xdr:rowOff>
    </xdr:from>
    <xdr:to>
      <xdr:col>67</xdr:col>
      <xdr:colOff>94341</xdr:colOff>
      <xdr:row>6</xdr:row>
      <xdr:rowOff>5805</xdr:rowOff>
    </xdr:to>
    <xdr:sp macro="" textlink="[1]Match!$B$1">
      <xdr:nvSpPr>
        <xdr:cNvPr id="934" name="Rectangle 933">
          <a:extLst>
            <a:ext uri="{FF2B5EF4-FFF2-40B4-BE49-F238E27FC236}">
              <a16:creationId xmlns:a16="http://schemas.microsoft.com/office/drawing/2014/main" id="{4B8B4506-3C94-F644-BF6F-CCAB4C6C49AE}"/>
            </a:ext>
          </a:extLst>
        </xdr:cNvPr>
        <xdr:cNvSpPr>
          <a:spLocks/>
        </xdr:cNvSpPr>
      </xdr:nvSpPr>
      <xdr:spPr>
        <a:xfrm>
          <a:off x="55096227" y="711199"/>
          <a:ext cx="914400" cy="274320"/>
        </a:xfrm>
        <a:prstGeom prst="rect">
          <a:avLst/>
        </a:prstGeom>
        <a:solidFill>
          <a:srgbClr val="64003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B87C00A-B6FE-9548-9734-CFED4EBBF412}" type="TxLink">
            <a:rPr lang="en-US" sz="1100" b="1" i="0" u="none" strike="noStrike">
              <a:solidFill>
                <a:schemeClr val="bg1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100" b="1" i="0" u="none" strike="noStrike">
            <a:solidFill>
              <a:schemeClr val="bg1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oneCellAnchor>
    <xdr:from>
      <xdr:col>64</xdr:col>
      <xdr:colOff>126999</xdr:colOff>
      <xdr:row>7</xdr:row>
      <xdr:rowOff>148772</xdr:rowOff>
    </xdr:from>
    <xdr:ext cx="4114800" cy="403013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3F8F52C7-5F03-3243-AFEF-266258BFFB34}"/>
            </a:ext>
          </a:extLst>
        </xdr:cNvPr>
        <xdr:cNvSpPr txBox="1"/>
      </xdr:nvSpPr>
      <xdr:spPr>
        <a:xfrm>
          <a:off x="53539570" y="1291772"/>
          <a:ext cx="4114800" cy="403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Possessions / Tackles</a:t>
          </a:r>
        </a:p>
      </xdr:txBody>
    </xdr:sp>
    <xdr:clientData/>
  </xdr:oneCellAnchor>
  <xdr:twoCellAnchor>
    <xdr:from>
      <xdr:col>71</xdr:col>
      <xdr:colOff>0</xdr:colOff>
      <xdr:row>8</xdr:row>
      <xdr:rowOff>131364</xdr:rowOff>
    </xdr:from>
    <xdr:to>
      <xdr:col>76</xdr:col>
      <xdr:colOff>399142</xdr:colOff>
      <xdr:row>25</xdr:row>
      <xdr:rowOff>98707</xdr:rowOff>
    </xdr:to>
    <xdr:graphicFrame macro="">
      <xdr:nvGraphicFramePr>
        <xdr:cNvPr id="834" name="Chart 833">
          <a:extLst>
            <a:ext uri="{FF2B5EF4-FFF2-40B4-BE49-F238E27FC236}">
              <a16:creationId xmlns:a16="http://schemas.microsoft.com/office/drawing/2014/main" id="{E29ABDA2-1642-9244-95C7-CB131159B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90714</xdr:colOff>
      <xdr:row>8</xdr:row>
      <xdr:rowOff>0</xdr:rowOff>
    </xdr:from>
    <xdr:to>
      <xdr:col>74</xdr:col>
      <xdr:colOff>79102</xdr:colOff>
      <xdr:row>9</xdr:row>
      <xdr:rowOff>111035</xdr:rowOff>
    </xdr:to>
    <xdr:sp macro="" textlink="">
      <xdr:nvSpPr>
        <xdr:cNvPr id="836" name="Rectangle 835">
          <a:extLst>
            <a:ext uri="{FF2B5EF4-FFF2-40B4-BE49-F238E27FC236}">
              <a16:creationId xmlns:a16="http://schemas.microsoft.com/office/drawing/2014/main" id="{45FB4DC2-6A0A-B24F-911E-8AA978964E71}"/>
            </a:ext>
          </a:extLst>
        </xdr:cNvPr>
        <xdr:cNvSpPr>
          <a:spLocks noChangeAspect="1"/>
        </xdr:cNvSpPr>
      </xdr:nvSpPr>
      <xdr:spPr>
        <a:xfrm>
          <a:off x="61014428" y="1306286"/>
          <a:ext cx="822960" cy="27432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Puckouts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416174</xdr:colOff>
      <xdr:row>13</xdr:row>
      <xdr:rowOff>25400</xdr:rowOff>
    </xdr:from>
    <xdr:to>
      <xdr:col>48</xdr:col>
      <xdr:colOff>435809</xdr:colOff>
      <xdr:row>34</xdr:row>
      <xdr:rowOff>87923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0B3AE4D1-334A-4842-BC96-7966559E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02636" y="2233246"/>
          <a:ext cx="5060558" cy="3657600"/>
        </a:xfrm>
        <a:prstGeom prst="rect">
          <a:avLst/>
        </a:prstGeom>
      </xdr:spPr>
    </xdr:pic>
    <xdr:clientData/>
  </xdr:twoCellAnchor>
  <xdr:twoCellAnchor editAs="oneCell">
    <xdr:from>
      <xdr:col>28</xdr:col>
      <xdr:colOff>19539</xdr:colOff>
      <xdr:row>5</xdr:row>
      <xdr:rowOff>87922</xdr:rowOff>
    </xdr:from>
    <xdr:to>
      <xdr:col>35</xdr:col>
      <xdr:colOff>4600</xdr:colOff>
      <xdr:row>30</xdr:row>
      <xdr:rowOff>107461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10CF78BF-4E8A-AF48-B196-525FD064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43847" y="918307"/>
          <a:ext cx="5866138" cy="4239846"/>
        </a:xfrm>
        <a:prstGeom prst="rect">
          <a:avLst/>
        </a:prstGeom>
      </xdr:spPr>
    </xdr:pic>
    <xdr:clientData/>
  </xdr:twoCellAnchor>
  <xdr:twoCellAnchor editAs="oneCell">
    <xdr:from>
      <xdr:col>14</xdr:col>
      <xdr:colOff>54723</xdr:colOff>
      <xdr:row>26</xdr:row>
      <xdr:rowOff>84015</xdr:rowOff>
    </xdr:from>
    <xdr:to>
      <xdr:col>21</xdr:col>
      <xdr:colOff>39784</xdr:colOff>
      <xdr:row>50</xdr:row>
      <xdr:rowOff>123092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D84E6B5B-BD1E-1E44-AEDD-72A792FDF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6877" y="4519246"/>
          <a:ext cx="5866138" cy="4239846"/>
        </a:xfrm>
        <a:prstGeom prst="rect">
          <a:avLst/>
        </a:prstGeom>
      </xdr:spPr>
    </xdr:pic>
    <xdr:clientData/>
  </xdr:twoCellAnchor>
  <xdr:twoCellAnchor editAs="oneCell">
    <xdr:from>
      <xdr:col>13</xdr:col>
      <xdr:colOff>820631</xdr:colOff>
      <xdr:row>3</xdr:row>
      <xdr:rowOff>107461</xdr:rowOff>
    </xdr:from>
    <xdr:to>
      <xdr:col>20</xdr:col>
      <xdr:colOff>805692</xdr:colOff>
      <xdr:row>28</xdr:row>
      <xdr:rowOff>146538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7DA56506-7F4A-E64D-8CC1-2D7FCBC4F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2631" y="605692"/>
          <a:ext cx="5866138" cy="4239846"/>
        </a:xfrm>
        <a:prstGeom prst="rect">
          <a:avLst/>
        </a:prstGeom>
      </xdr:spPr>
    </xdr:pic>
    <xdr:clientData/>
  </xdr:twoCellAnchor>
  <xdr:oneCellAnchor>
    <xdr:from>
      <xdr:col>3</xdr:col>
      <xdr:colOff>639186</xdr:colOff>
      <xdr:row>4</xdr:row>
      <xdr:rowOff>17460</xdr:rowOff>
    </xdr:from>
    <xdr:ext cx="1669143" cy="593304"/>
    <xdr:sp macro="" textlink="MatchANALYSIS!C3">
      <xdr:nvSpPr>
        <xdr:cNvPr id="8" name="TextBox 7">
          <a:extLst>
            <a:ext uri="{FF2B5EF4-FFF2-40B4-BE49-F238E27FC236}">
              <a16:creationId xmlns:a16="http://schemas.microsoft.com/office/drawing/2014/main" id="{15D44A50-E6A0-384D-AD0D-E82E44CF76C2}"/>
            </a:ext>
          </a:extLst>
        </xdr:cNvPr>
        <xdr:cNvSpPr txBox="1"/>
      </xdr:nvSpPr>
      <xdr:spPr>
        <a:xfrm>
          <a:off x="3142900" y="670603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941A325D-10BE-684B-AC58-26D871F6A8D8}" type="TxLink">
            <a:rPr lang="en-US" sz="3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32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3</xdr:col>
      <xdr:colOff>69144</xdr:colOff>
      <xdr:row>9</xdr:row>
      <xdr:rowOff>59972</xdr:rowOff>
    </xdr:from>
    <xdr:to>
      <xdr:col>3</xdr:col>
      <xdr:colOff>534860</xdr:colOff>
      <xdr:row>14</xdr:row>
      <xdr:rowOff>145978</xdr:rowOff>
    </xdr:to>
    <xdr:sp macro="" textlink="MatchANALYSIS!D4">
      <xdr:nvSpPr>
        <xdr:cNvPr id="9" name="TextBox 8">
          <a:extLst>
            <a:ext uri="{FF2B5EF4-FFF2-40B4-BE49-F238E27FC236}">
              <a16:creationId xmlns:a16="http://schemas.microsoft.com/office/drawing/2014/main" id="{A6737AC8-37E3-5B4E-B92B-D61675899E78}"/>
            </a:ext>
          </a:extLst>
        </xdr:cNvPr>
        <xdr:cNvSpPr txBox="1"/>
      </xdr:nvSpPr>
      <xdr:spPr>
        <a:xfrm>
          <a:off x="2572858" y="1529543"/>
          <a:ext cx="465716" cy="9205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9F19A304-2B4A-5B40-9314-95BAD158950D}" type="TxLink">
            <a:rPr lang="en-US" sz="54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/>
            <a:t>2</a:t>
          </a:fld>
          <a:endParaRPr lang="en-US" sz="54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560246</xdr:colOff>
      <xdr:row>9</xdr:row>
      <xdr:rowOff>59972</xdr:rowOff>
    </xdr:from>
    <xdr:to>
      <xdr:col>4</xdr:col>
      <xdr:colOff>149341</xdr:colOff>
      <xdr:row>14</xdr:row>
      <xdr:rowOff>145978</xdr:rowOff>
    </xdr:to>
    <xdr:sp macro="" textlink="#REF!">
      <xdr:nvSpPr>
        <xdr:cNvPr id="10" name="TextBox 9">
          <a:extLst>
            <a:ext uri="{FF2B5EF4-FFF2-40B4-BE49-F238E27FC236}">
              <a16:creationId xmlns:a16="http://schemas.microsoft.com/office/drawing/2014/main" id="{BBC83AD0-5D8B-F54A-B490-AE0045EF7E3C}"/>
            </a:ext>
          </a:extLst>
        </xdr:cNvPr>
        <xdr:cNvSpPr txBox="1"/>
      </xdr:nvSpPr>
      <xdr:spPr>
        <a:xfrm>
          <a:off x="3063960" y="1529543"/>
          <a:ext cx="423667" cy="9205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1" i="0">
              <a:solidFill>
                <a:srgbClr val="800000"/>
              </a:solidFill>
              <a:latin typeface="+mn-lt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235227</xdr:colOff>
      <xdr:row>9</xdr:row>
      <xdr:rowOff>59972</xdr:rowOff>
    </xdr:from>
    <xdr:to>
      <xdr:col>5</xdr:col>
      <xdr:colOff>280515</xdr:colOff>
      <xdr:row>14</xdr:row>
      <xdr:rowOff>145978</xdr:rowOff>
    </xdr:to>
    <xdr:sp macro="" textlink="MatchANALYSIS!D5">
      <xdr:nvSpPr>
        <xdr:cNvPr id="11" name="TextBox 10">
          <a:extLst>
            <a:ext uri="{FF2B5EF4-FFF2-40B4-BE49-F238E27FC236}">
              <a16:creationId xmlns:a16="http://schemas.microsoft.com/office/drawing/2014/main" id="{FA4F4472-6D61-3F41-B7D2-08427F7E85D9}"/>
            </a:ext>
          </a:extLst>
        </xdr:cNvPr>
        <xdr:cNvSpPr txBox="1"/>
      </xdr:nvSpPr>
      <xdr:spPr>
        <a:xfrm>
          <a:off x="3573513" y="1529543"/>
          <a:ext cx="879859" cy="92057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28C3B31C-CB25-C44F-AD66-F96D2FA3F540}" type="TxLink">
            <a:rPr lang="en-US" sz="54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/>
            <a:t>22</a:t>
          </a:fld>
          <a:endParaRPr lang="en-US" sz="54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14716</xdr:colOff>
      <xdr:row>16</xdr:row>
      <xdr:rowOff>61109</xdr:rowOff>
    </xdr:from>
    <xdr:to>
      <xdr:col>3</xdr:col>
      <xdr:colOff>530489</xdr:colOff>
      <xdr:row>22</xdr:row>
      <xdr:rowOff>3471</xdr:rowOff>
    </xdr:to>
    <xdr:sp macro="" textlink="MatchANALYSIS!C4">
      <xdr:nvSpPr>
        <xdr:cNvPr id="12" name="TextBox 11">
          <a:extLst>
            <a:ext uri="{FF2B5EF4-FFF2-40B4-BE49-F238E27FC236}">
              <a16:creationId xmlns:a16="http://schemas.microsoft.com/office/drawing/2014/main" id="{60906BD5-FB86-2245-AAAC-64333A1D572F}"/>
            </a:ext>
          </a:extLst>
        </xdr:cNvPr>
        <xdr:cNvSpPr txBox="1"/>
      </xdr:nvSpPr>
      <xdr:spPr>
        <a:xfrm>
          <a:off x="2518430" y="2728109"/>
          <a:ext cx="515773" cy="940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4DDCA96E-C55D-EA48-84E7-E43EE1B23A5E}" type="TxLink">
            <a:rPr lang="en-US" sz="54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/>
            <a:t>1</a:t>
          </a:fld>
          <a:endParaRPr lang="en-US" sz="54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554853</xdr:colOff>
      <xdr:row>16</xdr:row>
      <xdr:rowOff>61109</xdr:rowOff>
    </xdr:from>
    <xdr:to>
      <xdr:col>4</xdr:col>
      <xdr:colOff>121329</xdr:colOff>
      <xdr:row>22</xdr:row>
      <xdr:rowOff>3471</xdr:rowOff>
    </xdr:to>
    <xdr:sp macro="" textlink="#REF!">
      <xdr:nvSpPr>
        <xdr:cNvPr id="13" name="TextBox 12">
          <a:extLst>
            <a:ext uri="{FF2B5EF4-FFF2-40B4-BE49-F238E27FC236}">
              <a16:creationId xmlns:a16="http://schemas.microsoft.com/office/drawing/2014/main" id="{E2BF808B-F7FD-424B-9C65-5A3DDE88EA5C}"/>
            </a:ext>
          </a:extLst>
        </xdr:cNvPr>
        <xdr:cNvSpPr txBox="1"/>
      </xdr:nvSpPr>
      <xdr:spPr>
        <a:xfrm>
          <a:off x="3058567" y="2728109"/>
          <a:ext cx="401048" cy="940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5400" b="1" i="0">
              <a:solidFill>
                <a:srgbClr val="008080"/>
              </a:solidFill>
              <a:latin typeface="+mn-lt"/>
              <a:ea typeface="Arial" charset="0"/>
              <a:cs typeface="Arial" charset="0"/>
            </a:rPr>
            <a:t>-</a:t>
          </a:r>
        </a:p>
      </xdr:txBody>
    </xdr:sp>
    <xdr:clientData/>
  </xdr:twoCellAnchor>
  <xdr:twoCellAnchor>
    <xdr:from>
      <xdr:col>4</xdr:col>
      <xdr:colOff>180799</xdr:colOff>
      <xdr:row>16</xdr:row>
      <xdr:rowOff>61109</xdr:rowOff>
    </xdr:from>
    <xdr:to>
      <xdr:col>5</xdr:col>
      <xdr:colOff>184982</xdr:colOff>
      <xdr:row>22</xdr:row>
      <xdr:rowOff>3471</xdr:rowOff>
    </xdr:to>
    <xdr:sp macro="" textlink="MatchANALYSIS!C5">
      <xdr:nvSpPr>
        <xdr:cNvPr id="14" name="TextBox 13">
          <a:extLst>
            <a:ext uri="{FF2B5EF4-FFF2-40B4-BE49-F238E27FC236}">
              <a16:creationId xmlns:a16="http://schemas.microsoft.com/office/drawing/2014/main" id="{470734F0-624C-004E-B3FE-B7AE9192AE84}"/>
            </a:ext>
          </a:extLst>
        </xdr:cNvPr>
        <xdr:cNvSpPr txBox="1"/>
      </xdr:nvSpPr>
      <xdr:spPr>
        <a:xfrm>
          <a:off x="3519085" y="2728109"/>
          <a:ext cx="838754" cy="9402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fld id="{00E59645-80C2-884E-9D22-7906A16AC831}" type="TxLink">
            <a:rPr lang="en-US" sz="5400" b="1" i="0" u="none" strike="noStrike">
              <a:solidFill>
                <a:srgbClr val="008080"/>
              </a:solidFill>
              <a:latin typeface="+mn-lt"/>
              <a:ea typeface="Arial" charset="0"/>
              <a:cs typeface="Calibri"/>
            </a:rPr>
            <a:pPr/>
            <a:t>18</a:t>
          </a:fld>
          <a:endParaRPr lang="en-US" sz="5400" b="1" i="0">
            <a:solidFill>
              <a:srgbClr val="00808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 editAs="oneCell">
    <xdr:from>
      <xdr:col>1</xdr:col>
      <xdr:colOff>321732</xdr:colOff>
      <xdr:row>16</xdr:row>
      <xdr:rowOff>84067</xdr:rowOff>
    </xdr:from>
    <xdr:to>
      <xdr:col>2</xdr:col>
      <xdr:colOff>608166</xdr:colOff>
      <xdr:row>23</xdr:row>
      <xdr:rowOff>28578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07A3DDB-524F-DD4F-A3E4-5308FFDDB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1161886" y="2819452"/>
          <a:ext cx="1126588" cy="1116819"/>
        </a:xfrm>
        <a:prstGeom prst="rect">
          <a:avLst/>
        </a:prstGeom>
      </xdr:spPr>
    </xdr:pic>
    <xdr:clientData/>
  </xdr:twoCellAnchor>
  <xdr:twoCellAnchor editAs="oneCell">
    <xdr:from>
      <xdr:col>1</xdr:col>
      <xdr:colOff>380744</xdr:colOff>
      <xdr:row>8</xdr:row>
      <xdr:rowOff>12496</xdr:rowOff>
    </xdr:from>
    <xdr:to>
      <xdr:col>2</xdr:col>
      <xdr:colOff>581072</xdr:colOff>
      <xdr:row>15</xdr:row>
      <xdr:rowOff>130118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82C57D-91A0-D64B-BBD6-7D0F5196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/>
      </xdr:blipFill>
      <xdr:spPr>
        <a:xfrm>
          <a:off x="1220898" y="1341111"/>
          <a:ext cx="1040482" cy="1299699"/>
        </a:xfrm>
        <a:prstGeom prst="rect">
          <a:avLst/>
        </a:prstGeom>
      </xdr:spPr>
    </xdr:pic>
    <xdr:clientData/>
  </xdr:twoCellAnchor>
  <xdr:oneCellAnchor>
    <xdr:from>
      <xdr:col>0</xdr:col>
      <xdr:colOff>791586</xdr:colOff>
      <xdr:row>3</xdr:row>
      <xdr:rowOff>140738</xdr:rowOff>
    </xdr:from>
    <xdr:ext cx="1909839" cy="593304"/>
    <xdr:sp macro="" textlink="MatchANALYSIS!D3">
      <xdr:nvSpPr>
        <xdr:cNvPr id="17" name="TextBox 16">
          <a:extLst>
            <a:ext uri="{FF2B5EF4-FFF2-40B4-BE49-F238E27FC236}">
              <a16:creationId xmlns:a16="http://schemas.microsoft.com/office/drawing/2014/main" id="{030B4CE3-1197-C441-9DE8-33741DC9D4E3}"/>
            </a:ext>
          </a:extLst>
        </xdr:cNvPr>
        <xdr:cNvSpPr txBox="1"/>
      </xdr:nvSpPr>
      <xdr:spPr>
        <a:xfrm>
          <a:off x="791586" y="630595"/>
          <a:ext cx="1909839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fld id="{D0034C6C-6AE5-394A-827F-CF6698B7DDBE}" type="TxLink">
            <a:rPr lang="en-US" sz="3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32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oneCellAnchor>
    <xdr:from>
      <xdr:col>2</xdr:col>
      <xdr:colOff>428728</xdr:colOff>
      <xdr:row>3</xdr:row>
      <xdr:rowOff>158882</xdr:rowOff>
    </xdr:from>
    <xdr:ext cx="1669143" cy="593304"/>
    <xdr:sp macro="" textlink="[1]Match!$B1">
      <xdr:nvSpPr>
        <xdr:cNvPr id="18" name="TextBox 17">
          <a:extLst>
            <a:ext uri="{FF2B5EF4-FFF2-40B4-BE49-F238E27FC236}">
              <a16:creationId xmlns:a16="http://schemas.microsoft.com/office/drawing/2014/main" id="{6726A25B-F7BC-634D-8A09-78F50BC1CEF9}"/>
            </a:ext>
          </a:extLst>
        </xdr:cNvPr>
        <xdr:cNvSpPr txBox="1"/>
      </xdr:nvSpPr>
      <xdr:spPr>
        <a:xfrm>
          <a:off x="2097871" y="648739"/>
          <a:ext cx="166914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3200" b="0" i="0" u="none" strike="noStrike">
              <a:solidFill>
                <a:schemeClr val="bg1">
                  <a:lumMod val="65000"/>
                </a:schemeClr>
              </a:solidFill>
              <a:latin typeface="Calibri"/>
              <a:ea typeface="Arial" charset="0"/>
              <a:cs typeface="Calibri"/>
            </a:rPr>
            <a:t>vs.</a:t>
          </a:r>
          <a:endParaRPr lang="en-US" sz="3200" b="0" i="0">
            <a:solidFill>
              <a:schemeClr val="bg1">
                <a:lumMod val="65000"/>
              </a:schemeClr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oneCellAnchor>
  <xdr:twoCellAnchor>
    <xdr:from>
      <xdr:col>7</xdr:col>
      <xdr:colOff>127002</xdr:colOff>
      <xdr:row>5</xdr:row>
      <xdr:rowOff>61696</xdr:rowOff>
    </xdr:from>
    <xdr:to>
      <xdr:col>10</xdr:col>
      <xdr:colOff>544286</xdr:colOff>
      <xdr:row>26</xdr:row>
      <xdr:rowOff>72583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13A0C43-357F-AF48-9060-4DB3F52C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798358</xdr:colOff>
      <xdr:row>10</xdr:row>
      <xdr:rowOff>97979</xdr:rowOff>
    </xdr:from>
    <xdr:to>
      <xdr:col>12</xdr:col>
      <xdr:colOff>786747</xdr:colOff>
      <xdr:row>12</xdr:row>
      <xdr:rowOff>45727</xdr:rowOff>
    </xdr:to>
    <xdr:sp macro="" textlink="MatchANALYSIS!D3">
      <xdr:nvSpPr>
        <xdr:cNvPr id="20" name="Rectangle 19">
          <a:extLst>
            <a:ext uri="{FF2B5EF4-FFF2-40B4-BE49-F238E27FC236}">
              <a16:creationId xmlns:a16="http://schemas.microsoft.com/office/drawing/2014/main" id="{BCEE24B1-FD82-264C-B242-ADA7DDD3F452}"/>
            </a:ext>
          </a:extLst>
        </xdr:cNvPr>
        <xdr:cNvSpPr>
          <a:spLocks noChangeAspect="1"/>
        </xdr:cNvSpPr>
      </xdr:nvSpPr>
      <xdr:spPr>
        <a:xfrm>
          <a:off x="9978644" y="1730836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DC4930-55BD-0F42-97DC-33A350B6A633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12</xdr:row>
      <xdr:rowOff>123378</xdr:rowOff>
    </xdr:from>
    <xdr:to>
      <xdr:col>12</xdr:col>
      <xdr:colOff>786747</xdr:colOff>
      <xdr:row>14</xdr:row>
      <xdr:rowOff>71127</xdr:rowOff>
    </xdr:to>
    <xdr:sp macro="" textlink="MatchANALYSIS!$D12">
      <xdr:nvSpPr>
        <xdr:cNvPr id="22" name="Rectangle 21">
          <a:extLst>
            <a:ext uri="{FF2B5EF4-FFF2-40B4-BE49-F238E27FC236}">
              <a16:creationId xmlns:a16="http://schemas.microsoft.com/office/drawing/2014/main" id="{F6724878-4DC0-2946-9709-A820EBED47E3}"/>
            </a:ext>
          </a:extLst>
        </xdr:cNvPr>
        <xdr:cNvSpPr>
          <a:spLocks noChangeAspect="1"/>
        </xdr:cNvSpPr>
      </xdr:nvSpPr>
      <xdr:spPr>
        <a:xfrm>
          <a:off x="9978644" y="2082807"/>
          <a:ext cx="822960" cy="29246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82D03AB-C165-ED49-8D53-67568E8A10C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28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14</xdr:row>
      <xdr:rowOff>148779</xdr:rowOff>
    </xdr:from>
    <xdr:to>
      <xdr:col>12</xdr:col>
      <xdr:colOff>786747</xdr:colOff>
      <xdr:row>16</xdr:row>
      <xdr:rowOff>96528</xdr:rowOff>
    </xdr:to>
    <xdr:sp macro="" textlink="MatchANALYSIS!$D13">
      <xdr:nvSpPr>
        <xdr:cNvPr id="24" name="Rectangle 23">
          <a:extLst>
            <a:ext uri="{FF2B5EF4-FFF2-40B4-BE49-F238E27FC236}">
              <a16:creationId xmlns:a16="http://schemas.microsoft.com/office/drawing/2014/main" id="{8F03175D-B4E3-6949-9F1C-6DF2AC6AB4F9}"/>
            </a:ext>
          </a:extLst>
        </xdr:cNvPr>
        <xdr:cNvSpPr>
          <a:spLocks noChangeAspect="1"/>
        </xdr:cNvSpPr>
      </xdr:nvSpPr>
      <xdr:spPr>
        <a:xfrm>
          <a:off x="9978644" y="2452922"/>
          <a:ext cx="822960" cy="3106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272561-ED72-B94E-AF0D-CFCCBF3BFEF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15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17</xdr:row>
      <xdr:rowOff>9</xdr:rowOff>
    </xdr:from>
    <xdr:to>
      <xdr:col>12</xdr:col>
      <xdr:colOff>786747</xdr:colOff>
      <xdr:row>18</xdr:row>
      <xdr:rowOff>111043</xdr:rowOff>
    </xdr:to>
    <xdr:sp macro="" textlink="MatchANALYSIS!$D14">
      <xdr:nvSpPr>
        <xdr:cNvPr id="26" name="Rectangle 25">
          <a:extLst>
            <a:ext uri="{FF2B5EF4-FFF2-40B4-BE49-F238E27FC236}">
              <a16:creationId xmlns:a16="http://schemas.microsoft.com/office/drawing/2014/main" id="{B0A27F45-F178-5649-B22D-E84F0F56FA0C}"/>
            </a:ext>
          </a:extLst>
        </xdr:cNvPr>
        <xdr:cNvSpPr>
          <a:spLocks noChangeAspect="1"/>
        </xdr:cNvSpPr>
      </xdr:nvSpPr>
      <xdr:spPr>
        <a:xfrm>
          <a:off x="9978644" y="2848438"/>
          <a:ext cx="822960" cy="27431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B963FC4-8DCC-C74A-9290-B58BD344B699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11</xdr:col>
      <xdr:colOff>798358</xdr:colOff>
      <xdr:row>19</xdr:row>
      <xdr:rowOff>18151</xdr:rowOff>
    </xdr:from>
    <xdr:to>
      <xdr:col>12</xdr:col>
      <xdr:colOff>786747</xdr:colOff>
      <xdr:row>20</xdr:row>
      <xdr:rowOff>129186</xdr:rowOff>
    </xdr:to>
    <xdr:sp macro="" textlink="MatchANALYSIS!$D15">
      <xdr:nvSpPr>
        <xdr:cNvPr id="28" name="Rectangle 27">
          <a:extLst>
            <a:ext uri="{FF2B5EF4-FFF2-40B4-BE49-F238E27FC236}">
              <a16:creationId xmlns:a16="http://schemas.microsoft.com/office/drawing/2014/main" id="{49BDAC2E-EBF4-744B-AEA8-EDA93C8ECF03}"/>
            </a:ext>
          </a:extLst>
        </xdr:cNvPr>
        <xdr:cNvSpPr>
          <a:spLocks noChangeAspect="1"/>
        </xdr:cNvSpPr>
      </xdr:nvSpPr>
      <xdr:spPr>
        <a:xfrm>
          <a:off x="9978644" y="3193151"/>
          <a:ext cx="822960" cy="27432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5AC453B-A317-A84B-95B6-824BCF71CF3C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49%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10</xdr:col>
      <xdr:colOff>671248</xdr:colOff>
      <xdr:row>12</xdr:row>
      <xdr:rowOff>123378</xdr:rowOff>
    </xdr:from>
    <xdr:to>
      <xdr:col>11</xdr:col>
      <xdr:colOff>659636</xdr:colOff>
      <xdr:row>14</xdr:row>
      <xdr:rowOff>71127</xdr:rowOff>
    </xdr:to>
    <xdr:sp macro="" textlink="MatchANALYSIS!$B12">
      <xdr:nvSpPr>
        <xdr:cNvPr id="30" name="Rectangle 29">
          <a:extLst>
            <a:ext uri="{FF2B5EF4-FFF2-40B4-BE49-F238E27FC236}">
              <a16:creationId xmlns:a16="http://schemas.microsoft.com/office/drawing/2014/main" id="{34D56F05-1104-C44E-9869-093F3173D69B}"/>
            </a:ext>
          </a:extLst>
        </xdr:cNvPr>
        <xdr:cNvSpPr>
          <a:spLocks noChangeAspect="1"/>
        </xdr:cNvSpPr>
      </xdr:nvSpPr>
      <xdr:spPr>
        <a:xfrm>
          <a:off x="8926248" y="2104578"/>
          <a:ext cx="813888" cy="2779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3B940BC5-3DAE-6449-AEE5-18A0D7E8F052}" type="TxLink">
            <a:rPr lang="en-US" sz="12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Total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14</xdr:row>
      <xdr:rowOff>148779</xdr:rowOff>
    </xdr:from>
    <xdr:to>
      <xdr:col>11</xdr:col>
      <xdr:colOff>659636</xdr:colOff>
      <xdr:row>16</xdr:row>
      <xdr:rowOff>96528</xdr:rowOff>
    </xdr:to>
    <xdr:sp macro="" textlink="MatchANALYSIS!$B13">
      <xdr:nvSpPr>
        <xdr:cNvPr id="31" name="Rectangle 30">
          <a:extLst>
            <a:ext uri="{FF2B5EF4-FFF2-40B4-BE49-F238E27FC236}">
              <a16:creationId xmlns:a16="http://schemas.microsoft.com/office/drawing/2014/main" id="{F50FDB80-359C-214A-AA32-66E0BEBC690A}"/>
            </a:ext>
          </a:extLst>
        </xdr:cNvPr>
        <xdr:cNvSpPr>
          <a:spLocks noChangeAspect="1"/>
        </xdr:cNvSpPr>
      </xdr:nvSpPr>
      <xdr:spPr>
        <a:xfrm>
          <a:off x="8926248" y="2460179"/>
          <a:ext cx="813888" cy="2779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0868193-6F66-4C4A-BD10-CBC120A971CB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Won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17</xdr:row>
      <xdr:rowOff>9</xdr:rowOff>
    </xdr:from>
    <xdr:to>
      <xdr:col>11</xdr:col>
      <xdr:colOff>659636</xdr:colOff>
      <xdr:row>18</xdr:row>
      <xdr:rowOff>111043</xdr:rowOff>
    </xdr:to>
    <xdr:sp macro="" textlink="MatchANALYSIS!$B14">
      <xdr:nvSpPr>
        <xdr:cNvPr id="32" name="Rectangle 31">
          <a:extLst>
            <a:ext uri="{FF2B5EF4-FFF2-40B4-BE49-F238E27FC236}">
              <a16:creationId xmlns:a16="http://schemas.microsoft.com/office/drawing/2014/main" id="{95F2A2DB-656D-8B44-9AFF-4B9A243D8982}"/>
            </a:ext>
          </a:extLst>
        </xdr:cNvPr>
        <xdr:cNvSpPr>
          <a:spLocks noChangeAspect="1"/>
        </xdr:cNvSpPr>
      </xdr:nvSpPr>
      <xdr:spPr>
        <a:xfrm>
          <a:off x="8926248" y="2806709"/>
          <a:ext cx="813888" cy="2761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5FE2C5C-BC35-9D40-B892-581D59046692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Lost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10</xdr:col>
      <xdr:colOff>671248</xdr:colOff>
      <xdr:row>19</xdr:row>
      <xdr:rowOff>18151</xdr:rowOff>
    </xdr:from>
    <xdr:to>
      <xdr:col>11</xdr:col>
      <xdr:colOff>659636</xdr:colOff>
      <xdr:row>20</xdr:row>
      <xdr:rowOff>129186</xdr:rowOff>
    </xdr:to>
    <xdr:sp macro="" textlink="MatchANALYSIS!$B15">
      <xdr:nvSpPr>
        <xdr:cNvPr id="33" name="Rectangle 32">
          <a:extLst>
            <a:ext uri="{FF2B5EF4-FFF2-40B4-BE49-F238E27FC236}">
              <a16:creationId xmlns:a16="http://schemas.microsoft.com/office/drawing/2014/main" id="{EFD2EB76-FE13-B740-812E-F67F4B897748}"/>
            </a:ext>
          </a:extLst>
        </xdr:cNvPr>
        <xdr:cNvSpPr>
          <a:spLocks noChangeAspect="1"/>
        </xdr:cNvSpPr>
      </xdr:nvSpPr>
      <xdr:spPr>
        <a:xfrm>
          <a:off x="8926248" y="3155051"/>
          <a:ext cx="813888" cy="2761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3D00A4D-3AE9-A04F-8D95-87D0E6681A62}" type="TxLink">
            <a:rPr lang="en-US" sz="12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%</a:t>
          </a:fld>
          <a:endParaRPr lang="en-US" sz="105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667657</xdr:colOff>
      <xdr:row>7</xdr:row>
      <xdr:rowOff>134255</xdr:rowOff>
    </xdr:from>
    <xdr:to>
      <xdr:col>29</xdr:col>
      <xdr:colOff>140661</xdr:colOff>
      <xdr:row>10</xdr:row>
      <xdr:rowOff>108249</xdr:rowOff>
    </xdr:to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262A8B37-9A33-4D41-87B4-9FE406624A6F}"/>
            </a:ext>
          </a:extLst>
        </xdr:cNvPr>
        <xdr:cNvSpPr txBox="1"/>
      </xdr:nvSpPr>
      <xdr:spPr>
        <a:xfrm>
          <a:off x="23781657" y="1289955"/>
          <a:ext cx="298504" cy="469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endParaRPr lang="en-US" sz="2400" b="0" i="0">
            <a:solidFill>
              <a:schemeClr val="tx1"/>
            </a:solidFill>
          </a:endParaRPr>
        </a:p>
      </xdr:txBody>
    </xdr:sp>
    <xdr:clientData/>
  </xdr:twoCellAnchor>
  <xdr:oneCellAnchor>
    <xdr:from>
      <xdr:col>9</xdr:col>
      <xdr:colOff>666750</xdr:colOff>
      <xdr:row>2</xdr:row>
      <xdr:rowOff>3249</xdr:rowOff>
    </xdr:from>
    <xdr:ext cx="1344083" cy="378824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658CF699-9D7D-314A-8679-158B64E7D79B}"/>
            </a:ext>
          </a:extLst>
        </xdr:cNvPr>
        <xdr:cNvSpPr txBox="1"/>
      </xdr:nvSpPr>
      <xdr:spPr>
        <a:xfrm>
          <a:off x="8228135" y="335403"/>
          <a:ext cx="1344083" cy="3788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Puckouts</a:t>
          </a:r>
        </a:p>
      </xdr:txBody>
    </xdr:sp>
    <xdr:clientData/>
  </xdr:oneCellAnchor>
  <xdr:twoCellAnchor>
    <xdr:from>
      <xdr:col>24</xdr:col>
      <xdr:colOff>636991</xdr:colOff>
      <xdr:row>6</xdr:row>
      <xdr:rowOff>36653</xdr:rowOff>
    </xdr:from>
    <xdr:to>
      <xdr:col>27</xdr:col>
      <xdr:colOff>467140</xdr:colOff>
      <xdr:row>20</xdr:row>
      <xdr:rowOff>19583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FA67BFC8-294A-614D-B0BE-183D233DC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652716</xdr:colOff>
      <xdr:row>12</xdr:row>
      <xdr:rowOff>128524</xdr:rowOff>
    </xdr:from>
    <xdr:to>
      <xdr:col>23</xdr:col>
      <xdr:colOff>320031</xdr:colOff>
      <xdr:row>14</xdr:row>
      <xdr:rowOff>50303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36B4D86-44A0-5E4F-AD4B-C7773EDC148C}"/>
            </a:ext>
          </a:extLst>
        </xdr:cNvPr>
        <xdr:cNvSpPr txBox="1"/>
      </xdr:nvSpPr>
      <xdr:spPr>
        <a:xfrm>
          <a:off x="19136101" y="2121447"/>
          <a:ext cx="507468" cy="263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Shots</a:t>
          </a:r>
        </a:p>
      </xdr:txBody>
    </xdr:sp>
    <xdr:clientData/>
  </xdr:twoCellAnchor>
  <xdr:twoCellAnchor>
    <xdr:from>
      <xdr:col>22</xdr:col>
      <xdr:colOff>561763</xdr:colOff>
      <xdr:row>16</xdr:row>
      <xdr:rowOff>40605</xdr:rowOff>
    </xdr:from>
    <xdr:to>
      <xdr:col>23</xdr:col>
      <xdr:colOff>410985</xdr:colOff>
      <xdr:row>17</xdr:row>
      <xdr:rowOff>122468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F45438F4-8322-F24D-AE7D-C28D760C40CA}"/>
            </a:ext>
          </a:extLst>
        </xdr:cNvPr>
        <xdr:cNvSpPr txBox="1"/>
      </xdr:nvSpPr>
      <xdr:spPr>
        <a:xfrm>
          <a:off x="19045148" y="2727143"/>
          <a:ext cx="689375" cy="2577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Scores</a:t>
          </a:r>
        </a:p>
      </xdr:txBody>
    </xdr:sp>
    <xdr:clientData/>
  </xdr:twoCellAnchor>
  <xdr:twoCellAnchor>
    <xdr:from>
      <xdr:col>22</xdr:col>
      <xdr:colOff>598458</xdr:colOff>
      <xdr:row>9</xdr:row>
      <xdr:rowOff>46207</xdr:rowOff>
    </xdr:from>
    <xdr:to>
      <xdr:col>23</xdr:col>
      <xdr:colOff>374290</xdr:colOff>
      <xdr:row>10</xdr:row>
      <xdr:rowOff>134965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6B99974A-0C52-B34C-8550-4691A10866C1}"/>
            </a:ext>
          </a:extLst>
        </xdr:cNvPr>
        <xdr:cNvSpPr txBox="1"/>
      </xdr:nvSpPr>
      <xdr:spPr>
        <a:xfrm>
          <a:off x="19081843" y="1540899"/>
          <a:ext cx="615985" cy="2548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1100" b="0" i="0">
              <a:latin typeface="Arial" charset="0"/>
              <a:ea typeface="Arial" charset="0"/>
              <a:cs typeface="Arial" charset="0"/>
            </a:rPr>
            <a:t>Attacks</a:t>
          </a:r>
        </a:p>
      </xdr:txBody>
    </xdr:sp>
    <xdr:clientData/>
  </xdr:twoCellAnchor>
  <xdr:twoCellAnchor>
    <xdr:from>
      <xdr:col>25</xdr:col>
      <xdr:colOff>278426</xdr:colOff>
      <xdr:row>27</xdr:row>
      <xdr:rowOff>5498</xdr:rowOff>
    </xdr:from>
    <xdr:to>
      <xdr:col>26</xdr:col>
      <xdr:colOff>265601</xdr:colOff>
      <xdr:row>28</xdr:row>
      <xdr:rowOff>116450</xdr:rowOff>
    </xdr:to>
    <xdr:sp macro="" textlink="MatchANALYSIS!G16">
      <xdr:nvSpPr>
        <xdr:cNvPr id="149" name="Rectangle 148">
          <a:extLst>
            <a:ext uri="{FF2B5EF4-FFF2-40B4-BE49-F238E27FC236}">
              <a16:creationId xmlns:a16="http://schemas.microsoft.com/office/drawing/2014/main" id="{48406580-C4A9-A049-BE7D-F8EC6B9CEC9C}"/>
            </a:ext>
          </a:extLst>
        </xdr:cNvPr>
        <xdr:cNvSpPr>
          <a:spLocks noChangeAspect="1"/>
        </xdr:cNvSpPr>
      </xdr:nvSpPr>
      <xdr:spPr>
        <a:xfrm>
          <a:off x="21092315" y="4633942"/>
          <a:ext cx="819730" cy="29439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0B73A08-D86F-4A4B-8FFF-1CDAC71BA1E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33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27</xdr:row>
      <xdr:rowOff>5498</xdr:rowOff>
    </xdr:from>
    <xdr:to>
      <xdr:col>25</xdr:col>
      <xdr:colOff>364143</xdr:colOff>
      <xdr:row>28</xdr:row>
      <xdr:rowOff>116450</xdr:rowOff>
    </xdr:to>
    <xdr:sp macro="" textlink="MatchANALYSIS!$F16">
      <xdr:nvSpPr>
        <xdr:cNvPr id="150" name="Rectangle 149">
          <a:extLst>
            <a:ext uri="{FF2B5EF4-FFF2-40B4-BE49-F238E27FC236}">
              <a16:creationId xmlns:a16="http://schemas.microsoft.com/office/drawing/2014/main" id="{919A527D-CEA2-634D-8C4B-2D30BAFB7BC7}"/>
            </a:ext>
          </a:extLst>
        </xdr:cNvPr>
        <xdr:cNvSpPr>
          <a:spLocks/>
        </xdr:cNvSpPr>
      </xdr:nvSpPr>
      <xdr:spPr>
        <a:xfrm>
          <a:off x="19798676" y="4606806"/>
          <a:ext cx="1569313" cy="27702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2D31656-C09E-474C-A758-6C98779B4819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Shots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24</xdr:row>
      <xdr:rowOff>131285</xdr:rowOff>
    </xdr:from>
    <xdr:to>
      <xdr:col>26</xdr:col>
      <xdr:colOff>265601</xdr:colOff>
      <xdr:row>26</xdr:row>
      <xdr:rowOff>76160</xdr:rowOff>
    </xdr:to>
    <xdr:sp macro="" textlink="[1]Match!$B$1">
      <xdr:nvSpPr>
        <xdr:cNvPr id="152" name="Rectangle 151">
          <a:extLst>
            <a:ext uri="{FF2B5EF4-FFF2-40B4-BE49-F238E27FC236}">
              <a16:creationId xmlns:a16="http://schemas.microsoft.com/office/drawing/2014/main" id="{C9A778B9-87A3-6D41-956D-B2D85535543D}"/>
            </a:ext>
          </a:extLst>
        </xdr:cNvPr>
        <xdr:cNvSpPr>
          <a:spLocks noChangeAspect="1"/>
        </xdr:cNvSpPr>
      </xdr:nvSpPr>
      <xdr:spPr>
        <a:xfrm>
          <a:off x="21092315" y="4251729"/>
          <a:ext cx="819730" cy="2835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CFDC804-ADEB-8244-9743-49B2787D5376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278426</xdr:colOff>
      <xdr:row>29</xdr:row>
      <xdr:rowOff>35148</xdr:rowOff>
    </xdr:from>
    <xdr:to>
      <xdr:col>26</xdr:col>
      <xdr:colOff>265601</xdr:colOff>
      <xdr:row>30</xdr:row>
      <xdr:rowOff>154968</xdr:rowOff>
    </xdr:to>
    <xdr:sp macro="" textlink="MatchANALYSIS!G18">
      <xdr:nvSpPr>
        <xdr:cNvPr id="154" name="Rectangle 153">
          <a:extLst>
            <a:ext uri="{FF2B5EF4-FFF2-40B4-BE49-F238E27FC236}">
              <a16:creationId xmlns:a16="http://schemas.microsoft.com/office/drawing/2014/main" id="{6619E7E0-0E2C-2D49-AB4C-0F39F191D6C3}"/>
            </a:ext>
          </a:extLst>
        </xdr:cNvPr>
        <xdr:cNvSpPr>
          <a:spLocks noChangeAspect="1"/>
        </xdr:cNvSpPr>
      </xdr:nvSpPr>
      <xdr:spPr>
        <a:xfrm>
          <a:off x="21092315" y="5030481"/>
          <a:ext cx="819730" cy="30326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87EA374-5185-334E-87F0-982EE3A95E6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29</xdr:row>
      <xdr:rowOff>35148</xdr:rowOff>
    </xdr:from>
    <xdr:to>
      <xdr:col>25</xdr:col>
      <xdr:colOff>364143</xdr:colOff>
      <xdr:row>30</xdr:row>
      <xdr:rowOff>154968</xdr:rowOff>
    </xdr:to>
    <xdr:sp macro="" textlink="MatchANALYSIS!F18">
      <xdr:nvSpPr>
        <xdr:cNvPr id="155" name="Rectangle 154">
          <a:extLst>
            <a:ext uri="{FF2B5EF4-FFF2-40B4-BE49-F238E27FC236}">
              <a16:creationId xmlns:a16="http://schemas.microsoft.com/office/drawing/2014/main" id="{9ED05659-FAE8-B447-B3AA-B59467183CD1}"/>
            </a:ext>
          </a:extLst>
        </xdr:cNvPr>
        <xdr:cNvSpPr>
          <a:spLocks/>
        </xdr:cNvSpPr>
      </xdr:nvSpPr>
      <xdr:spPr>
        <a:xfrm>
          <a:off x="19798676" y="4968610"/>
          <a:ext cx="1569313" cy="2858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65EB346-E8BA-184E-B7F6-5F47728C8242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31</xdr:row>
      <xdr:rowOff>64798</xdr:rowOff>
    </xdr:from>
    <xdr:to>
      <xdr:col>26</xdr:col>
      <xdr:colOff>265601</xdr:colOff>
      <xdr:row>33</xdr:row>
      <xdr:rowOff>18540</xdr:rowOff>
    </xdr:to>
    <xdr:sp macro="" textlink="MatchANALYSIS!G19">
      <xdr:nvSpPr>
        <xdr:cNvPr id="157" name="Rectangle 156">
          <a:extLst>
            <a:ext uri="{FF2B5EF4-FFF2-40B4-BE49-F238E27FC236}">
              <a16:creationId xmlns:a16="http://schemas.microsoft.com/office/drawing/2014/main" id="{DEC8162D-8BA7-214A-9B9F-EC5DBA734DEA}"/>
            </a:ext>
          </a:extLst>
        </xdr:cNvPr>
        <xdr:cNvSpPr>
          <a:spLocks noChangeAspect="1"/>
        </xdr:cNvSpPr>
      </xdr:nvSpPr>
      <xdr:spPr>
        <a:xfrm>
          <a:off x="21092315" y="5427020"/>
          <a:ext cx="819730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E46A0CA-CB8A-094C-8660-F56EF211DC9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31</xdr:row>
      <xdr:rowOff>64798</xdr:rowOff>
    </xdr:from>
    <xdr:to>
      <xdr:col>25</xdr:col>
      <xdr:colOff>364143</xdr:colOff>
      <xdr:row>33</xdr:row>
      <xdr:rowOff>18540</xdr:rowOff>
    </xdr:to>
    <xdr:sp macro="" textlink="MatchANALYSIS!F19">
      <xdr:nvSpPr>
        <xdr:cNvPr id="158" name="Rectangle 157">
          <a:extLst>
            <a:ext uri="{FF2B5EF4-FFF2-40B4-BE49-F238E27FC236}">
              <a16:creationId xmlns:a16="http://schemas.microsoft.com/office/drawing/2014/main" id="{59846955-5395-324E-B312-35954FD12842}"/>
            </a:ext>
          </a:extLst>
        </xdr:cNvPr>
        <xdr:cNvSpPr>
          <a:spLocks/>
        </xdr:cNvSpPr>
      </xdr:nvSpPr>
      <xdr:spPr>
        <a:xfrm>
          <a:off x="19798676" y="5330413"/>
          <a:ext cx="1569313" cy="2858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5DD7A5-AC33-7B40-9058-D4B5F8446C2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Scores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33</xdr:row>
      <xdr:rowOff>94449</xdr:rowOff>
    </xdr:from>
    <xdr:to>
      <xdr:col>26</xdr:col>
      <xdr:colOff>265601</xdr:colOff>
      <xdr:row>35</xdr:row>
      <xdr:rowOff>48191</xdr:rowOff>
    </xdr:to>
    <xdr:sp macro="" textlink="MatchANALYSIS!G13">
      <xdr:nvSpPr>
        <xdr:cNvPr id="160" name="Rectangle 159">
          <a:extLst>
            <a:ext uri="{FF2B5EF4-FFF2-40B4-BE49-F238E27FC236}">
              <a16:creationId xmlns:a16="http://schemas.microsoft.com/office/drawing/2014/main" id="{8FBB8235-43DD-7643-B616-5704DE1639D7}"/>
            </a:ext>
          </a:extLst>
        </xdr:cNvPr>
        <xdr:cNvSpPr>
          <a:spLocks noChangeAspect="1"/>
        </xdr:cNvSpPr>
      </xdr:nvSpPr>
      <xdr:spPr>
        <a:xfrm>
          <a:off x="21092315" y="5823560"/>
          <a:ext cx="819730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C18ECE-94A8-844E-B832-EBF6BF0309B1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33</xdr:row>
      <xdr:rowOff>94449</xdr:rowOff>
    </xdr:from>
    <xdr:to>
      <xdr:col>25</xdr:col>
      <xdr:colOff>364143</xdr:colOff>
      <xdr:row>35</xdr:row>
      <xdr:rowOff>48191</xdr:rowOff>
    </xdr:to>
    <xdr:sp macro="" textlink="MatchANALYSIS!F13">
      <xdr:nvSpPr>
        <xdr:cNvPr id="161" name="Rectangle 160">
          <a:extLst>
            <a:ext uri="{FF2B5EF4-FFF2-40B4-BE49-F238E27FC236}">
              <a16:creationId xmlns:a16="http://schemas.microsoft.com/office/drawing/2014/main" id="{17CC4DE7-E044-1547-8602-2EB49B615C7D}"/>
            </a:ext>
          </a:extLst>
        </xdr:cNvPr>
        <xdr:cNvSpPr>
          <a:spLocks/>
        </xdr:cNvSpPr>
      </xdr:nvSpPr>
      <xdr:spPr>
        <a:xfrm>
          <a:off x="19798676" y="5692218"/>
          <a:ext cx="1569313" cy="2858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9F92748-2622-3C4C-8FE5-E7DFC90E88B3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Play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35</xdr:row>
      <xdr:rowOff>106364</xdr:rowOff>
    </xdr:from>
    <xdr:to>
      <xdr:col>26</xdr:col>
      <xdr:colOff>265601</xdr:colOff>
      <xdr:row>37</xdr:row>
      <xdr:rowOff>60105</xdr:rowOff>
    </xdr:to>
    <xdr:sp macro="" textlink="MatchANALYSIS!G14">
      <xdr:nvSpPr>
        <xdr:cNvPr id="163" name="Rectangle 162">
          <a:extLst>
            <a:ext uri="{FF2B5EF4-FFF2-40B4-BE49-F238E27FC236}">
              <a16:creationId xmlns:a16="http://schemas.microsoft.com/office/drawing/2014/main" id="{416A255C-801F-6A42-AE13-F85AFF9B0AC1}"/>
            </a:ext>
          </a:extLst>
        </xdr:cNvPr>
        <xdr:cNvSpPr>
          <a:spLocks noChangeAspect="1"/>
        </xdr:cNvSpPr>
      </xdr:nvSpPr>
      <xdr:spPr>
        <a:xfrm>
          <a:off x="21092315" y="6202364"/>
          <a:ext cx="819730" cy="32063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C0321AF-7F51-5844-871C-41895D2AF95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35</xdr:row>
      <xdr:rowOff>106364</xdr:rowOff>
    </xdr:from>
    <xdr:to>
      <xdr:col>25</xdr:col>
      <xdr:colOff>364143</xdr:colOff>
      <xdr:row>37</xdr:row>
      <xdr:rowOff>60105</xdr:rowOff>
    </xdr:to>
    <xdr:sp macro="" textlink="MatchANALYSIS!F14">
      <xdr:nvSpPr>
        <xdr:cNvPr id="164" name="Rectangle 163">
          <a:extLst>
            <a:ext uri="{FF2B5EF4-FFF2-40B4-BE49-F238E27FC236}">
              <a16:creationId xmlns:a16="http://schemas.microsoft.com/office/drawing/2014/main" id="{99246C3D-CF61-3441-9762-5426E70FC1A8}"/>
            </a:ext>
          </a:extLst>
        </xdr:cNvPr>
        <xdr:cNvSpPr>
          <a:spLocks/>
        </xdr:cNvSpPr>
      </xdr:nvSpPr>
      <xdr:spPr>
        <a:xfrm>
          <a:off x="19798676" y="6036287"/>
          <a:ext cx="1569313" cy="2858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F0F55EF-C01D-7142-9B03-7111BFD954DF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Points from 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37</xdr:row>
      <xdr:rowOff>162617</xdr:rowOff>
    </xdr:from>
    <xdr:to>
      <xdr:col>26</xdr:col>
      <xdr:colOff>265601</xdr:colOff>
      <xdr:row>39</xdr:row>
      <xdr:rowOff>107491</xdr:rowOff>
    </xdr:to>
    <xdr:sp macro="" textlink="MatchANALYSIS!G9">
      <xdr:nvSpPr>
        <xdr:cNvPr id="166" name="Rectangle 165">
          <a:extLst>
            <a:ext uri="{FF2B5EF4-FFF2-40B4-BE49-F238E27FC236}">
              <a16:creationId xmlns:a16="http://schemas.microsoft.com/office/drawing/2014/main" id="{003F81D9-3C34-BA42-BCC5-45FD6293B0E9}"/>
            </a:ext>
          </a:extLst>
        </xdr:cNvPr>
        <xdr:cNvSpPr>
          <a:spLocks noChangeAspect="1"/>
        </xdr:cNvSpPr>
      </xdr:nvSpPr>
      <xdr:spPr>
        <a:xfrm>
          <a:off x="21092315" y="6625506"/>
          <a:ext cx="819730" cy="31176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EC57837-B5E8-4047-8593-E1B7D967880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37</xdr:row>
      <xdr:rowOff>162617</xdr:rowOff>
    </xdr:from>
    <xdr:to>
      <xdr:col>25</xdr:col>
      <xdr:colOff>364143</xdr:colOff>
      <xdr:row>39</xdr:row>
      <xdr:rowOff>107491</xdr:rowOff>
    </xdr:to>
    <xdr:sp macro="" textlink="MatchANALYSIS!F9">
      <xdr:nvSpPr>
        <xdr:cNvPr id="167" name="Rectangle 166">
          <a:extLst>
            <a:ext uri="{FF2B5EF4-FFF2-40B4-BE49-F238E27FC236}">
              <a16:creationId xmlns:a16="http://schemas.microsoft.com/office/drawing/2014/main" id="{7D2B3305-C772-6B4B-8509-DDA84F5AF181}"/>
            </a:ext>
          </a:extLst>
        </xdr:cNvPr>
        <xdr:cNvSpPr>
          <a:spLocks/>
        </xdr:cNvSpPr>
      </xdr:nvSpPr>
      <xdr:spPr>
        <a:xfrm>
          <a:off x="19798676" y="6424694"/>
          <a:ext cx="1569313" cy="27702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B97A2B3-E08B-8B49-8059-5C6664EFBF3D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Goals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278426</xdr:colOff>
      <xdr:row>40</xdr:row>
      <xdr:rowOff>26190</xdr:rowOff>
    </xdr:from>
    <xdr:to>
      <xdr:col>26</xdr:col>
      <xdr:colOff>265601</xdr:colOff>
      <xdr:row>41</xdr:row>
      <xdr:rowOff>137141</xdr:rowOff>
    </xdr:to>
    <xdr:sp macro="" textlink="MatchANALYSIS!G4">
      <xdr:nvSpPr>
        <xdr:cNvPr id="169" name="Rectangle 168">
          <a:extLst>
            <a:ext uri="{FF2B5EF4-FFF2-40B4-BE49-F238E27FC236}">
              <a16:creationId xmlns:a16="http://schemas.microsoft.com/office/drawing/2014/main" id="{62153BAA-E3D6-6544-9EE1-CD6D5C1CD411}"/>
            </a:ext>
          </a:extLst>
        </xdr:cNvPr>
        <xdr:cNvSpPr>
          <a:spLocks noChangeAspect="1"/>
        </xdr:cNvSpPr>
      </xdr:nvSpPr>
      <xdr:spPr>
        <a:xfrm>
          <a:off x="21092315" y="7025301"/>
          <a:ext cx="819730" cy="29439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13E0EB-34EB-7143-AA9A-97792726DA0A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475138</xdr:colOff>
      <xdr:row>40</xdr:row>
      <xdr:rowOff>26190</xdr:rowOff>
    </xdr:from>
    <xdr:to>
      <xdr:col>25</xdr:col>
      <xdr:colOff>364143</xdr:colOff>
      <xdr:row>41</xdr:row>
      <xdr:rowOff>137141</xdr:rowOff>
    </xdr:to>
    <xdr:sp macro="" textlink="MatchANALYSIS!F4">
      <xdr:nvSpPr>
        <xdr:cNvPr id="170" name="Rectangle 169">
          <a:extLst>
            <a:ext uri="{FF2B5EF4-FFF2-40B4-BE49-F238E27FC236}">
              <a16:creationId xmlns:a16="http://schemas.microsoft.com/office/drawing/2014/main" id="{E34FC609-78EB-2C40-ACAE-623ABA91A5CF}"/>
            </a:ext>
          </a:extLst>
        </xdr:cNvPr>
        <xdr:cNvSpPr>
          <a:spLocks/>
        </xdr:cNvSpPr>
      </xdr:nvSpPr>
      <xdr:spPr>
        <a:xfrm>
          <a:off x="19798676" y="6786498"/>
          <a:ext cx="1569313" cy="27702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C3709BE-503C-6449-8DFE-746D676891A2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Wides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42</xdr:row>
      <xdr:rowOff>75378</xdr:rowOff>
    </xdr:from>
    <xdr:to>
      <xdr:col>26</xdr:col>
      <xdr:colOff>255833</xdr:colOff>
      <xdr:row>44</xdr:row>
      <xdr:rowOff>20253</xdr:rowOff>
    </xdr:to>
    <xdr:sp macro="" textlink="MatchANALYSIS!G5">
      <xdr:nvSpPr>
        <xdr:cNvPr id="172" name="Rectangle 171">
          <a:extLst>
            <a:ext uri="{FF2B5EF4-FFF2-40B4-BE49-F238E27FC236}">
              <a16:creationId xmlns:a16="http://schemas.microsoft.com/office/drawing/2014/main" id="{680D0702-7D71-5A49-941A-759236B41B3E}"/>
            </a:ext>
          </a:extLst>
        </xdr:cNvPr>
        <xdr:cNvSpPr>
          <a:spLocks noChangeAspect="1"/>
        </xdr:cNvSpPr>
      </xdr:nvSpPr>
      <xdr:spPr>
        <a:xfrm>
          <a:off x="21082546" y="7441378"/>
          <a:ext cx="819731" cy="31176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9E4C0DA-5BAC-7A49-AF2F-83E39F489D6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42</xdr:row>
      <xdr:rowOff>75378</xdr:rowOff>
    </xdr:from>
    <xdr:to>
      <xdr:col>25</xdr:col>
      <xdr:colOff>354374</xdr:colOff>
      <xdr:row>44</xdr:row>
      <xdr:rowOff>20253</xdr:rowOff>
    </xdr:to>
    <xdr:sp macro="" textlink="MatchANALYSIS!F5">
      <xdr:nvSpPr>
        <xdr:cNvPr id="173" name="Rectangle 172">
          <a:extLst>
            <a:ext uri="{FF2B5EF4-FFF2-40B4-BE49-F238E27FC236}">
              <a16:creationId xmlns:a16="http://schemas.microsoft.com/office/drawing/2014/main" id="{F20EA824-4C7A-C145-947C-0A120E352BCD}"/>
            </a:ext>
          </a:extLst>
        </xdr:cNvPr>
        <xdr:cNvSpPr>
          <a:spLocks/>
        </xdr:cNvSpPr>
      </xdr:nvSpPr>
      <xdr:spPr>
        <a:xfrm>
          <a:off x="19788908" y="7226455"/>
          <a:ext cx="1569312" cy="29656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047717B-0B43-1046-8F84-C7C3B92D21C0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Short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44</xdr:row>
      <xdr:rowOff>105027</xdr:rowOff>
    </xdr:from>
    <xdr:to>
      <xdr:col>26</xdr:col>
      <xdr:colOff>255833</xdr:colOff>
      <xdr:row>46</xdr:row>
      <xdr:rowOff>58769</xdr:rowOff>
    </xdr:to>
    <xdr:sp macro="" textlink="MatchANALYSIS!G6">
      <xdr:nvSpPr>
        <xdr:cNvPr id="175" name="Rectangle 174">
          <a:extLst>
            <a:ext uri="{FF2B5EF4-FFF2-40B4-BE49-F238E27FC236}">
              <a16:creationId xmlns:a16="http://schemas.microsoft.com/office/drawing/2014/main" id="{FC57CBB9-7A85-D447-ADF6-400E19F36D71}"/>
            </a:ext>
          </a:extLst>
        </xdr:cNvPr>
        <xdr:cNvSpPr>
          <a:spLocks noChangeAspect="1"/>
        </xdr:cNvSpPr>
      </xdr:nvSpPr>
      <xdr:spPr>
        <a:xfrm>
          <a:off x="21082546" y="7837916"/>
          <a:ext cx="819731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848A025-D70A-0547-97FA-83CABAEB3D3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44</xdr:row>
      <xdr:rowOff>105027</xdr:rowOff>
    </xdr:from>
    <xdr:to>
      <xdr:col>25</xdr:col>
      <xdr:colOff>354374</xdr:colOff>
      <xdr:row>46</xdr:row>
      <xdr:rowOff>58769</xdr:rowOff>
    </xdr:to>
    <xdr:sp macro="" textlink="MatchANALYSIS!F6">
      <xdr:nvSpPr>
        <xdr:cNvPr id="176" name="Rectangle 175">
          <a:extLst>
            <a:ext uri="{FF2B5EF4-FFF2-40B4-BE49-F238E27FC236}">
              <a16:creationId xmlns:a16="http://schemas.microsoft.com/office/drawing/2014/main" id="{DE51EB3D-8BDA-4E41-A4BF-C137FDEB8797}"/>
            </a:ext>
          </a:extLst>
        </xdr:cNvPr>
        <xdr:cNvSpPr>
          <a:spLocks/>
        </xdr:cNvSpPr>
      </xdr:nvSpPr>
      <xdr:spPr>
        <a:xfrm>
          <a:off x="19788908" y="7607796"/>
          <a:ext cx="1569312" cy="3054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FD01BEE-F1FD-7343-8FAA-24365AD77CB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marL="0" indent="0" algn="ctr"/>
            <a:t>Off-post</a:t>
          </a:fld>
          <a:endParaRPr lang="en-US" sz="1100" b="1" i="0" u="none" strike="noStrike">
            <a:solidFill>
              <a:srgbClr val="0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25</xdr:col>
      <xdr:colOff>268657</xdr:colOff>
      <xdr:row>46</xdr:row>
      <xdr:rowOff>116941</xdr:rowOff>
    </xdr:from>
    <xdr:to>
      <xdr:col>26</xdr:col>
      <xdr:colOff>255833</xdr:colOff>
      <xdr:row>48</xdr:row>
      <xdr:rowOff>70683</xdr:rowOff>
    </xdr:to>
    <xdr:sp macro="" textlink="MatchANALYSIS!G7">
      <xdr:nvSpPr>
        <xdr:cNvPr id="178" name="Rectangle 177">
          <a:extLst>
            <a:ext uri="{FF2B5EF4-FFF2-40B4-BE49-F238E27FC236}">
              <a16:creationId xmlns:a16="http://schemas.microsoft.com/office/drawing/2014/main" id="{1CF0FCDF-5183-3D4B-B83C-9209B80836DD}"/>
            </a:ext>
          </a:extLst>
        </xdr:cNvPr>
        <xdr:cNvSpPr>
          <a:spLocks noChangeAspect="1"/>
        </xdr:cNvSpPr>
      </xdr:nvSpPr>
      <xdr:spPr>
        <a:xfrm>
          <a:off x="21082546" y="8216719"/>
          <a:ext cx="819731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461CCB0-9B67-AB41-A549-82D69D28A6D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46</xdr:row>
      <xdr:rowOff>116941</xdr:rowOff>
    </xdr:from>
    <xdr:to>
      <xdr:col>25</xdr:col>
      <xdr:colOff>354374</xdr:colOff>
      <xdr:row>48</xdr:row>
      <xdr:rowOff>70683</xdr:rowOff>
    </xdr:to>
    <xdr:sp macro="" textlink="MatchANALYSIS!F7">
      <xdr:nvSpPr>
        <xdr:cNvPr id="179" name="Rectangle 178">
          <a:extLst>
            <a:ext uri="{FF2B5EF4-FFF2-40B4-BE49-F238E27FC236}">
              <a16:creationId xmlns:a16="http://schemas.microsoft.com/office/drawing/2014/main" id="{A0D3DD38-825E-9C40-8EBA-594017D435B4}"/>
            </a:ext>
          </a:extLst>
        </xdr:cNvPr>
        <xdr:cNvSpPr>
          <a:spLocks/>
        </xdr:cNvSpPr>
      </xdr:nvSpPr>
      <xdr:spPr>
        <a:xfrm>
          <a:off x="19788908" y="7971403"/>
          <a:ext cx="1569312" cy="3054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3D22301-8094-F74C-8F9A-F9D70CCD60A4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Saved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25</xdr:col>
      <xdr:colOff>268657</xdr:colOff>
      <xdr:row>48</xdr:row>
      <xdr:rowOff>146591</xdr:rowOff>
    </xdr:from>
    <xdr:to>
      <xdr:col>26</xdr:col>
      <xdr:colOff>255833</xdr:colOff>
      <xdr:row>50</xdr:row>
      <xdr:rowOff>100333</xdr:rowOff>
    </xdr:to>
    <xdr:sp macro="" textlink="MatchANALYSIS!G8">
      <xdr:nvSpPr>
        <xdr:cNvPr id="181" name="Rectangle 180">
          <a:extLst>
            <a:ext uri="{FF2B5EF4-FFF2-40B4-BE49-F238E27FC236}">
              <a16:creationId xmlns:a16="http://schemas.microsoft.com/office/drawing/2014/main" id="{FBD4B8FD-E390-9D46-B1C9-A5945055CB8F}"/>
            </a:ext>
          </a:extLst>
        </xdr:cNvPr>
        <xdr:cNvSpPr>
          <a:spLocks noChangeAspect="1"/>
        </xdr:cNvSpPr>
      </xdr:nvSpPr>
      <xdr:spPr>
        <a:xfrm>
          <a:off x="21082546" y="8613258"/>
          <a:ext cx="819731" cy="32063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21D83EC1-F54C-4248-891F-3C766977399E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23</xdr:col>
      <xdr:colOff>465370</xdr:colOff>
      <xdr:row>48</xdr:row>
      <xdr:rowOff>146591</xdr:rowOff>
    </xdr:from>
    <xdr:to>
      <xdr:col>25</xdr:col>
      <xdr:colOff>354374</xdr:colOff>
      <xdr:row>50</xdr:row>
      <xdr:rowOff>100333</xdr:rowOff>
    </xdr:to>
    <xdr:sp macro="" textlink="MatchANALYSIS!F8">
      <xdr:nvSpPr>
        <xdr:cNvPr id="182" name="Rectangle 181">
          <a:extLst>
            <a:ext uri="{FF2B5EF4-FFF2-40B4-BE49-F238E27FC236}">
              <a16:creationId xmlns:a16="http://schemas.microsoft.com/office/drawing/2014/main" id="{22CD75FF-8CFF-4C4E-AE77-923CF76557B5}"/>
            </a:ext>
          </a:extLst>
        </xdr:cNvPr>
        <xdr:cNvSpPr>
          <a:spLocks/>
        </xdr:cNvSpPr>
      </xdr:nvSpPr>
      <xdr:spPr>
        <a:xfrm>
          <a:off x="19788908" y="8352745"/>
          <a:ext cx="1569312" cy="30543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5FEDC6-8560-6D46-8998-23B639C76CA8}" type="TxLink">
            <a:rPr lang="en-US" sz="1100" b="1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Out for 65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143259</xdr:colOff>
      <xdr:row>2</xdr:row>
      <xdr:rowOff>3253</xdr:rowOff>
    </xdr:from>
    <xdr:to>
      <xdr:col>26</xdr:col>
      <xdr:colOff>97665</xdr:colOff>
      <xdr:row>4</xdr:row>
      <xdr:rowOff>65063</xdr:rowOff>
    </xdr:to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D120D7C4-B245-4B4B-9E43-7D148253AC16}"/>
            </a:ext>
          </a:extLst>
        </xdr:cNvPr>
        <xdr:cNvSpPr txBox="1"/>
      </xdr:nvSpPr>
      <xdr:spPr>
        <a:xfrm>
          <a:off x="19466797" y="335407"/>
          <a:ext cx="2474868" cy="3939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</a:t>
          </a:r>
        </a:p>
      </xdr:txBody>
    </xdr:sp>
    <xdr:clientData/>
  </xdr:twoCellAnchor>
  <xdr:twoCellAnchor>
    <xdr:from>
      <xdr:col>23</xdr:col>
      <xdr:colOff>318475</xdr:colOff>
      <xdr:row>11</xdr:row>
      <xdr:rowOff>32081</xdr:rowOff>
    </xdr:from>
    <xdr:to>
      <xdr:col>24</xdr:col>
      <xdr:colOff>147259</xdr:colOff>
      <xdr:row>15</xdr:row>
      <xdr:rowOff>28782</xdr:rowOff>
    </xdr:to>
    <xdr:sp macro="" textlink="MatchANALYSIS!$G$16">
      <xdr:nvSpPr>
        <xdr:cNvPr id="290" name="TextBox 289">
          <a:extLst>
            <a:ext uri="{FF2B5EF4-FFF2-40B4-BE49-F238E27FC236}">
              <a16:creationId xmlns:a16="http://schemas.microsoft.com/office/drawing/2014/main" id="{D5F0CBB4-8101-1A44-A177-F9360D495EC4}"/>
            </a:ext>
          </a:extLst>
        </xdr:cNvPr>
        <xdr:cNvSpPr txBox="1"/>
      </xdr:nvSpPr>
      <xdr:spPr>
        <a:xfrm>
          <a:off x="19467253" y="1894748"/>
          <a:ext cx="661339" cy="7022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FE301759-AE92-3045-AC57-766CC286A99B}" type="TxLink">
            <a:rPr lang="en-US" sz="44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33</a:t>
          </a:fld>
          <a:endParaRPr lang="en-US" sz="44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383918</xdr:colOff>
      <xdr:row>14</xdr:row>
      <xdr:rowOff>176454</xdr:rowOff>
    </xdr:from>
    <xdr:to>
      <xdr:col>24</xdr:col>
      <xdr:colOff>74218</xdr:colOff>
      <xdr:row>18</xdr:row>
      <xdr:rowOff>66881</xdr:rowOff>
    </xdr:to>
    <xdr:sp macro="" textlink="MatchANALYSIS!$G$17">
      <xdr:nvSpPr>
        <xdr:cNvPr id="291" name="TextBox 290">
          <a:extLst>
            <a:ext uri="{FF2B5EF4-FFF2-40B4-BE49-F238E27FC236}">
              <a16:creationId xmlns:a16="http://schemas.microsoft.com/office/drawing/2014/main" id="{E5E02447-F538-5442-8C6F-D6FBFD56CCCE}"/>
            </a:ext>
          </a:extLst>
        </xdr:cNvPr>
        <xdr:cNvSpPr txBox="1"/>
      </xdr:nvSpPr>
      <xdr:spPr>
        <a:xfrm>
          <a:off x="19532696" y="2561232"/>
          <a:ext cx="522855" cy="61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0C00D0C7-4B0C-4344-A170-47712C9B5CA6}" type="TxLink">
            <a:rPr lang="en-US" sz="3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19</a:t>
          </a:fld>
          <a:endParaRPr lang="en-US" sz="32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152255</xdr:colOff>
      <xdr:row>6</xdr:row>
      <xdr:rowOff>54772</xdr:rowOff>
    </xdr:from>
    <xdr:to>
      <xdr:col>24</xdr:col>
      <xdr:colOff>313480</xdr:colOff>
      <xdr:row>11</xdr:row>
      <xdr:rowOff>124181</xdr:rowOff>
    </xdr:to>
    <xdr:sp macro="" textlink="MatchANALYSIS!$G$15">
      <xdr:nvSpPr>
        <xdr:cNvPr id="292" name="TextBox 291">
          <a:extLst>
            <a:ext uri="{FF2B5EF4-FFF2-40B4-BE49-F238E27FC236}">
              <a16:creationId xmlns:a16="http://schemas.microsoft.com/office/drawing/2014/main" id="{3BF8C476-DDD7-EB46-9DC0-CBEF1835A90D}"/>
            </a:ext>
          </a:extLst>
        </xdr:cNvPr>
        <xdr:cNvSpPr txBox="1"/>
      </xdr:nvSpPr>
      <xdr:spPr>
        <a:xfrm>
          <a:off x="19301033" y="1070772"/>
          <a:ext cx="993780" cy="916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fld id="{B06D8704-7AD1-574A-A798-267C045A43B7}" type="TxLink">
            <a:rPr lang="en-US" sz="54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47</a:t>
          </a:fld>
          <a:endParaRPr lang="en-US" sz="54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23</xdr:col>
      <xdr:colOff>193480</xdr:colOff>
      <xdr:row>4</xdr:row>
      <xdr:rowOff>3836</xdr:rowOff>
    </xdr:from>
    <xdr:to>
      <xdr:col>24</xdr:col>
      <xdr:colOff>180653</xdr:colOff>
      <xdr:row>5</xdr:row>
      <xdr:rowOff>118044</xdr:rowOff>
    </xdr:to>
    <xdr:sp macro="" textlink="[1]Match!$B$1">
      <xdr:nvSpPr>
        <xdr:cNvPr id="293" name="Rectangle 292">
          <a:extLst>
            <a:ext uri="{FF2B5EF4-FFF2-40B4-BE49-F238E27FC236}">
              <a16:creationId xmlns:a16="http://schemas.microsoft.com/office/drawing/2014/main" id="{2BE0AFA6-71F7-094B-A234-11169B143D3F}"/>
            </a:ext>
          </a:extLst>
        </xdr:cNvPr>
        <xdr:cNvSpPr>
          <a:spLocks noChangeAspect="1"/>
        </xdr:cNvSpPr>
      </xdr:nvSpPr>
      <xdr:spPr>
        <a:xfrm>
          <a:off x="19342258" y="681169"/>
          <a:ext cx="819728" cy="2835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21CF7EF-ADD2-A344-9E4A-770C06F2DA0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35</xdr:col>
      <xdr:colOff>384392</xdr:colOff>
      <xdr:row>7</xdr:row>
      <xdr:rowOff>18626</xdr:rowOff>
    </xdr:from>
    <xdr:to>
      <xdr:col>41</xdr:col>
      <xdr:colOff>484165</xdr:colOff>
      <xdr:row>25</xdr:row>
      <xdr:rowOff>117928</xdr:rowOff>
    </xdr:to>
    <xdr:graphicFrame macro="">
      <xdr:nvGraphicFramePr>
        <xdr:cNvPr id="301" name="Chart 300">
          <a:extLst>
            <a:ext uri="{FF2B5EF4-FFF2-40B4-BE49-F238E27FC236}">
              <a16:creationId xmlns:a16="http://schemas.microsoft.com/office/drawing/2014/main" id="{01D4EE3D-583D-114D-A351-84A276355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174559</xdr:colOff>
      <xdr:row>2</xdr:row>
      <xdr:rowOff>16759</xdr:rowOff>
    </xdr:from>
    <xdr:to>
      <xdr:col>40</xdr:col>
      <xdr:colOff>630439</xdr:colOff>
      <xdr:row>4</xdr:row>
      <xdr:rowOff>68699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A93342A8-D5AF-AD43-B590-93F0A1B0C382}"/>
            </a:ext>
          </a:extLst>
        </xdr:cNvPr>
        <xdr:cNvSpPr txBox="1"/>
      </xdr:nvSpPr>
      <xdr:spPr>
        <a:xfrm>
          <a:off x="30420097" y="348913"/>
          <a:ext cx="3816496" cy="3840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Round by Round</a:t>
          </a:r>
        </a:p>
      </xdr:txBody>
    </xdr:sp>
    <xdr:clientData/>
  </xdr:twoCellAnchor>
  <xdr:twoCellAnchor>
    <xdr:from>
      <xdr:col>38</xdr:col>
      <xdr:colOff>12951</xdr:colOff>
      <xdr:row>4</xdr:row>
      <xdr:rowOff>57054</xdr:rowOff>
    </xdr:from>
    <xdr:to>
      <xdr:col>38</xdr:col>
      <xdr:colOff>835919</xdr:colOff>
      <xdr:row>6</xdr:row>
      <xdr:rowOff>2190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54F8D052-46F1-4541-BA9F-13A12C932511}"/>
            </a:ext>
          </a:extLst>
        </xdr:cNvPr>
        <xdr:cNvSpPr>
          <a:spLocks noChangeAspect="1"/>
        </xdr:cNvSpPr>
      </xdr:nvSpPr>
      <xdr:spPr>
        <a:xfrm>
          <a:off x="31938797" y="721362"/>
          <a:ext cx="822968" cy="27729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Scoring</a:t>
          </a:r>
        </a:p>
      </xdr:txBody>
    </xdr:sp>
    <xdr:clientData/>
  </xdr:twoCellAnchor>
  <xdr:oneCellAnchor>
    <xdr:from>
      <xdr:col>0</xdr:col>
      <xdr:colOff>475763</xdr:colOff>
      <xdr:row>0</xdr:row>
      <xdr:rowOff>27914</xdr:rowOff>
    </xdr:from>
    <xdr:ext cx="5056415" cy="626624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FC525933-1B4B-BF45-9B14-BF82B059A317}"/>
            </a:ext>
          </a:extLst>
        </xdr:cNvPr>
        <xdr:cNvSpPr txBox="1"/>
      </xdr:nvSpPr>
      <xdr:spPr>
        <a:xfrm>
          <a:off x="475763" y="27914"/>
          <a:ext cx="5056415" cy="6266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r>
            <a:rPr lang="en-US" sz="3200" b="1" i="0" u="none" cap="small">
              <a:latin typeface="Arial" charset="0"/>
              <a:ea typeface="Arial" charset="0"/>
              <a:cs typeface="Arial" charset="0"/>
            </a:rPr>
            <a:t>Match</a:t>
          </a:r>
          <a:r>
            <a:rPr lang="en-US" sz="3200" b="1" i="0" u="none" cap="small" baseline="0">
              <a:latin typeface="Arial" charset="0"/>
              <a:ea typeface="Arial" charset="0"/>
              <a:cs typeface="Arial" charset="0"/>
            </a:rPr>
            <a:t> Report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5">
      <xdr:nvSpPr>
        <xdr:cNvPr id="313" name="Rectangle 312">
          <a:extLst>
            <a:ext uri="{FF2B5EF4-FFF2-40B4-BE49-F238E27FC236}">
              <a16:creationId xmlns:a16="http://schemas.microsoft.com/office/drawing/2014/main" id="{14DCD26F-8A6B-3244-B9FE-70E75C59C9AD}"/>
            </a:ext>
          </a:extLst>
        </xdr:cNvPr>
        <xdr:cNvSpPr>
          <a:spLocks noChangeAspect="1"/>
        </xdr:cNvSpPr>
      </xdr:nvSpPr>
      <xdr:spPr>
        <a:xfrm>
          <a:off x="36574593" y="1798458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6">
      <xdr:nvSpPr>
        <xdr:cNvPr id="316" name="Rectangle 315">
          <a:extLst>
            <a:ext uri="{FF2B5EF4-FFF2-40B4-BE49-F238E27FC236}">
              <a16:creationId xmlns:a16="http://schemas.microsoft.com/office/drawing/2014/main" id="{29B2FDBA-4A37-AE44-BE0E-D4CED3B2CE43}"/>
            </a:ext>
          </a:extLst>
        </xdr:cNvPr>
        <xdr:cNvSpPr>
          <a:spLocks noChangeAspect="1"/>
        </xdr:cNvSpPr>
      </xdr:nvSpPr>
      <xdr:spPr>
        <a:xfrm>
          <a:off x="36574593" y="2167229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8">
      <xdr:nvSpPr>
        <xdr:cNvPr id="304" name="Rectangle 303">
          <a:extLst>
            <a:ext uri="{FF2B5EF4-FFF2-40B4-BE49-F238E27FC236}">
              <a16:creationId xmlns:a16="http://schemas.microsoft.com/office/drawing/2014/main" id="{1A266BA2-E709-BD46-ACA0-13E33CC8503C}"/>
            </a:ext>
          </a:extLst>
        </xdr:cNvPr>
        <xdr:cNvSpPr>
          <a:spLocks noChangeAspect="1"/>
        </xdr:cNvSpPr>
      </xdr:nvSpPr>
      <xdr:spPr>
        <a:xfrm>
          <a:off x="39149791" y="1060914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12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8">
      <xdr:nvSpPr>
        <xdr:cNvPr id="305" name="Rectangle 304">
          <a:extLst>
            <a:ext uri="{FF2B5EF4-FFF2-40B4-BE49-F238E27FC236}">
              <a16:creationId xmlns:a16="http://schemas.microsoft.com/office/drawing/2014/main" id="{20F79F1A-FF46-9B48-B76E-E90171F11F14}"/>
            </a:ext>
          </a:extLst>
        </xdr:cNvPr>
        <xdr:cNvSpPr>
          <a:spLocks noChangeAspect="1"/>
        </xdr:cNvSpPr>
      </xdr:nvSpPr>
      <xdr:spPr>
        <a:xfrm>
          <a:off x="36574593" y="1060914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14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8">
      <xdr:nvSpPr>
        <xdr:cNvPr id="306" name="Rectangle 305">
          <a:extLst>
            <a:ext uri="{FF2B5EF4-FFF2-40B4-BE49-F238E27FC236}">
              <a16:creationId xmlns:a16="http://schemas.microsoft.com/office/drawing/2014/main" id="{237224D9-1A15-9C45-8743-E8C829799455}"/>
            </a:ext>
          </a:extLst>
        </xdr:cNvPr>
        <xdr:cNvSpPr>
          <a:spLocks/>
        </xdr:cNvSpPr>
      </xdr:nvSpPr>
      <xdr:spPr>
        <a:xfrm>
          <a:off x="37534505" y="1060914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[1]Match!$C$1">
      <xdr:nvSpPr>
        <xdr:cNvPr id="307" name="Rectangle 306">
          <a:extLst>
            <a:ext uri="{FF2B5EF4-FFF2-40B4-BE49-F238E27FC236}">
              <a16:creationId xmlns:a16="http://schemas.microsoft.com/office/drawing/2014/main" id="{ED34B9F0-988C-FE4D-9F40-1BE06150A716}"/>
            </a:ext>
          </a:extLst>
        </xdr:cNvPr>
        <xdr:cNvSpPr>
          <a:spLocks noChangeAspect="1"/>
        </xdr:cNvSpPr>
      </xdr:nvSpPr>
      <xdr:spPr>
        <a:xfrm>
          <a:off x="39149791" y="688535"/>
          <a:ext cx="831583" cy="28236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[1]Match!$B$1">
      <xdr:nvSpPr>
        <xdr:cNvPr id="308" name="Rectangle 307">
          <a:extLst>
            <a:ext uri="{FF2B5EF4-FFF2-40B4-BE49-F238E27FC236}">
              <a16:creationId xmlns:a16="http://schemas.microsoft.com/office/drawing/2014/main" id="{E12BC15C-E6BC-EA49-B580-ED5828E6C9AA}"/>
            </a:ext>
          </a:extLst>
        </xdr:cNvPr>
        <xdr:cNvSpPr>
          <a:spLocks noChangeAspect="1"/>
        </xdr:cNvSpPr>
      </xdr:nvSpPr>
      <xdr:spPr>
        <a:xfrm>
          <a:off x="36574593" y="688535"/>
          <a:ext cx="831583" cy="28236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7">
      <xdr:nvSpPr>
        <xdr:cNvPr id="309" name="Rectangle 308">
          <a:extLst>
            <a:ext uri="{FF2B5EF4-FFF2-40B4-BE49-F238E27FC236}">
              <a16:creationId xmlns:a16="http://schemas.microsoft.com/office/drawing/2014/main" id="{313B04A7-214B-6F49-B6E5-5B7077815234}"/>
            </a:ext>
          </a:extLst>
        </xdr:cNvPr>
        <xdr:cNvSpPr>
          <a:spLocks noChangeAspect="1"/>
        </xdr:cNvSpPr>
      </xdr:nvSpPr>
      <xdr:spPr>
        <a:xfrm>
          <a:off x="39149791" y="1429686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G27">
      <xdr:nvSpPr>
        <xdr:cNvPr id="310" name="Rectangle 309">
          <a:extLst>
            <a:ext uri="{FF2B5EF4-FFF2-40B4-BE49-F238E27FC236}">
              <a16:creationId xmlns:a16="http://schemas.microsoft.com/office/drawing/2014/main" id="{F4F94CBB-892C-DF48-A788-D535DD7D983A}"/>
            </a:ext>
          </a:extLst>
        </xdr:cNvPr>
        <xdr:cNvSpPr>
          <a:spLocks noChangeAspect="1"/>
        </xdr:cNvSpPr>
      </xdr:nvSpPr>
      <xdr:spPr>
        <a:xfrm>
          <a:off x="36574593" y="1429686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7">
      <xdr:nvSpPr>
        <xdr:cNvPr id="311" name="Rectangle 310">
          <a:extLst>
            <a:ext uri="{FF2B5EF4-FFF2-40B4-BE49-F238E27FC236}">
              <a16:creationId xmlns:a16="http://schemas.microsoft.com/office/drawing/2014/main" id="{2EB6AE4A-6549-524B-9650-52EB4CD15EB8}"/>
            </a:ext>
          </a:extLst>
        </xdr:cNvPr>
        <xdr:cNvSpPr>
          <a:spLocks/>
        </xdr:cNvSpPr>
      </xdr:nvSpPr>
      <xdr:spPr>
        <a:xfrm>
          <a:off x="37534505" y="1429686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5">
      <xdr:nvSpPr>
        <xdr:cNvPr id="312" name="Rectangle 311">
          <a:extLst>
            <a:ext uri="{FF2B5EF4-FFF2-40B4-BE49-F238E27FC236}">
              <a16:creationId xmlns:a16="http://schemas.microsoft.com/office/drawing/2014/main" id="{54AB9AEF-5F04-554D-A215-F6478006EA9B}"/>
            </a:ext>
          </a:extLst>
        </xdr:cNvPr>
        <xdr:cNvSpPr>
          <a:spLocks noChangeAspect="1"/>
        </xdr:cNvSpPr>
      </xdr:nvSpPr>
      <xdr:spPr>
        <a:xfrm>
          <a:off x="39149791" y="1798458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5">
      <xdr:nvSpPr>
        <xdr:cNvPr id="314" name="Rectangle 313">
          <a:extLst>
            <a:ext uri="{FF2B5EF4-FFF2-40B4-BE49-F238E27FC236}">
              <a16:creationId xmlns:a16="http://schemas.microsoft.com/office/drawing/2014/main" id="{BDA0A448-7079-0D49-A56A-6E20A99D1851}"/>
            </a:ext>
          </a:extLst>
        </xdr:cNvPr>
        <xdr:cNvSpPr>
          <a:spLocks/>
        </xdr:cNvSpPr>
      </xdr:nvSpPr>
      <xdr:spPr>
        <a:xfrm>
          <a:off x="37534505" y="1798458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H26">
      <xdr:nvSpPr>
        <xdr:cNvPr id="315" name="Rectangle 314">
          <a:extLst>
            <a:ext uri="{FF2B5EF4-FFF2-40B4-BE49-F238E27FC236}">
              <a16:creationId xmlns:a16="http://schemas.microsoft.com/office/drawing/2014/main" id="{AEF3BDAE-58A4-A340-9130-FCA9CF451CF2}"/>
            </a:ext>
          </a:extLst>
        </xdr:cNvPr>
        <xdr:cNvSpPr>
          <a:spLocks noChangeAspect="1"/>
        </xdr:cNvSpPr>
      </xdr:nvSpPr>
      <xdr:spPr>
        <a:xfrm>
          <a:off x="39149791" y="2167229"/>
          <a:ext cx="831583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MatchANALYSIS!F26">
      <xdr:nvSpPr>
        <xdr:cNvPr id="317" name="Rectangle 316">
          <a:extLst>
            <a:ext uri="{FF2B5EF4-FFF2-40B4-BE49-F238E27FC236}">
              <a16:creationId xmlns:a16="http://schemas.microsoft.com/office/drawing/2014/main" id="{45BCCA38-5143-4143-9B14-135A4D45E65A}"/>
            </a:ext>
          </a:extLst>
        </xdr:cNvPr>
        <xdr:cNvSpPr>
          <a:spLocks/>
        </xdr:cNvSpPr>
      </xdr:nvSpPr>
      <xdr:spPr>
        <a:xfrm>
          <a:off x="37534505" y="2167229"/>
          <a:ext cx="1517818" cy="29140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0" i="0" u="none" strike="noStrike">
              <a:solidFill>
                <a:srgbClr val="000000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195752</xdr:colOff>
      <xdr:row>1</xdr:row>
      <xdr:rowOff>117231</xdr:rowOff>
    </xdr:from>
    <xdr:to>
      <xdr:col>47</xdr:col>
      <xdr:colOff>746662</xdr:colOff>
      <xdr:row>4</xdr:row>
      <xdr:rowOff>6505</xdr:rowOff>
    </xdr:to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60DD9D73-0C3D-824F-871E-3EDDE55A605D}"/>
            </a:ext>
          </a:extLst>
        </xdr:cNvPr>
        <xdr:cNvSpPr txBox="1"/>
      </xdr:nvSpPr>
      <xdr:spPr>
        <a:xfrm>
          <a:off x="36322367" y="283308"/>
          <a:ext cx="3911526" cy="387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Discipline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5">
      <xdr:nvSpPr>
        <xdr:cNvPr id="320" name="Rectangle 319">
          <a:extLst>
            <a:ext uri="{FF2B5EF4-FFF2-40B4-BE49-F238E27FC236}">
              <a16:creationId xmlns:a16="http://schemas.microsoft.com/office/drawing/2014/main" id="{1FB18C14-24E3-704E-8A4F-FF0200557038}"/>
            </a:ext>
          </a:extLst>
        </xdr:cNvPr>
        <xdr:cNvSpPr>
          <a:spLocks noChangeAspect="1"/>
        </xdr:cNvSpPr>
      </xdr:nvSpPr>
      <xdr:spPr>
        <a:xfrm>
          <a:off x="36079918" y="2887129"/>
          <a:ext cx="1346377" cy="473797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86A766F-3DD8-E445-93C4-85367F242023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64%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7">
      <xdr:nvSpPr>
        <xdr:cNvPr id="321" name="Rectangle 320">
          <a:extLst>
            <a:ext uri="{FF2B5EF4-FFF2-40B4-BE49-F238E27FC236}">
              <a16:creationId xmlns:a16="http://schemas.microsoft.com/office/drawing/2014/main" id="{36545131-12EC-2C40-8689-208DC500C1AB}"/>
            </a:ext>
          </a:extLst>
        </xdr:cNvPr>
        <xdr:cNvSpPr>
          <a:spLocks noChangeAspect="1"/>
        </xdr:cNvSpPr>
      </xdr:nvSpPr>
      <xdr:spPr>
        <a:xfrm>
          <a:off x="36096939" y="3630652"/>
          <a:ext cx="1346377" cy="464925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9C057DF-93A2-2042-A689-3A50051FEEED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50%</a:t>
          </a:fld>
          <a:endParaRPr lang="en-US" sz="1000" b="0" i="0" u="none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26">
      <xdr:nvSpPr>
        <xdr:cNvPr id="322" name="Rectangle 321">
          <a:extLst>
            <a:ext uri="{FF2B5EF4-FFF2-40B4-BE49-F238E27FC236}">
              <a16:creationId xmlns:a16="http://schemas.microsoft.com/office/drawing/2014/main" id="{CC88855A-E400-914F-A151-2BEF738A5A60}"/>
            </a:ext>
          </a:extLst>
        </xdr:cNvPr>
        <xdr:cNvSpPr>
          <a:spLocks noChangeAspect="1"/>
        </xdr:cNvSpPr>
      </xdr:nvSpPr>
      <xdr:spPr>
        <a:xfrm>
          <a:off x="36079918" y="4400793"/>
          <a:ext cx="1346377" cy="473797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3D73B4-CC86-4D44-9F2E-750E0074B29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l"/>
            <a:t>62%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537AB1F-E764-364A-9358-0DEF4BDBF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6604978" y="2792023"/>
          <a:ext cx="3781021" cy="26201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0">
      <xdr:nvSpPr>
        <xdr:cNvPr id="324" name="Rectangle 323">
          <a:extLst>
            <a:ext uri="{FF2B5EF4-FFF2-40B4-BE49-F238E27FC236}">
              <a16:creationId xmlns:a16="http://schemas.microsoft.com/office/drawing/2014/main" id="{506350E3-F74C-EF44-91F6-188A827B0C86}"/>
            </a:ext>
          </a:extLst>
        </xdr:cNvPr>
        <xdr:cNvSpPr>
          <a:spLocks noChangeAspect="1"/>
        </xdr:cNvSpPr>
      </xdr:nvSpPr>
      <xdr:spPr>
        <a:xfrm>
          <a:off x="36461189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83FD721B-320A-BB48-9707-B163C0355DD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50%</a:t>
          </a:fld>
          <a:endParaRPr lang="en-US" sz="1000" i="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1">
      <xdr:nvSpPr>
        <xdr:cNvPr id="325" name="Rectangle 324">
          <a:extLst>
            <a:ext uri="{FF2B5EF4-FFF2-40B4-BE49-F238E27FC236}">
              <a16:creationId xmlns:a16="http://schemas.microsoft.com/office/drawing/2014/main" id="{0C380354-EB83-7740-9240-46A7D597B21A}"/>
            </a:ext>
          </a:extLst>
        </xdr:cNvPr>
        <xdr:cNvSpPr>
          <a:spLocks noChangeAspect="1"/>
        </xdr:cNvSpPr>
      </xdr:nvSpPr>
      <xdr:spPr>
        <a:xfrm>
          <a:off x="37021184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2183CA1-0722-4847-AAD3-41C64752D6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75%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2">
      <xdr:nvSpPr>
        <xdr:cNvPr id="326" name="Rectangle 325">
          <a:extLst>
            <a:ext uri="{FF2B5EF4-FFF2-40B4-BE49-F238E27FC236}">
              <a16:creationId xmlns:a16="http://schemas.microsoft.com/office/drawing/2014/main" id="{3876AEDE-9DC0-0448-8F2D-1802B16FAE6D}"/>
            </a:ext>
          </a:extLst>
        </xdr:cNvPr>
        <xdr:cNvSpPr>
          <a:spLocks noChangeAspect="1"/>
        </xdr:cNvSpPr>
      </xdr:nvSpPr>
      <xdr:spPr>
        <a:xfrm>
          <a:off x="38227991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3">
      <xdr:nvSpPr>
        <xdr:cNvPr id="327" name="Rectangle 326">
          <a:extLst>
            <a:ext uri="{FF2B5EF4-FFF2-40B4-BE49-F238E27FC236}">
              <a16:creationId xmlns:a16="http://schemas.microsoft.com/office/drawing/2014/main" id="{88F5B4BD-0370-7448-BE59-182E57602104}"/>
            </a:ext>
          </a:extLst>
        </xdr:cNvPr>
        <xdr:cNvSpPr>
          <a:spLocks noChangeAspect="1"/>
        </xdr:cNvSpPr>
      </xdr:nvSpPr>
      <xdr:spPr>
        <a:xfrm>
          <a:off x="38839050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6A64F0CE-A1A0-AF44-A6FB-3E31D95ED19E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38%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4">
      <xdr:nvSpPr>
        <xdr:cNvPr id="328" name="Rectangle 327">
          <a:extLst>
            <a:ext uri="{FF2B5EF4-FFF2-40B4-BE49-F238E27FC236}">
              <a16:creationId xmlns:a16="http://schemas.microsoft.com/office/drawing/2014/main" id="{C545E5BA-383D-9B4F-BBDB-4C874118A15A}"/>
            </a:ext>
          </a:extLst>
        </xdr:cNvPr>
        <xdr:cNvSpPr>
          <a:spLocks noChangeAspect="1"/>
        </xdr:cNvSpPr>
      </xdr:nvSpPr>
      <xdr:spPr>
        <a:xfrm>
          <a:off x="39450109" y="5057369"/>
          <a:ext cx="831656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77A5DDE-6025-1749-9CDC-4506DFEFFD07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4">
      <xdr:nvSpPr>
        <xdr:cNvPr id="329" name="TextBox 328">
          <a:extLst>
            <a:ext uri="{FF2B5EF4-FFF2-40B4-BE49-F238E27FC236}">
              <a16:creationId xmlns:a16="http://schemas.microsoft.com/office/drawing/2014/main" id="{565069EA-73AE-0A4F-BBBF-90D64AB1D511}"/>
            </a:ext>
          </a:extLst>
        </xdr:cNvPr>
        <xdr:cNvSpPr txBox="1"/>
      </xdr:nvSpPr>
      <xdr:spPr>
        <a:xfrm>
          <a:off x="36590544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323AA5A3-2F30-8942-8EA3-0BDB0C540DAB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L32">
      <xdr:nvSpPr>
        <xdr:cNvPr id="330" name="Rectangle 329">
          <a:extLst>
            <a:ext uri="{FF2B5EF4-FFF2-40B4-BE49-F238E27FC236}">
              <a16:creationId xmlns:a16="http://schemas.microsoft.com/office/drawing/2014/main" id="{330BDF49-3B7A-F840-A9E6-55A9774A549C}"/>
            </a:ext>
          </a:extLst>
        </xdr:cNvPr>
        <xdr:cNvSpPr>
          <a:spLocks noChangeAspect="1"/>
        </xdr:cNvSpPr>
      </xdr:nvSpPr>
      <xdr:spPr>
        <a:xfrm>
          <a:off x="37622030" y="5064465"/>
          <a:ext cx="819741" cy="286054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7C4779B-B327-DC43-91FF-442B437677D1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5">
      <xdr:nvSpPr>
        <xdr:cNvPr id="331" name="TextBox 330">
          <a:extLst>
            <a:ext uri="{FF2B5EF4-FFF2-40B4-BE49-F238E27FC236}">
              <a16:creationId xmlns:a16="http://schemas.microsoft.com/office/drawing/2014/main" id="{594C5243-80E3-384B-901D-2EEEFB767FAE}"/>
            </a:ext>
          </a:extLst>
        </xdr:cNvPr>
        <xdr:cNvSpPr txBox="1"/>
      </xdr:nvSpPr>
      <xdr:spPr>
        <a:xfrm>
          <a:off x="37337777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B0FECDC-6218-644D-AA07-4EDB9E25A07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6">
      <xdr:nvSpPr>
        <xdr:cNvPr id="332" name="TextBox 331">
          <a:extLst>
            <a:ext uri="{FF2B5EF4-FFF2-40B4-BE49-F238E27FC236}">
              <a16:creationId xmlns:a16="http://schemas.microsoft.com/office/drawing/2014/main" id="{266E1B4D-A907-DB46-B7D8-8E575C7BD098}"/>
            </a:ext>
          </a:extLst>
        </xdr:cNvPr>
        <xdr:cNvSpPr txBox="1"/>
      </xdr:nvSpPr>
      <xdr:spPr>
        <a:xfrm>
          <a:off x="38204159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6C6F3A9-8704-0348-AAB4-45010272B9F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7">
      <xdr:nvSpPr>
        <xdr:cNvPr id="333" name="TextBox 332">
          <a:extLst>
            <a:ext uri="{FF2B5EF4-FFF2-40B4-BE49-F238E27FC236}">
              <a16:creationId xmlns:a16="http://schemas.microsoft.com/office/drawing/2014/main" id="{87C58800-CD44-EA47-AAD9-9C90C8C6C109}"/>
            </a:ext>
          </a:extLst>
        </xdr:cNvPr>
        <xdr:cNvSpPr txBox="1"/>
      </xdr:nvSpPr>
      <xdr:spPr>
        <a:xfrm>
          <a:off x="38951391" y="2747658"/>
          <a:ext cx="348135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AD79DAF-5E94-B844-9173-6F5C97B12344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8">
      <xdr:nvSpPr>
        <xdr:cNvPr id="334" name="TextBox 333">
          <a:extLst>
            <a:ext uri="{FF2B5EF4-FFF2-40B4-BE49-F238E27FC236}">
              <a16:creationId xmlns:a16="http://schemas.microsoft.com/office/drawing/2014/main" id="{1521BE1F-2A2C-2344-953F-858CB638B2DB}"/>
            </a:ext>
          </a:extLst>
        </xdr:cNvPr>
        <xdr:cNvSpPr txBox="1"/>
      </xdr:nvSpPr>
      <xdr:spPr>
        <a:xfrm>
          <a:off x="39511388" y="2747658"/>
          <a:ext cx="288560" cy="48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08407E3-478C-6D47-BAD5-EEDF8C3B6E58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4">
      <xdr:nvSpPr>
        <xdr:cNvPr id="335" name="TextBox 334">
          <a:extLst>
            <a:ext uri="{FF2B5EF4-FFF2-40B4-BE49-F238E27FC236}">
              <a16:creationId xmlns:a16="http://schemas.microsoft.com/office/drawing/2014/main" id="{8228217A-0F21-0D4E-8685-523A60F412C4}"/>
            </a:ext>
          </a:extLst>
        </xdr:cNvPr>
        <xdr:cNvSpPr txBox="1"/>
      </xdr:nvSpPr>
      <xdr:spPr>
        <a:xfrm>
          <a:off x="36597352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4EAD172-EF1B-B842-A58B-58D7F7FF4752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5">
      <xdr:nvSpPr>
        <xdr:cNvPr id="336" name="TextBox 335">
          <a:extLst>
            <a:ext uri="{FF2B5EF4-FFF2-40B4-BE49-F238E27FC236}">
              <a16:creationId xmlns:a16="http://schemas.microsoft.com/office/drawing/2014/main" id="{6E18EB65-48B5-514D-866F-2B88E20E58ED}"/>
            </a:ext>
          </a:extLst>
        </xdr:cNvPr>
        <xdr:cNvSpPr txBox="1"/>
      </xdr:nvSpPr>
      <xdr:spPr>
        <a:xfrm>
          <a:off x="37344585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88F5937-1F39-5B4E-A81E-5CB8CD697F2D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6">
      <xdr:nvSpPr>
        <xdr:cNvPr id="337" name="TextBox 336">
          <a:extLst>
            <a:ext uri="{FF2B5EF4-FFF2-40B4-BE49-F238E27FC236}">
              <a16:creationId xmlns:a16="http://schemas.microsoft.com/office/drawing/2014/main" id="{6F3C3D9D-A476-304C-9FB9-EF1138AE5822}"/>
            </a:ext>
          </a:extLst>
        </xdr:cNvPr>
        <xdr:cNvSpPr txBox="1"/>
      </xdr:nvSpPr>
      <xdr:spPr>
        <a:xfrm>
          <a:off x="38210967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C52A5B8-F70F-8A42-8CD9-53C3D3A7BBF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7">
      <xdr:nvSpPr>
        <xdr:cNvPr id="338" name="TextBox 337">
          <a:extLst>
            <a:ext uri="{FF2B5EF4-FFF2-40B4-BE49-F238E27FC236}">
              <a16:creationId xmlns:a16="http://schemas.microsoft.com/office/drawing/2014/main" id="{36FB881B-F101-3942-B36B-02D58B3FD283}"/>
            </a:ext>
          </a:extLst>
        </xdr:cNvPr>
        <xdr:cNvSpPr txBox="1"/>
      </xdr:nvSpPr>
      <xdr:spPr>
        <a:xfrm>
          <a:off x="38975219" y="4298602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B33978F-DEBF-DF41-8B6E-8DA1C9E56B43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8">
      <xdr:nvSpPr>
        <xdr:cNvPr id="339" name="TextBox 338">
          <a:extLst>
            <a:ext uri="{FF2B5EF4-FFF2-40B4-BE49-F238E27FC236}">
              <a16:creationId xmlns:a16="http://schemas.microsoft.com/office/drawing/2014/main" id="{42C8B1F1-8D8F-9142-A77E-CC8B4B77195E}"/>
            </a:ext>
          </a:extLst>
        </xdr:cNvPr>
        <xdr:cNvSpPr txBox="1"/>
      </xdr:nvSpPr>
      <xdr:spPr>
        <a:xfrm>
          <a:off x="39506280" y="4298602"/>
          <a:ext cx="30047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44E12693-EA75-134F-B076-5F23F4F1D16C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9">
      <xdr:nvSpPr>
        <xdr:cNvPr id="340" name="TextBox 339">
          <a:extLst>
            <a:ext uri="{FF2B5EF4-FFF2-40B4-BE49-F238E27FC236}">
              <a16:creationId xmlns:a16="http://schemas.microsoft.com/office/drawing/2014/main" id="{FB5B9C07-8D43-4141-B074-C18C4B0F7D4C}"/>
            </a:ext>
          </a:extLst>
        </xdr:cNvPr>
        <xdr:cNvSpPr txBox="1"/>
      </xdr:nvSpPr>
      <xdr:spPr>
        <a:xfrm>
          <a:off x="36590544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22094F2-9AA4-F846-948D-19D398B086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0">
      <xdr:nvSpPr>
        <xdr:cNvPr id="341" name="TextBox 340">
          <a:extLst>
            <a:ext uri="{FF2B5EF4-FFF2-40B4-BE49-F238E27FC236}">
              <a16:creationId xmlns:a16="http://schemas.microsoft.com/office/drawing/2014/main" id="{A8B521E8-2C8C-8945-A4B8-928002056A89}"/>
            </a:ext>
          </a:extLst>
        </xdr:cNvPr>
        <xdr:cNvSpPr txBox="1"/>
      </xdr:nvSpPr>
      <xdr:spPr>
        <a:xfrm>
          <a:off x="37337777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AADFEB7-5D2F-3548-B218-AA172209829F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1">
      <xdr:nvSpPr>
        <xdr:cNvPr id="342" name="TextBox 341">
          <a:extLst>
            <a:ext uri="{FF2B5EF4-FFF2-40B4-BE49-F238E27FC236}">
              <a16:creationId xmlns:a16="http://schemas.microsoft.com/office/drawing/2014/main" id="{4FB846F7-5DCE-8448-911E-12F8546DC4C6}"/>
            </a:ext>
          </a:extLst>
        </xdr:cNvPr>
        <xdr:cNvSpPr txBox="1"/>
      </xdr:nvSpPr>
      <xdr:spPr>
        <a:xfrm>
          <a:off x="38204159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6779706-D09E-154E-9117-C4218CEBC78A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2">
      <xdr:nvSpPr>
        <xdr:cNvPr id="343" name="TextBox 342">
          <a:extLst>
            <a:ext uri="{FF2B5EF4-FFF2-40B4-BE49-F238E27FC236}">
              <a16:creationId xmlns:a16="http://schemas.microsoft.com/office/drawing/2014/main" id="{28B5EFE9-F0B8-7547-8B8C-92CEB4CF0211}"/>
            </a:ext>
          </a:extLst>
        </xdr:cNvPr>
        <xdr:cNvSpPr txBox="1"/>
      </xdr:nvSpPr>
      <xdr:spPr>
        <a:xfrm>
          <a:off x="38951391" y="3634926"/>
          <a:ext cx="348135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E8D3FF-1C38-B541-85C7-645D90D29D07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Location1ANALYSIS!$O$13">
      <xdr:nvSpPr>
        <xdr:cNvPr id="344" name="TextBox 343">
          <a:extLst>
            <a:ext uri="{FF2B5EF4-FFF2-40B4-BE49-F238E27FC236}">
              <a16:creationId xmlns:a16="http://schemas.microsoft.com/office/drawing/2014/main" id="{4F16CB0A-D8A3-C14B-889F-79EDD76D5125}"/>
            </a:ext>
          </a:extLst>
        </xdr:cNvPr>
        <xdr:cNvSpPr txBox="1"/>
      </xdr:nvSpPr>
      <xdr:spPr>
        <a:xfrm>
          <a:off x="39487557" y="3634926"/>
          <a:ext cx="312389" cy="4755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1F7088ED-9864-1A48-834D-47438EE8AE29}" type="TxLink">
            <a:rPr lang="en-US" sz="24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bg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35</xdr:col>
      <xdr:colOff>365127</xdr:colOff>
      <xdr:row>30</xdr:row>
      <xdr:rowOff>33326</xdr:rowOff>
    </xdr:from>
    <xdr:to>
      <xdr:col>41</xdr:col>
      <xdr:colOff>475786</xdr:colOff>
      <xdr:row>49</xdr:row>
      <xdr:rowOff>122115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D9ADDC23-61FA-0E41-84CC-03DBE08D8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6252</xdr:colOff>
      <xdr:row>26</xdr:row>
      <xdr:rowOff>149907</xdr:rowOff>
    </xdr:from>
    <xdr:to>
      <xdr:col>38</xdr:col>
      <xdr:colOff>829220</xdr:colOff>
      <xdr:row>28</xdr:row>
      <xdr:rowOff>91788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E0B35218-DD7C-1542-920A-EC969CF4ECAB}"/>
            </a:ext>
          </a:extLst>
        </xdr:cNvPr>
        <xdr:cNvSpPr>
          <a:spLocks noChangeAspect="1"/>
        </xdr:cNvSpPr>
      </xdr:nvSpPr>
      <xdr:spPr>
        <a:xfrm>
          <a:off x="31932098" y="4585138"/>
          <a:ext cx="822968" cy="27403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t>Efficiency</a:t>
          </a:r>
        </a:p>
      </xdr:txBody>
    </xdr:sp>
    <xdr:clientData/>
  </xdr:twoCellAnchor>
  <xdr:twoCellAnchor>
    <xdr:from>
      <xdr:col>7</xdr:col>
      <xdr:colOff>325179</xdr:colOff>
      <xdr:row>28</xdr:row>
      <xdr:rowOff>131716</xdr:rowOff>
    </xdr:from>
    <xdr:to>
      <xdr:col>13</xdr:col>
      <xdr:colOff>561036</xdr:colOff>
      <xdr:row>49</xdr:row>
      <xdr:rowOff>54429</xdr:rowOff>
    </xdr:to>
    <xdr:graphicFrame macro="">
      <xdr:nvGraphicFramePr>
        <xdr:cNvPr id="198" name="Chart 197">
          <a:extLst>
            <a:ext uri="{FF2B5EF4-FFF2-40B4-BE49-F238E27FC236}">
              <a16:creationId xmlns:a16="http://schemas.microsoft.com/office/drawing/2014/main" id="{7C3E55DE-CDB4-174A-81D2-A2861BEBC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535684</xdr:colOff>
      <xdr:row>25</xdr:row>
      <xdr:rowOff>120482</xdr:rowOff>
    </xdr:from>
    <xdr:to>
      <xdr:col>11</xdr:col>
      <xdr:colOff>332158</xdr:colOff>
      <xdr:row>28</xdr:row>
      <xdr:rowOff>469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70A8F266-092B-894A-8AE4-F638E5A6BB65}"/>
            </a:ext>
          </a:extLst>
        </xdr:cNvPr>
        <xdr:cNvSpPr>
          <a:spLocks noChangeAspect="1"/>
        </xdr:cNvSpPr>
      </xdr:nvSpPr>
      <xdr:spPr>
        <a:xfrm>
          <a:off x="8097069" y="4311482"/>
          <a:ext cx="1476781" cy="38798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r>
            <a:rPr lang="en-US" sz="1400" b="1" i="0" u="none" strike="noStrike">
              <a:solidFill>
                <a:schemeClr val="tx1"/>
              </a:solidFill>
              <a:latin typeface="Calibri"/>
              <a:cs typeface="Calibri"/>
            </a:rPr>
            <a:t>Round by Round</a:t>
          </a:r>
        </a:p>
      </xdr:txBody>
    </xdr:sp>
    <xdr:clientData/>
  </xdr:twoCellAnchor>
  <xdr:twoCellAnchor>
    <xdr:from>
      <xdr:col>42</xdr:col>
      <xdr:colOff>387618</xdr:colOff>
      <xdr:row>33</xdr:row>
      <xdr:rowOff>102687</xdr:rowOff>
    </xdr:from>
    <xdr:to>
      <xdr:col>48</xdr:col>
      <xdr:colOff>498277</xdr:colOff>
      <xdr:row>53</xdr:row>
      <xdr:rowOff>25400</xdr:rowOff>
    </xdr:to>
    <xdr:graphicFrame macro="">
      <xdr:nvGraphicFramePr>
        <xdr:cNvPr id="204" name="Chart 203">
          <a:extLst>
            <a:ext uri="{FF2B5EF4-FFF2-40B4-BE49-F238E27FC236}">
              <a16:creationId xmlns:a16="http://schemas.microsoft.com/office/drawing/2014/main" id="{603EB6CD-8CB9-CC4F-A75B-215176C36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219278</xdr:colOff>
      <xdr:row>36</xdr:row>
      <xdr:rowOff>159135</xdr:rowOff>
    </xdr:from>
    <xdr:to>
      <xdr:col>14</xdr:col>
      <xdr:colOff>801077</xdr:colOff>
      <xdr:row>39</xdr:row>
      <xdr:rowOff>135688</xdr:rowOff>
    </xdr:to>
    <xdr:sp macro="" textlink="Location2ANALYSIS!F27">
      <xdr:nvSpPr>
        <xdr:cNvPr id="366" name="Rectangle 365">
          <a:extLst>
            <a:ext uri="{FF2B5EF4-FFF2-40B4-BE49-F238E27FC236}">
              <a16:creationId xmlns:a16="http://schemas.microsoft.com/office/drawing/2014/main" id="{69FC9A5A-B35A-4003-8E31-C523F060AB84}"/>
            </a:ext>
          </a:extLst>
        </xdr:cNvPr>
        <xdr:cNvSpPr>
          <a:spLocks noChangeAspect="1"/>
        </xdr:cNvSpPr>
      </xdr:nvSpPr>
      <xdr:spPr>
        <a:xfrm>
          <a:off x="11981432" y="6255135"/>
          <a:ext cx="581799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E3030DCF-E063-D14F-8D0C-A777C1216FCA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1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14</xdr:col>
      <xdr:colOff>32757</xdr:colOff>
      <xdr:row>42</xdr:row>
      <xdr:rowOff>1532</xdr:rowOff>
    </xdr:from>
    <xdr:to>
      <xdr:col>14</xdr:col>
      <xdr:colOff>562429</xdr:colOff>
      <xdr:row>44</xdr:row>
      <xdr:rowOff>159515</xdr:rowOff>
    </xdr:to>
    <xdr:sp macro="" textlink="Location2ANALYSIS!F28">
      <xdr:nvSpPr>
        <xdr:cNvPr id="367" name="Rectangle 366">
          <a:extLst>
            <a:ext uri="{FF2B5EF4-FFF2-40B4-BE49-F238E27FC236}">
              <a16:creationId xmlns:a16="http://schemas.microsoft.com/office/drawing/2014/main" id="{61B62A0A-C82C-40CD-BD93-49A3FB400F99}"/>
            </a:ext>
          </a:extLst>
        </xdr:cNvPr>
        <xdr:cNvSpPr>
          <a:spLocks noChangeAspect="1"/>
        </xdr:cNvSpPr>
      </xdr:nvSpPr>
      <xdr:spPr>
        <a:xfrm>
          <a:off x="11716757" y="7186103"/>
          <a:ext cx="529672" cy="5208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37B42678-2DC6-8A43-BA23-B79EEF7F7514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14</xdr:col>
      <xdr:colOff>366608</xdr:colOff>
      <xdr:row>25</xdr:row>
      <xdr:rowOff>35955</xdr:rowOff>
    </xdr:from>
    <xdr:to>
      <xdr:col>15</xdr:col>
      <xdr:colOff>360039</xdr:colOff>
      <xdr:row>26</xdr:row>
      <xdr:rowOff>150891</xdr:rowOff>
    </xdr:to>
    <xdr:sp macro="" textlink="Location1ANALYSIS!F30">
      <xdr:nvSpPr>
        <xdr:cNvPr id="201" name="Rectangle 200">
          <a:extLst>
            <a:ext uri="{FF2B5EF4-FFF2-40B4-BE49-F238E27FC236}">
              <a16:creationId xmlns:a16="http://schemas.microsoft.com/office/drawing/2014/main" id="{69F6023D-8EAB-49D2-97C9-6D4BA4A38F3B}"/>
            </a:ext>
          </a:extLst>
        </xdr:cNvPr>
        <xdr:cNvSpPr>
          <a:spLocks noChangeAspect="1"/>
        </xdr:cNvSpPr>
      </xdr:nvSpPr>
      <xdr:spPr>
        <a:xfrm>
          <a:off x="12071775" y="4311622"/>
          <a:ext cx="829514" cy="28426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D23842B4-7410-6644-BA3C-8D496658400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15</xdr:col>
      <xdr:colOff>427942</xdr:colOff>
      <xdr:row>25</xdr:row>
      <xdr:rowOff>35955</xdr:rowOff>
    </xdr:from>
    <xdr:to>
      <xdr:col>16</xdr:col>
      <xdr:colOff>421372</xdr:colOff>
      <xdr:row>26</xdr:row>
      <xdr:rowOff>147635</xdr:rowOff>
    </xdr:to>
    <xdr:sp macro="" textlink="Location1ANALYSIS!F31">
      <xdr:nvSpPr>
        <xdr:cNvPr id="202" name="Rectangle 201">
          <a:extLst>
            <a:ext uri="{FF2B5EF4-FFF2-40B4-BE49-F238E27FC236}">
              <a16:creationId xmlns:a16="http://schemas.microsoft.com/office/drawing/2014/main" id="{FAECFD1E-0291-4FCA-8A2C-0651A157E5EB}"/>
            </a:ext>
          </a:extLst>
        </xdr:cNvPr>
        <xdr:cNvSpPr>
          <a:spLocks noChangeAspect="1"/>
        </xdr:cNvSpPr>
      </xdr:nvSpPr>
      <xdr:spPr>
        <a:xfrm>
          <a:off x="12969192" y="4311622"/>
          <a:ext cx="829513" cy="28101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047C4EA-1D48-6F40-893B-09566ADCE57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425445</xdr:colOff>
      <xdr:row>25</xdr:row>
      <xdr:rowOff>35955</xdr:rowOff>
    </xdr:from>
    <xdr:to>
      <xdr:col>17</xdr:col>
      <xdr:colOff>406810</xdr:colOff>
      <xdr:row>26</xdr:row>
      <xdr:rowOff>147635</xdr:rowOff>
    </xdr:to>
    <xdr:sp macro="" textlink="Location1ANALYSIS!F32">
      <xdr:nvSpPr>
        <xdr:cNvPr id="203" name="Rectangle 202">
          <a:extLst>
            <a:ext uri="{FF2B5EF4-FFF2-40B4-BE49-F238E27FC236}">
              <a16:creationId xmlns:a16="http://schemas.microsoft.com/office/drawing/2014/main" id="{FB8C1554-1902-4E26-A8A6-6818C8C48600}"/>
            </a:ext>
          </a:extLst>
        </xdr:cNvPr>
        <xdr:cNvSpPr>
          <a:spLocks noChangeAspect="1"/>
        </xdr:cNvSpPr>
      </xdr:nvSpPr>
      <xdr:spPr>
        <a:xfrm>
          <a:off x="13802778" y="4311622"/>
          <a:ext cx="817449" cy="28101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4037E7-3A33-DC46-9C17-9985F7330DF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25%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356303</xdr:colOff>
      <xdr:row>25</xdr:row>
      <xdr:rowOff>35955</xdr:rowOff>
    </xdr:from>
    <xdr:to>
      <xdr:col>18</xdr:col>
      <xdr:colOff>349734</xdr:colOff>
      <xdr:row>26</xdr:row>
      <xdr:rowOff>147635</xdr:rowOff>
    </xdr:to>
    <xdr:sp macro="" textlink="Location1ANALYSIS!F33">
      <xdr:nvSpPr>
        <xdr:cNvPr id="205" name="Rectangle 204">
          <a:extLst>
            <a:ext uri="{FF2B5EF4-FFF2-40B4-BE49-F238E27FC236}">
              <a16:creationId xmlns:a16="http://schemas.microsoft.com/office/drawing/2014/main" id="{652691A8-54D9-4322-846A-F651048B8D9D}"/>
            </a:ext>
          </a:extLst>
        </xdr:cNvPr>
        <xdr:cNvSpPr>
          <a:spLocks noChangeAspect="1"/>
        </xdr:cNvSpPr>
      </xdr:nvSpPr>
      <xdr:spPr>
        <a:xfrm>
          <a:off x="14569720" y="4311622"/>
          <a:ext cx="829514" cy="28101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0417DE3B-AC10-A84A-8126-417A2B4696CE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313083</xdr:colOff>
      <xdr:row>25</xdr:row>
      <xdr:rowOff>35955</xdr:rowOff>
    </xdr:from>
    <xdr:to>
      <xdr:col>19</xdr:col>
      <xdr:colOff>306513</xdr:colOff>
      <xdr:row>26</xdr:row>
      <xdr:rowOff>147635</xdr:rowOff>
    </xdr:to>
    <xdr:sp macro="" textlink="Location1ANALYSIS!F34">
      <xdr:nvSpPr>
        <xdr:cNvPr id="206" name="Rectangle 205">
          <a:extLst>
            <a:ext uri="{FF2B5EF4-FFF2-40B4-BE49-F238E27FC236}">
              <a16:creationId xmlns:a16="http://schemas.microsoft.com/office/drawing/2014/main" id="{54A340AA-FB13-4F39-819B-354B1DB0A638}"/>
            </a:ext>
          </a:extLst>
        </xdr:cNvPr>
        <xdr:cNvSpPr>
          <a:spLocks noChangeAspect="1"/>
        </xdr:cNvSpPr>
      </xdr:nvSpPr>
      <xdr:spPr>
        <a:xfrm>
          <a:off x="15362583" y="4311622"/>
          <a:ext cx="829513" cy="28101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404601E-E124-CD40-B9BD-A8F02C145DA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80%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15</xdr:col>
      <xdr:colOff>583815</xdr:colOff>
      <xdr:row>47</xdr:row>
      <xdr:rowOff>43178</xdr:rowOff>
    </xdr:from>
    <xdr:to>
      <xdr:col>16</xdr:col>
      <xdr:colOff>577246</xdr:colOff>
      <xdr:row>48</xdr:row>
      <xdr:rowOff>164627</xdr:rowOff>
    </xdr:to>
    <xdr:sp macro="" textlink="Location2ANALYSIS!F31">
      <xdr:nvSpPr>
        <xdr:cNvPr id="207" name="Rectangle 206">
          <a:extLst>
            <a:ext uri="{FF2B5EF4-FFF2-40B4-BE49-F238E27FC236}">
              <a16:creationId xmlns:a16="http://schemas.microsoft.com/office/drawing/2014/main" id="{9BB9C735-8407-41C5-AEE5-68139E6E4AD5}"/>
            </a:ext>
          </a:extLst>
        </xdr:cNvPr>
        <xdr:cNvSpPr>
          <a:spLocks noChangeAspect="1"/>
        </xdr:cNvSpPr>
      </xdr:nvSpPr>
      <xdr:spPr>
        <a:xfrm>
          <a:off x="13186123" y="8073486"/>
          <a:ext cx="833585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944AFF1C-AE87-8E4F-9E13-D18AD56DDDEC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t>75%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16</xdr:col>
      <xdr:colOff>569296</xdr:colOff>
      <xdr:row>47</xdr:row>
      <xdr:rowOff>43178</xdr:rowOff>
    </xdr:from>
    <xdr:to>
      <xdr:col>17</xdr:col>
      <xdr:colOff>562728</xdr:colOff>
      <xdr:row>48</xdr:row>
      <xdr:rowOff>164627</xdr:rowOff>
    </xdr:to>
    <xdr:sp macro="" textlink="Location2ANALYSIS!F32">
      <xdr:nvSpPr>
        <xdr:cNvPr id="208" name="Rectangle 207">
          <a:extLst>
            <a:ext uri="{FF2B5EF4-FFF2-40B4-BE49-F238E27FC236}">
              <a16:creationId xmlns:a16="http://schemas.microsoft.com/office/drawing/2014/main" id="{11E87B95-E5F4-4A31-8F15-55E40EA3FB7E}"/>
            </a:ext>
          </a:extLst>
        </xdr:cNvPr>
        <xdr:cNvSpPr>
          <a:spLocks noChangeAspect="1"/>
        </xdr:cNvSpPr>
      </xdr:nvSpPr>
      <xdr:spPr>
        <a:xfrm>
          <a:off x="14011758" y="8073486"/>
          <a:ext cx="833585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111C7E3-25A6-9044-A9DC-1C93E6ABCED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t>50%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363949</xdr:colOff>
      <xdr:row>47</xdr:row>
      <xdr:rowOff>43178</xdr:rowOff>
    </xdr:from>
    <xdr:to>
      <xdr:col>18</xdr:col>
      <xdr:colOff>345312</xdr:colOff>
      <xdr:row>48</xdr:row>
      <xdr:rowOff>164627</xdr:rowOff>
    </xdr:to>
    <xdr:sp macro="" textlink="Location2ANALYSIS!F33">
      <xdr:nvSpPr>
        <xdr:cNvPr id="209" name="Rectangle 208">
          <a:extLst>
            <a:ext uri="{FF2B5EF4-FFF2-40B4-BE49-F238E27FC236}">
              <a16:creationId xmlns:a16="http://schemas.microsoft.com/office/drawing/2014/main" id="{C1974D63-CE8F-4250-9F9B-A4B856E59DD3}"/>
            </a:ext>
          </a:extLst>
        </xdr:cNvPr>
        <xdr:cNvSpPr>
          <a:spLocks noChangeAspect="1"/>
        </xdr:cNvSpPr>
      </xdr:nvSpPr>
      <xdr:spPr>
        <a:xfrm>
          <a:off x="14646564" y="8073486"/>
          <a:ext cx="821517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9791012-1E99-F14F-A467-E72384CAF67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t>50%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449242</xdr:colOff>
      <xdr:row>47</xdr:row>
      <xdr:rowOff>43178</xdr:rowOff>
    </xdr:from>
    <xdr:to>
      <xdr:col>20</xdr:col>
      <xdr:colOff>442672</xdr:colOff>
      <xdr:row>48</xdr:row>
      <xdr:rowOff>164627</xdr:rowOff>
    </xdr:to>
    <xdr:sp macro="" textlink="Location2ANALYSIS!F35">
      <xdr:nvSpPr>
        <xdr:cNvPr id="210" name="Rectangle 209">
          <a:extLst>
            <a:ext uri="{FF2B5EF4-FFF2-40B4-BE49-F238E27FC236}">
              <a16:creationId xmlns:a16="http://schemas.microsoft.com/office/drawing/2014/main" id="{A176B58C-F786-4DED-B1B6-A9B029321987}"/>
            </a:ext>
          </a:extLst>
        </xdr:cNvPr>
        <xdr:cNvSpPr>
          <a:spLocks noChangeAspect="1"/>
        </xdr:cNvSpPr>
      </xdr:nvSpPr>
      <xdr:spPr>
        <a:xfrm>
          <a:off x="16412165" y="8073486"/>
          <a:ext cx="833584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817BAA3-6C40-7045-B6D2-F9DF8BD5A28E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t>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18</xdr:col>
      <xdr:colOff>394787</xdr:colOff>
      <xdr:row>47</xdr:row>
      <xdr:rowOff>43178</xdr:rowOff>
    </xdr:from>
    <xdr:to>
      <xdr:col>19</xdr:col>
      <xdr:colOff>388218</xdr:colOff>
      <xdr:row>48</xdr:row>
      <xdr:rowOff>164627</xdr:rowOff>
    </xdr:to>
    <xdr:sp macro="" textlink="Location2ANALYSIS!F34">
      <xdr:nvSpPr>
        <xdr:cNvPr id="211" name="Rectangle 210">
          <a:extLst>
            <a:ext uri="{FF2B5EF4-FFF2-40B4-BE49-F238E27FC236}">
              <a16:creationId xmlns:a16="http://schemas.microsoft.com/office/drawing/2014/main" id="{3566087D-7167-430B-9328-B4A61BA65153}"/>
            </a:ext>
          </a:extLst>
        </xdr:cNvPr>
        <xdr:cNvSpPr>
          <a:spLocks noChangeAspect="1"/>
        </xdr:cNvSpPr>
      </xdr:nvSpPr>
      <xdr:spPr>
        <a:xfrm>
          <a:off x="15517556" y="8073486"/>
          <a:ext cx="833585" cy="29729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D9E1410-6DE9-DA4C-B819-4F1D7719F85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t>50%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459191</xdr:colOff>
      <xdr:row>8</xdr:row>
      <xdr:rowOff>163995</xdr:rowOff>
    </xdr:from>
    <xdr:to>
      <xdr:col>15</xdr:col>
      <xdr:colOff>293075</xdr:colOff>
      <xdr:row>11</xdr:row>
      <xdr:rowOff>102349</xdr:rowOff>
    </xdr:to>
    <xdr:sp macro="" textlink="Location1ANALYSIS!F26">
      <xdr:nvSpPr>
        <xdr:cNvPr id="212" name="Rectangle 211">
          <a:extLst>
            <a:ext uri="{FF2B5EF4-FFF2-40B4-BE49-F238E27FC236}">
              <a16:creationId xmlns:a16="http://schemas.microsoft.com/office/drawing/2014/main" id="{5AFF8399-0DA9-443D-A1AF-1E9FB6429960}"/>
            </a:ext>
          </a:extLst>
        </xdr:cNvPr>
        <xdr:cNvSpPr>
          <a:spLocks noChangeAspect="1"/>
        </xdr:cNvSpPr>
      </xdr:nvSpPr>
      <xdr:spPr>
        <a:xfrm>
          <a:off x="12221345" y="1492610"/>
          <a:ext cx="674038" cy="46589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EEAA395-21FC-634F-9650-8862AD08095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100%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14</xdr:col>
      <xdr:colOff>166116</xdr:colOff>
      <xdr:row>13</xdr:row>
      <xdr:rowOff>118088</xdr:rowOff>
    </xdr:from>
    <xdr:to>
      <xdr:col>14</xdr:col>
      <xdr:colOff>654539</xdr:colOff>
      <xdr:row>16</xdr:row>
      <xdr:rowOff>65333</xdr:rowOff>
    </xdr:to>
    <xdr:sp macro="" textlink="Location1ANALYSIS!F27">
      <xdr:nvSpPr>
        <xdr:cNvPr id="213" name="Rectangle 212">
          <a:extLst>
            <a:ext uri="{FF2B5EF4-FFF2-40B4-BE49-F238E27FC236}">
              <a16:creationId xmlns:a16="http://schemas.microsoft.com/office/drawing/2014/main" id="{83A3EC6F-BA7B-45E6-BCDD-807EB5042B76}"/>
            </a:ext>
          </a:extLst>
        </xdr:cNvPr>
        <xdr:cNvSpPr>
          <a:spLocks noChangeAspect="1"/>
        </xdr:cNvSpPr>
      </xdr:nvSpPr>
      <xdr:spPr>
        <a:xfrm>
          <a:off x="11928270" y="2325934"/>
          <a:ext cx="488423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345D332-4976-5C4A-8316-6CB63E8DF99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56%</a:t>
          </a:fld>
          <a:endParaRPr lang="en-US" sz="10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13</xdr:col>
      <xdr:colOff>781578</xdr:colOff>
      <xdr:row>19</xdr:row>
      <xdr:rowOff>2041</xdr:rowOff>
    </xdr:from>
    <xdr:to>
      <xdr:col>14</xdr:col>
      <xdr:colOff>429847</xdr:colOff>
      <xdr:row>21</xdr:row>
      <xdr:rowOff>134902</xdr:rowOff>
    </xdr:to>
    <xdr:sp macro="" textlink="Location1ANALYSIS!F25">
      <xdr:nvSpPr>
        <xdr:cNvPr id="214" name="Rectangle 213">
          <a:extLst>
            <a:ext uri="{FF2B5EF4-FFF2-40B4-BE49-F238E27FC236}">
              <a16:creationId xmlns:a16="http://schemas.microsoft.com/office/drawing/2014/main" id="{6DCD6570-A980-49C8-9EDA-9BE8E02E7C76}"/>
            </a:ext>
          </a:extLst>
        </xdr:cNvPr>
        <xdr:cNvSpPr>
          <a:spLocks noChangeAspect="1"/>
        </xdr:cNvSpPr>
      </xdr:nvSpPr>
      <xdr:spPr>
        <a:xfrm>
          <a:off x="11703578" y="3264964"/>
          <a:ext cx="488423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A8548065-5F5A-FC44-B783-1D336C1B5BD8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14</xdr:col>
      <xdr:colOff>472992</xdr:colOff>
      <xdr:row>32</xdr:row>
      <xdr:rowOff>11282</xdr:rowOff>
    </xdr:from>
    <xdr:to>
      <xdr:col>15</xdr:col>
      <xdr:colOff>224692</xdr:colOff>
      <xdr:row>34</xdr:row>
      <xdr:rowOff>153912</xdr:rowOff>
    </xdr:to>
    <xdr:sp macro="" textlink="Location2ANALYSIS!F26">
      <xdr:nvSpPr>
        <xdr:cNvPr id="215" name="Rectangle 214">
          <a:extLst>
            <a:ext uri="{FF2B5EF4-FFF2-40B4-BE49-F238E27FC236}">
              <a16:creationId xmlns:a16="http://schemas.microsoft.com/office/drawing/2014/main" id="{36C0F52D-1C58-4473-8B8A-C63B696FD445}"/>
            </a:ext>
          </a:extLst>
        </xdr:cNvPr>
        <xdr:cNvSpPr>
          <a:spLocks noChangeAspect="1"/>
        </xdr:cNvSpPr>
      </xdr:nvSpPr>
      <xdr:spPr>
        <a:xfrm>
          <a:off x="12235146" y="5442974"/>
          <a:ext cx="591854" cy="47478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6E84DDCF-4036-DA45-A295-C6BE7BAFA865}" type="TxLink">
            <a:rPr lang="en-US" sz="11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100" b="1" i="0">
            <a:latin typeface="+mn-lt"/>
          </a:endParaRPr>
        </a:p>
      </xdr:txBody>
    </xdr:sp>
    <xdr:clientData/>
  </xdr:twoCellAnchor>
  <xdr:twoCellAnchor>
    <xdr:from>
      <xdr:col>15</xdr:col>
      <xdr:colOff>30999</xdr:colOff>
      <xdr:row>8</xdr:row>
      <xdr:rowOff>145482</xdr:rowOff>
    </xdr:from>
    <xdr:to>
      <xdr:col>15</xdr:col>
      <xdr:colOff>631742</xdr:colOff>
      <xdr:row>11</xdr:row>
      <xdr:rowOff>103325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9914B3F-54CC-504B-8DD6-EA1ED7DD3270}"/>
            </a:ext>
          </a:extLst>
        </xdr:cNvPr>
        <xdr:cNvGrpSpPr/>
      </xdr:nvGrpSpPr>
      <xdr:grpSpPr>
        <a:xfrm>
          <a:off x="12572249" y="1500149"/>
          <a:ext cx="600743" cy="465843"/>
          <a:chOff x="12301153" y="1298251"/>
          <a:chExt cx="600743" cy="485382"/>
        </a:xfrm>
      </xdr:grpSpPr>
      <xdr:sp macro="" textlink="Location1ANALYSIS!D6">
        <xdr:nvSpPr>
          <xdr:cNvPr id="217" name="TextBox 216">
            <a:extLst>
              <a:ext uri="{FF2B5EF4-FFF2-40B4-BE49-F238E27FC236}">
                <a16:creationId xmlns:a16="http://schemas.microsoft.com/office/drawing/2014/main" id="{CA30602B-A19A-4074-8554-914FB1CED7C2}"/>
              </a:ext>
            </a:extLst>
          </xdr:cNvPr>
          <xdr:cNvSpPr txBox="1"/>
        </xdr:nvSpPr>
        <xdr:spPr>
          <a:xfrm>
            <a:off x="12301153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A3D8EE-0557-DF4E-8DE0-AF95EF7EE5C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6">
        <xdr:nvSpPr>
          <xdr:cNvPr id="218" name="TextBox 217">
            <a:extLst>
              <a:ext uri="{FF2B5EF4-FFF2-40B4-BE49-F238E27FC236}">
                <a16:creationId xmlns:a16="http://schemas.microsoft.com/office/drawing/2014/main" id="{465BDC25-CA10-4652-9B9A-8D954D70FB4B}"/>
              </a:ext>
            </a:extLst>
          </xdr:cNvPr>
          <xdr:cNvSpPr txBox="1"/>
        </xdr:nvSpPr>
        <xdr:spPr>
          <a:xfrm>
            <a:off x="12609677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6A99AA-8869-E547-AB19-BDA058EEBEE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219" name="TextBox 218">
            <a:extLst>
              <a:ext uri="{FF2B5EF4-FFF2-40B4-BE49-F238E27FC236}">
                <a16:creationId xmlns:a16="http://schemas.microsoft.com/office/drawing/2014/main" id="{0A1DE21F-BA7B-4797-AF1F-E9C2C081BE95}"/>
              </a:ext>
            </a:extLst>
          </xdr:cNvPr>
          <xdr:cNvSpPr txBox="1"/>
        </xdr:nvSpPr>
        <xdr:spPr>
          <a:xfrm>
            <a:off x="12486159" y="1298251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15</xdr:col>
      <xdr:colOff>756638</xdr:colOff>
      <xdr:row>8</xdr:row>
      <xdr:rowOff>145482</xdr:rowOff>
    </xdr:from>
    <xdr:to>
      <xdr:col>16</xdr:col>
      <xdr:colOff>526995</xdr:colOff>
      <xdr:row>11</xdr:row>
      <xdr:rowOff>103325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AA5C5046-42C8-CF46-A997-84A8D63C5282}"/>
            </a:ext>
          </a:extLst>
        </xdr:cNvPr>
        <xdr:cNvGrpSpPr/>
      </xdr:nvGrpSpPr>
      <xdr:grpSpPr>
        <a:xfrm>
          <a:off x="13297888" y="1500149"/>
          <a:ext cx="606440" cy="465843"/>
          <a:chOff x="13378485" y="1298251"/>
          <a:chExt cx="610511" cy="485382"/>
        </a:xfrm>
      </xdr:grpSpPr>
      <xdr:sp macro="" textlink="Location1ANALYSIS!D9">
        <xdr:nvSpPr>
          <xdr:cNvPr id="220" name="TextBox 219">
            <a:extLst>
              <a:ext uri="{FF2B5EF4-FFF2-40B4-BE49-F238E27FC236}">
                <a16:creationId xmlns:a16="http://schemas.microsoft.com/office/drawing/2014/main" id="{DA48C1E2-28CA-4030-84B5-333DBAD4D520}"/>
              </a:ext>
            </a:extLst>
          </xdr:cNvPr>
          <xdr:cNvSpPr txBox="1"/>
        </xdr:nvSpPr>
        <xdr:spPr>
          <a:xfrm>
            <a:off x="13378485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022A13-042F-E742-9510-97238DD1AEE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9">
        <xdr:nvSpPr>
          <xdr:cNvPr id="221" name="TextBox 220">
            <a:extLst>
              <a:ext uri="{FF2B5EF4-FFF2-40B4-BE49-F238E27FC236}">
                <a16:creationId xmlns:a16="http://schemas.microsoft.com/office/drawing/2014/main" id="{BCA717EA-58DC-4DC6-ACD7-6A675B00D22C}"/>
              </a:ext>
            </a:extLst>
          </xdr:cNvPr>
          <xdr:cNvSpPr txBox="1"/>
        </xdr:nvSpPr>
        <xdr:spPr>
          <a:xfrm>
            <a:off x="13696777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4A662B-2627-6949-AB70-E83EE82B24F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2" name="TextBox 221">
            <a:extLst>
              <a:ext uri="{FF2B5EF4-FFF2-40B4-BE49-F238E27FC236}">
                <a16:creationId xmlns:a16="http://schemas.microsoft.com/office/drawing/2014/main" id="{B3335FDC-4FDB-49AB-9C0B-0C8586884EC5}"/>
              </a:ext>
            </a:extLst>
          </xdr:cNvPr>
          <xdr:cNvSpPr txBox="1"/>
        </xdr:nvSpPr>
        <xdr:spPr>
          <a:xfrm>
            <a:off x="13566356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546125</xdr:colOff>
      <xdr:row>8</xdr:row>
      <xdr:rowOff>145482</xdr:rowOff>
    </xdr:from>
    <xdr:to>
      <xdr:col>17</xdr:col>
      <xdr:colOff>533071</xdr:colOff>
      <xdr:row>11</xdr:row>
      <xdr:rowOff>122017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1BEC1EE3-A2D4-CC4A-880E-34CCF2A67937}"/>
            </a:ext>
          </a:extLst>
        </xdr:cNvPr>
        <xdr:cNvGrpSpPr/>
      </xdr:nvGrpSpPr>
      <xdr:grpSpPr>
        <a:xfrm>
          <a:off x="13923458" y="1500149"/>
          <a:ext cx="823030" cy="484535"/>
          <a:chOff x="14525895" y="1298250"/>
          <a:chExt cx="827099" cy="504074"/>
        </a:xfrm>
      </xdr:grpSpPr>
      <xdr:sp macro="" textlink="Location1ANALYSIS!D12">
        <xdr:nvSpPr>
          <xdr:cNvPr id="224" name="TextBox 223">
            <a:extLst>
              <a:ext uri="{FF2B5EF4-FFF2-40B4-BE49-F238E27FC236}">
                <a16:creationId xmlns:a16="http://schemas.microsoft.com/office/drawing/2014/main" id="{8E0597DB-8947-4487-B455-52510FDB622A}"/>
              </a:ext>
            </a:extLst>
          </xdr:cNvPr>
          <xdr:cNvSpPr txBox="1"/>
        </xdr:nvSpPr>
        <xdr:spPr>
          <a:xfrm>
            <a:off x="14525895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048B0C2-8041-F247-B9FD-3C99E0E3FA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2">
        <xdr:nvSpPr>
          <xdr:cNvPr id="225" name="TextBox 224">
            <a:extLst>
              <a:ext uri="{FF2B5EF4-FFF2-40B4-BE49-F238E27FC236}">
                <a16:creationId xmlns:a16="http://schemas.microsoft.com/office/drawing/2014/main" id="{53E85903-F1A8-4309-ABD0-545E1B3253A4}"/>
              </a:ext>
            </a:extLst>
          </xdr:cNvPr>
          <xdr:cNvSpPr txBox="1"/>
        </xdr:nvSpPr>
        <xdr:spPr>
          <a:xfrm>
            <a:off x="14802244" y="1298250"/>
            <a:ext cx="550750" cy="5040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D9018D9-6C99-A342-93EB-19413FF18F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6" name="TextBox 225">
            <a:extLst>
              <a:ext uri="{FF2B5EF4-FFF2-40B4-BE49-F238E27FC236}">
                <a16:creationId xmlns:a16="http://schemas.microsoft.com/office/drawing/2014/main" id="{43FB2341-F808-484D-9AAF-13E33B06D1ED}"/>
              </a:ext>
            </a:extLst>
          </xdr:cNvPr>
          <xdr:cNvSpPr txBox="1"/>
        </xdr:nvSpPr>
        <xdr:spPr>
          <a:xfrm>
            <a:off x="14710901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462610</xdr:colOff>
      <xdr:row>8</xdr:row>
      <xdr:rowOff>145482</xdr:rowOff>
    </xdr:from>
    <xdr:to>
      <xdr:col>18</xdr:col>
      <xdr:colOff>213430</xdr:colOff>
      <xdr:row>11</xdr:row>
      <xdr:rowOff>103325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4B75EDBE-5A68-A54C-A393-F14197597087}"/>
            </a:ext>
          </a:extLst>
        </xdr:cNvPr>
        <xdr:cNvGrpSpPr/>
      </xdr:nvGrpSpPr>
      <xdr:grpSpPr>
        <a:xfrm>
          <a:off x="14676027" y="1500149"/>
          <a:ext cx="586903" cy="465843"/>
          <a:chOff x="15722149" y="1298251"/>
          <a:chExt cx="590974" cy="485382"/>
        </a:xfrm>
      </xdr:grpSpPr>
      <xdr:sp macro="" textlink="Location1ANALYSIS!D15">
        <xdr:nvSpPr>
          <xdr:cNvPr id="227" name="TextBox 226">
            <a:extLst>
              <a:ext uri="{FF2B5EF4-FFF2-40B4-BE49-F238E27FC236}">
                <a16:creationId xmlns:a16="http://schemas.microsoft.com/office/drawing/2014/main" id="{E7285C50-403D-4FA4-A238-55626AC1494C}"/>
              </a:ext>
            </a:extLst>
          </xdr:cNvPr>
          <xdr:cNvSpPr txBox="1"/>
        </xdr:nvSpPr>
        <xdr:spPr>
          <a:xfrm>
            <a:off x="15722149" y="1298251"/>
            <a:ext cx="343931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5CC0C1E-EF86-DF45-BF78-E54E4906BE2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5">
        <xdr:nvSpPr>
          <xdr:cNvPr id="228" name="TextBox 227">
            <a:extLst>
              <a:ext uri="{FF2B5EF4-FFF2-40B4-BE49-F238E27FC236}">
                <a16:creationId xmlns:a16="http://schemas.microsoft.com/office/drawing/2014/main" id="{244FC5F4-5FD0-41DD-BAB2-F7165B73EBD7}"/>
              </a:ext>
            </a:extLst>
          </xdr:cNvPr>
          <xdr:cNvSpPr txBox="1"/>
        </xdr:nvSpPr>
        <xdr:spPr>
          <a:xfrm>
            <a:off x="16020904" y="1298251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B0A77C2-DCB5-6949-82A8-85136FF59F8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29" name="TextBox 228">
            <a:extLst>
              <a:ext uri="{FF2B5EF4-FFF2-40B4-BE49-F238E27FC236}">
                <a16:creationId xmlns:a16="http://schemas.microsoft.com/office/drawing/2014/main" id="{6F7ECC84-06AC-45AB-8446-83ABA032213D}"/>
              </a:ext>
            </a:extLst>
          </xdr:cNvPr>
          <xdr:cNvSpPr txBox="1"/>
        </xdr:nvSpPr>
        <xdr:spPr>
          <a:xfrm>
            <a:off x="15897386" y="1298251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230299</xdr:colOff>
      <xdr:row>8</xdr:row>
      <xdr:rowOff>145482</xdr:rowOff>
    </xdr:from>
    <xdr:to>
      <xdr:col>18</xdr:col>
      <xdr:colOff>779899</xdr:colOff>
      <xdr:row>11</xdr:row>
      <xdr:rowOff>103325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FABBB349-3BB1-B443-AEC2-2CF39E252D21}"/>
            </a:ext>
          </a:extLst>
        </xdr:cNvPr>
        <xdr:cNvGrpSpPr/>
      </xdr:nvGrpSpPr>
      <xdr:grpSpPr>
        <a:xfrm>
          <a:off x="15279799" y="1500149"/>
          <a:ext cx="549600" cy="465843"/>
          <a:chOff x="16740299" y="1298251"/>
          <a:chExt cx="549600" cy="485382"/>
        </a:xfrm>
      </xdr:grpSpPr>
      <xdr:sp macro="" textlink="Location1ANALYSIS!D18">
        <xdr:nvSpPr>
          <xdr:cNvPr id="230" name="TextBox 229">
            <a:extLst>
              <a:ext uri="{FF2B5EF4-FFF2-40B4-BE49-F238E27FC236}">
                <a16:creationId xmlns:a16="http://schemas.microsoft.com/office/drawing/2014/main" id="{2DBD8EF4-9BB5-4B69-AAB5-D1898F4891AC}"/>
              </a:ext>
            </a:extLst>
          </xdr:cNvPr>
          <xdr:cNvSpPr txBox="1"/>
        </xdr:nvSpPr>
        <xdr:spPr>
          <a:xfrm>
            <a:off x="16740299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1D331F9-F5A6-F34A-9C14-9A58A6BA0FF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8">
        <xdr:nvSpPr>
          <xdr:cNvPr id="231" name="TextBox 230">
            <a:extLst>
              <a:ext uri="{FF2B5EF4-FFF2-40B4-BE49-F238E27FC236}">
                <a16:creationId xmlns:a16="http://schemas.microsoft.com/office/drawing/2014/main" id="{E09800AE-5063-4BF2-A0D3-B8625588A126}"/>
              </a:ext>
            </a:extLst>
          </xdr:cNvPr>
          <xdr:cNvSpPr txBox="1"/>
        </xdr:nvSpPr>
        <xdr:spPr>
          <a:xfrm>
            <a:off x="17009746" y="1298251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ECE268-7617-2C40-91C4-034A9AAC322D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2" name="TextBox 231">
            <a:extLst>
              <a:ext uri="{FF2B5EF4-FFF2-40B4-BE49-F238E27FC236}">
                <a16:creationId xmlns:a16="http://schemas.microsoft.com/office/drawing/2014/main" id="{70AAB645-9F08-40DD-B1AC-0BDEAAA15DC4}"/>
              </a:ext>
            </a:extLst>
          </xdr:cNvPr>
          <xdr:cNvSpPr txBox="1"/>
        </xdr:nvSpPr>
        <xdr:spPr>
          <a:xfrm>
            <a:off x="16894262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675768</xdr:colOff>
      <xdr:row>13</xdr:row>
      <xdr:rowOff>104954</xdr:rowOff>
    </xdr:from>
    <xdr:to>
      <xdr:col>15</xdr:col>
      <xdr:colOff>445553</xdr:colOff>
      <xdr:row>16</xdr:row>
      <xdr:rowOff>62797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2D53EA9-2B77-5B41-A380-2AC31D2B2564}"/>
            </a:ext>
          </a:extLst>
        </xdr:cNvPr>
        <xdr:cNvGrpSpPr/>
      </xdr:nvGrpSpPr>
      <xdr:grpSpPr>
        <a:xfrm>
          <a:off x="12380935" y="2306287"/>
          <a:ext cx="605868" cy="497593"/>
          <a:chOff x="12301153" y="2381185"/>
          <a:chExt cx="609939" cy="485382"/>
        </a:xfrm>
      </xdr:grpSpPr>
      <xdr:sp macro="" textlink="Location1ANALYSIS!D5">
        <xdr:nvSpPr>
          <xdr:cNvPr id="233" name="TextBox 232">
            <a:extLst>
              <a:ext uri="{FF2B5EF4-FFF2-40B4-BE49-F238E27FC236}">
                <a16:creationId xmlns:a16="http://schemas.microsoft.com/office/drawing/2014/main" id="{CC4B171F-FD85-4AA4-AEF5-25F6BAB806BD}"/>
              </a:ext>
            </a:extLst>
          </xdr:cNvPr>
          <xdr:cNvSpPr txBox="1"/>
        </xdr:nvSpPr>
        <xdr:spPr>
          <a:xfrm>
            <a:off x="12301153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F8434A5-BAD7-F846-B6D6-B45EE693A7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5">
        <xdr:nvSpPr>
          <xdr:cNvPr id="234" name="TextBox 233">
            <a:extLst>
              <a:ext uri="{FF2B5EF4-FFF2-40B4-BE49-F238E27FC236}">
                <a16:creationId xmlns:a16="http://schemas.microsoft.com/office/drawing/2014/main" id="{005648C9-C672-4101-927D-088D7ED600DA}"/>
              </a:ext>
            </a:extLst>
          </xdr:cNvPr>
          <xdr:cNvSpPr txBox="1"/>
        </xdr:nvSpPr>
        <xdr:spPr>
          <a:xfrm>
            <a:off x="12618873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4DB3A72-327B-ED43-BD8B-166C2062FD6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5" name="TextBox 234">
            <a:extLst>
              <a:ext uri="{FF2B5EF4-FFF2-40B4-BE49-F238E27FC236}">
                <a16:creationId xmlns:a16="http://schemas.microsoft.com/office/drawing/2014/main" id="{F9104DE3-89AE-452C-861B-400DA56A2F23}"/>
              </a:ext>
            </a:extLst>
          </xdr:cNvPr>
          <xdr:cNvSpPr txBox="1"/>
        </xdr:nvSpPr>
        <xdr:spPr>
          <a:xfrm>
            <a:off x="12483352" y="2381185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677911</xdr:colOff>
      <xdr:row>13</xdr:row>
      <xdr:rowOff>104954</xdr:rowOff>
    </xdr:from>
    <xdr:to>
      <xdr:col>16</xdr:col>
      <xdr:colOff>438499</xdr:colOff>
      <xdr:row>16</xdr:row>
      <xdr:rowOff>62797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376A8E93-0543-4441-ACAA-763D0989E03D}"/>
            </a:ext>
          </a:extLst>
        </xdr:cNvPr>
        <xdr:cNvGrpSpPr/>
      </xdr:nvGrpSpPr>
      <xdr:grpSpPr>
        <a:xfrm>
          <a:off x="13219161" y="2306287"/>
          <a:ext cx="596671" cy="497593"/>
          <a:chOff x="13358373" y="2381185"/>
          <a:chExt cx="600742" cy="485382"/>
        </a:xfrm>
      </xdr:grpSpPr>
      <xdr:sp macro="" textlink="Location1ANALYSIS!D8">
        <xdr:nvSpPr>
          <xdr:cNvPr id="236" name="TextBox 235">
            <a:extLst>
              <a:ext uri="{FF2B5EF4-FFF2-40B4-BE49-F238E27FC236}">
                <a16:creationId xmlns:a16="http://schemas.microsoft.com/office/drawing/2014/main" id="{14BD09A4-516A-4922-990C-C3FCD9D7F6CF}"/>
              </a:ext>
            </a:extLst>
          </xdr:cNvPr>
          <xdr:cNvSpPr txBox="1"/>
        </xdr:nvSpPr>
        <xdr:spPr>
          <a:xfrm>
            <a:off x="13358373" y="2381185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2AC2EEE-5C7F-8748-A1EE-351EEDC6EB2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8">
        <xdr:nvSpPr>
          <xdr:cNvPr id="237" name="TextBox 236">
            <a:extLst>
              <a:ext uri="{FF2B5EF4-FFF2-40B4-BE49-F238E27FC236}">
                <a16:creationId xmlns:a16="http://schemas.microsoft.com/office/drawing/2014/main" id="{8B699F49-A0E8-4475-AB4E-0520526C226B}"/>
              </a:ext>
            </a:extLst>
          </xdr:cNvPr>
          <xdr:cNvSpPr txBox="1"/>
        </xdr:nvSpPr>
        <xdr:spPr>
          <a:xfrm>
            <a:off x="13666896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03B91DE-DF06-8E48-BB37-61E7536453B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38" name="TextBox 237">
            <a:extLst>
              <a:ext uri="{FF2B5EF4-FFF2-40B4-BE49-F238E27FC236}">
                <a16:creationId xmlns:a16="http://schemas.microsoft.com/office/drawing/2014/main" id="{C7DE74D3-13F2-4E04-BED7-6E0653B84774}"/>
              </a:ext>
            </a:extLst>
          </xdr:cNvPr>
          <xdr:cNvSpPr txBox="1"/>
        </xdr:nvSpPr>
        <xdr:spPr>
          <a:xfrm>
            <a:off x="13546244" y="2381185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526013</xdr:colOff>
      <xdr:row>13</xdr:row>
      <xdr:rowOff>104954</xdr:rowOff>
    </xdr:from>
    <xdr:to>
      <xdr:col>17</xdr:col>
      <xdr:colOff>306141</xdr:colOff>
      <xdr:row>16</xdr:row>
      <xdr:rowOff>62797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31126558-9352-0547-B65A-B625895C66A5}"/>
            </a:ext>
          </a:extLst>
        </xdr:cNvPr>
        <xdr:cNvGrpSpPr/>
      </xdr:nvGrpSpPr>
      <xdr:grpSpPr>
        <a:xfrm>
          <a:off x="13903346" y="2306287"/>
          <a:ext cx="616212" cy="497593"/>
          <a:chOff x="14525321" y="2381185"/>
          <a:chExt cx="620281" cy="485382"/>
        </a:xfrm>
      </xdr:grpSpPr>
      <xdr:sp macro="" textlink="Location1ANALYSIS!D11">
        <xdr:nvSpPr>
          <xdr:cNvPr id="239" name="TextBox 238">
            <a:extLst>
              <a:ext uri="{FF2B5EF4-FFF2-40B4-BE49-F238E27FC236}">
                <a16:creationId xmlns:a16="http://schemas.microsoft.com/office/drawing/2014/main" id="{76388BC5-9644-41CC-A846-F5391C9653C7}"/>
              </a:ext>
            </a:extLst>
          </xdr:cNvPr>
          <xdr:cNvSpPr txBox="1"/>
        </xdr:nvSpPr>
        <xdr:spPr>
          <a:xfrm>
            <a:off x="14525321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D945C53-4CE4-3F43-BCF9-9F2B5ED80808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1">
        <xdr:nvSpPr>
          <xdr:cNvPr id="240" name="TextBox 239">
            <a:extLst>
              <a:ext uri="{FF2B5EF4-FFF2-40B4-BE49-F238E27FC236}">
                <a16:creationId xmlns:a16="http://schemas.microsoft.com/office/drawing/2014/main" id="{C07D0315-F9CC-4201-ABF4-D4F8D2FB3CC1}"/>
              </a:ext>
            </a:extLst>
          </xdr:cNvPr>
          <xdr:cNvSpPr txBox="1"/>
        </xdr:nvSpPr>
        <xdr:spPr>
          <a:xfrm>
            <a:off x="14801672" y="2381185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DB41FD9-351D-8047-95FC-51F14A845181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1" name="TextBox 240">
            <a:extLst>
              <a:ext uri="{FF2B5EF4-FFF2-40B4-BE49-F238E27FC236}">
                <a16:creationId xmlns:a16="http://schemas.microsoft.com/office/drawing/2014/main" id="{0EB646B5-BDE5-40C7-ACA6-117C040FA714}"/>
              </a:ext>
            </a:extLst>
          </xdr:cNvPr>
          <xdr:cNvSpPr txBox="1"/>
        </xdr:nvSpPr>
        <xdr:spPr>
          <a:xfrm>
            <a:off x="14700558" y="2381185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481576</xdr:colOff>
      <xdr:row>13</xdr:row>
      <xdr:rowOff>104954</xdr:rowOff>
    </xdr:from>
    <xdr:to>
      <xdr:col>18</xdr:col>
      <xdr:colOff>191023</xdr:colOff>
      <xdr:row>16</xdr:row>
      <xdr:rowOff>62797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4121A156-9B9B-8B46-84A9-A7292CA3A2F1}"/>
            </a:ext>
          </a:extLst>
        </xdr:cNvPr>
        <xdr:cNvGrpSpPr/>
      </xdr:nvGrpSpPr>
      <xdr:grpSpPr>
        <a:xfrm>
          <a:off x="14694993" y="2306287"/>
          <a:ext cx="545530" cy="497593"/>
          <a:chOff x="15721576" y="2381185"/>
          <a:chExt cx="549601" cy="485382"/>
        </a:xfrm>
      </xdr:grpSpPr>
      <xdr:sp macro="" textlink="Location1ANALYSIS!D14">
        <xdr:nvSpPr>
          <xdr:cNvPr id="242" name="TextBox 241">
            <a:extLst>
              <a:ext uri="{FF2B5EF4-FFF2-40B4-BE49-F238E27FC236}">
                <a16:creationId xmlns:a16="http://schemas.microsoft.com/office/drawing/2014/main" id="{8F7098D2-0BE2-4745-9FE2-FED9BFEB3442}"/>
              </a:ext>
            </a:extLst>
          </xdr:cNvPr>
          <xdr:cNvSpPr txBox="1"/>
        </xdr:nvSpPr>
        <xdr:spPr>
          <a:xfrm>
            <a:off x="15721576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E003915-E655-4145-9D17-89E3155B686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4">
        <xdr:nvSpPr>
          <xdr:cNvPr id="243" name="TextBox 242">
            <a:extLst>
              <a:ext uri="{FF2B5EF4-FFF2-40B4-BE49-F238E27FC236}">
                <a16:creationId xmlns:a16="http://schemas.microsoft.com/office/drawing/2014/main" id="{61F96578-8D12-4082-BEAD-6E78A614487E}"/>
              </a:ext>
            </a:extLst>
          </xdr:cNvPr>
          <xdr:cNvSpPr txBox="1"/>
        </xdr:nvSpPr>
        <xdr:spPr>
          <a:xfrm>
            <a:off x="15991024" y="2381185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413D55-D4E1-DB4E-ABE6-ECCF544BBA6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4" name="TextBox 243">
            <a:extLst>
              <a:ext uri="{FF2B5EF4-FFF2-40B4-BE49-F238E27FC236}">
                <a16:creationId xmlns:a16="http://schemas.microsoft.com/office/drawing/2014/main" id="{9EAF227C-27EB-4E33-99EF-B1E2A02AE294}"/>
              </a:ext>
            </a:extLst>
          </xdr:cNvPr>
          <xdr:cNvSpPr txBox="1"/>
        </xdr:nvSpPr>
        <xdr:spPr>
          <a:xfrm>
            <a:off x="15877274" y="2381185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317649</xdr:colOff>
      <xdr:row>13</xdr:row>
      <xdr:rowOff>104954</xdr:rowOff>
    </xdr:from>
    <xdr:to>
      <xdr:col>19</xdr:col>
      <xdr:colOff>39162</xdr:colOff>
      <xdr:row>16</xdr:row>
      <xdr:rowOff>62797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29A2EEA9-BF91-1245-BF4B-D39262014D8C}"/>
            </a:ext>
          </a:extLst>
        </xdr:cNvPr>
        <xdr:cNvGrpSpPr/>
      </xdr:nvGrpSpPr>
      <xdr:grpSpPr>
        <a:xfrm>
          <a:off x="15367149" y="2306287"/>
          <a:ext cx="557596" cy="497593"/>
          <a:chOff x="16729956" y="2381185"/>
          <a:chExt cx="561667" cy="485382"/>
        </a:xfrm>
      </xdr:grpSpPr>
      <xdr:sp macro="" textlink="Location1ANALYSIS!D17">
        <xdr:nvSpPr>
          <xdr:cNvPr id="245" name="TextBox 244">
            <a:extLst>
              <a:ext uri="{FF2B5EF4-FFF2-40B4-BE49-F238E27FC236}">
                <a16:creationId xmlns:a16="http://schemas.microsoft.com/office/drawing/2014/main" id="{E5B3B2AC-D652-46EB-BE47-90EDD73EDC7E}"/>
              </a:ext>
            </a:extLst>
          </xdr:cNvPr>
          <xdr:cNvSpPr txBox="1"/>
        </xdr:nvSpPr>
        <xdr:spPr>
          <a:xfrm>
            <a:off x="16729956" y="2381185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9E8D2D4-E496-1841-8C19-CD5637A2F21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7">
        <xdr:nvSpPr>
          <xdr:cNvPr id="246" name="TextBox 245">
            <a:extLst>
              <a:ext uri="{FF2B5EF4-FFF2-40B4-BE49-F238E27FC236}">
                <a16:creationId xmlns:a16="http://schemas.microsoft.com/office/drawing/2014/main" id="{9A797607-46E1-4362-9A8A-129E605AC02C}"/>
              </a:ext>
            </a:extLst>
          </xdr:cNvPr>
          <xdr:cNvSpPr txBox="1"/>
        </xdr:nvSpPr>
        <xdr:spPr>
          <a:xfrm>
            <a:off x="16999404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2F84CC-60F1-5241-86E3-2B4C465B488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47" name="TextBox 246">
            <a:extLst>
              <a:ext uri="{FF2B5EF4-FFF2-40B4-BE49-F238E27FC236}">
                <a16:creationId xmlns:a16="http://schemas.microsoft.com/office/drawing/2014/main" id="{FCC00519-9128-4FC8-BE57-244F8C479131}"/>
              </a:ext>
            </a:extLst>
          </xdr:cNvPr>
          <xdr:cNvSpPr txBox="1"/>
        </xdr:nvSpPr>
        <xdr:spPr>
          <a:xfrm>
            <a:off x="16883919" y="2381185"/>
            <a:ext cx="280153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460845</xdr:colOff>
      <xdr:row>18</xdr:row>
      <xdr:rowOff>151471</xdr:rowOff>
    </xdr:from>
    <xdr:to>
      <xdr:col>15</xdr:col>
      <xdr:colOff>237524</xdr:colOff>
      <xdr:row>21</xdr:row>
      <xdr:rowOff>119084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56F66F37-0AD3-0F4C-B15B-8E9C62FC73EE}"/>
            </a:ext>
          </a:extLst>
        </xdr:cNvPr>
        <xdr:cNvGrpSpPr/>
      </xdr:nvGrpSpPr>
      <xdr:grpSpPr>
        <a:xfrm>
          <a:off x="12166012" y="3241804"/>
          <a:ext cx="612762" cy="475613"/>
          <a:chOff x="12301153" y="3473009"/>
          <a:chExt cx="616833" cy="485382"/>
        </a:xfrm>
      </xdr:grpSpPr>
      <xdr:sp macro="" textlink="Location1ANALYSIS!D4">
        <xdr:nvSpPr>
          <xdr:cNvPr id="248" name="TextBox 247">
            <a:extLst>
              <a:ext uri="{FF2B5EF4-FFF2-40B4-BE49-F238E27FC236}">
                <a16:creationId xmlns:a16="http://schemas.microsoft.com/office/drawing/2014/main" id="{172B58D6-8A17-434A-913D-E2896AFBF6B2}"/>
              </a:ext>
            </a:extLst>
          </xdr:cNvPr>
          <xdr:cNvSpPr txBox="1"/>
        </xdr:nvSpPr>
        <xdr:spPr>
          <a:xfrm>
            <a:off x="12301153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7E2AED-CE48-A742-8F4D-C47F9F2DC28D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4">
        <xdr:nvSpPr>
          <xdr:cNvPr id="249" name="TextBox 248">
            <a:extLst>
              <a:ext uri="{FF2B5EF4-FFF2-40B4-BE49-F238E27FC236}">
                <a16:creationId xmlns:a16="http://schemas.microsoft.com/office/drawing/2014/main" id="{43A5BA42-600F-4B31-B5B4-D89A15BC2428}"/>
              </a:ext>
            </a:extLst>
          </xdr:cNvPr>
          <xdr:cNvSpPr txBox="1"/>
        </xdr:nvSpPr>
        <xdr:spPr>
          <a:xfrm>
            <a:off x="12625767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17F2003-412E-0342-B70C-1CE8DC776E71}" type="TxLink"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0" name="TextBox 249">
            <a:extLst>
              <a:ext uri="{FF2B5EF4-FFF2-40B4-BE49-F238E27FC236}">
                <a16:creationId xmlns:a16="http://schemas.microsoft.com/office/drawing/2014/main" id="{1B9ECA7C-8D51-4249-A021-AF8640D17239}"/>
              </a:ext>
            </a:extLst>
          </xdr:cNvPr>
          <xdr:cNvSpPr txBox="1"/>
        </xdr:nvSpPr>
        <xdr:spPr>
          <a:xfrm>
            <a:off x="12490247" y="3473009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577345</xdr:colOff>
      <xdr:row>18</xdr:row>
      <xdr:rowOff>151470</xdr:rowOff>
    </xdr:from>
    <xdr:to>
      <xdr:col>16</xdr:col>
      <xdr:colOff>328164</xdr:colOff>
      <xdr:row>21</xdr:row>
      <xdr:rowOff>119083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4EDC6D12-16CB-5845-8FE4-1DD2461F9BD1}"/>
            </a:ext>
          </a:extLst>
        </xdr:cNvPr>
        <xdr:cNvGrpSpPr/>
      </xdr:nvGrpSpPr>
      <xdr:grpSpPr>
        <a:xfrm>
          <a:off x="13118595" y="3241803"/>
          <a:ext cx="586902" cy="475613"/>
          <a:chOff x="13375037" y="3473009"/>
          <a:chExt cx="590973" cy="485382"/>
        </a:xfrm>
      </xdr:grpSpPr>
      <xdr:sp macro="" textlink="Location1ANALYSIS!D7">
        <xdr:nvSpPr>
          <xdr:cNvPr id="251" name="TextBox 250">
            <a:extLst>
              <a:ext uri="{FF2B5EF4-FFF2-40B4-BE49-F238E27FC236}">
                <a16:creationId xmlns:a16="http://schemas.microsoft.com/office/drawing/2014/main" id="{2712C174-20E5-4FC5-9667-EFF7F5EFDD11}"/>
              </a:ext>
            </a:extLst>
          </xdr:cNvPr>
          <xdr:cNvSpPr txBox="1"/>
        </xdr:nvSpPr>
        <xdr:spPr>
          <a:xfrm>
            <a:off x="13375037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E6DAE6-E22A-1043-931F-450A5896F16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7">
        <xdr:nvSpPr>
          <xdr:cNvPr id="252" name="TextBox 251">
            <a:extLst>
              <a:ext uri="{FF2B5EF4-FFF2-40B4-BE49-F238E27FC236}">
                <a16:creationId xmlns:a16="http://schemas.microsoft.com/office/drawing/2014/main" id="{C2D2A02A-9866-4C95-B095-CDA3EA4295C5}"/>
              </a:ext>
            </a:extLst>
          </xdr:cNvPr>
          <xdr:cNvSpPr txBox="1"/>
        </xdr:nvSpPr>
        <xdr:spPr>
          <a:xfrm>
            <a:off x="13673791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7766F17-0B49-0547-B094-8C323EC27E2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3" name="TextBox 252">
            <a:extLst>
              <a:ext uri="{FF2B5EF4-FFF2-40B4-BE49-F238E27FC236}">
                <a16:creationId xmlns:a16="http://schemas.microsoft.com/office/drawing/2014/main" id="{C87AE097-EFA8-4A2D-BFAC-1A6267F402D2}"/>
              </a:ext>
            </a:extLst>
          </xdr:cNvPr>
          <xdr:cNvSpPr txBox="1"/>
        </xdr:nvSpPr>
        <xdr:spPr>
          <a:xfrm>
            <a:off x="13553139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513369</xdr:colOff>
      <xdr:row>18</xdr:row>
      <xdr:rowOff>161240</xdr:rowOff>
    </xdr:from>
    <xdr:to>
      <xdr:col>17</xdr:col>
      <xdr:colOff>281431</xdr:colOff>
      <xdr:row>21</xdr:row>
      <xdr:rowOff>128853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FC306D76-FC9D-294F-80F4-77245688507E}"/>
            </a:ext>
          </a:extLst>
        </xdr:cNvPr>
        <xdr:cNvGrpSpPr/>
      </xdr:nvGrpSpPr>
      <xdr:grpSpPr>
        <a:xfrm>
          <a:off x="13890702" y="3251573"/>
          <a:ext cx="604146" cy="475613"/>
          <a:chOff x="14532216" y="3473009"/>
          <a:chExt cx="608215" cy="485382"/>
        </a:xfrm>
      </xdr:grpSpPr>
      <xdr:sp macro="" textlink="Location1ANALYSIS!D10">
        <xdr:nvSpPr>
          <xdr:cNvPr id="254" name="TextBox 253">
            <a:extLst>
              <a:ext uri="{FF2B5EF4-FFF2-40B4-BE49-F238E27FC236}">
                <a16:creationId xmlns:a16="http://schemas.microsoft.com/office/drawing/2014/main" id="{069814BF-1CCA-4E72-B5CF-002C2E6A824F}"/>
              </a:ext>
            </a:extLst>
          </xdr:cNvPr>
          <xdr:cNvSpPr txBox="1"/>
        </xdr:nvSpPr>
        <xdr:spPr>
          <a:xfrm>
            <a:off x="14532216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82DDFCB-A51B-9D4B-9D4B-919D13480E7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0">
        <xdr:nvSpPr>
          <xdr:cNvPr id="255" name="TextBox 254">
            <a:extLst>
              <a:ext uri="{FF2B5EF4-FFF2-40B4-BE49-F238E27FC236}">
                <a16:creationId xmlns:a16="http://schemas.microsoft.com/office/drawing/2014/main" id="{17EE2E17-19BC-4D94-922E-CAEE734ED803}"/>
              </a:ext>
            </a:extLst>
          </xdr:cNvPr>
          <xdr:cNvSpPr txBox="1"/>
        </xdr:nvSpPr>
        <xdr:spPr>
          <a:xfrm>
            <a:off x="14808567" y="3473009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C5E5DA-ABCA-204B-A526-875CD49E427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6" name="TextBox 255">
            <a:extLst>
              <a:ext uri="{FF2B5EF4-FFF2-40B4-BE49-F238E27FC236}">
                <a16:creationId xmlns:a16="http://schemas.microsoft.com/office/drawing/2014/main" id="{9E89AB57-C6D7-4CDD-9DCD-135AF4ABD799}"/>
              </a:ext>
            </a:extLst>
          </xdr:cNvPr>
          <xdr:cNvSpPr txBox="1"/>
        </xdr:nvSpPr>
        <xdr:spPr>
          <a:xfrm>
            <a:off x="14707453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508009</xdr:colOff>
      <xdr:row>18</xdr:row>
      <xdr:rowOff>151471</xdr:rowOff>
    </xdr:from>
    <xdr:to>
      <xdr:col>18</xdr:col>
      <xdr:colOff>229522</xdr:colOff>
      <xdr:row>21</xdr:row>
      <xdr:rowOff>119084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9D72FF60-14B5-6040-90EF-5AB52CDAA57B}"/>
            </a:ext>
          </a:extLst>
        </xdr:cNvPr>
        <xdr:cNvGrpSpPr/>
      </xdr:nvGrpSpPr>
      <xdr:grpSpPr>
        <a:xfrm>
          <a:off x="14721426" y="3241804"/>
          <a:ext cx="557596" cy="475613"/>
          <a:chOff x="15728470" y="3473009"/>
          <a:chExt cx="561667" cy="485382"/>
        </a:xfrm>
      </xdr:grpSpPr>
      <xdr:sp macro="" textlink="Location1ANALYSIS!D13">
        <xdr:nvSpPr>
          <xdr:cNvPr id="257" name="TextBox 256">
            <a:extLst>
              <a:ext uri="{FF2B5EF4-FFF2-40B4-BE49-F238E27FC236}">
                <a16:creationId xmlns:a16="http://schemas.microsoft.com/office/drawing/2014/main" id="{799B43CE-DC1B-49AB-94B9-A78400E8D06C}"/>
              </a:ext>
            </a:extLst>
          </xdr:cNvPr>
          <xdr:cNvSpPr txBox="1"/>
        </xdr:nvSpPr>
        <xdr:spPr>
          <a:xfrm>
            <a:off x="15728470" y="3473009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71402C7-CC5D-3144-B539-F9AC3960C35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3">
        <xdr:nvSpPr>
          <xdr:cNvPr id="258" name="TextBox 257">
            <a:extLst>
              <a:ext uri="{FF2B5EF4-FFF2-40B4-BE49-F238E27FC236}">
                <a16:creationId xmlns:a16="http://schemas.microsoft.com/office/drawing/2014/main" id="{E7097AEE-17DD-44F9-82B1-E2EA7FD359E8}"/>
              </a:ext>
            </a:extLst>
          </xdr:cNvPr>
          <xdr:cNvSpPr txBox="1"/>
        </xdr:nvSpPr>
        <xdr:spPr>
          <a:xfrm>
            <a:off x="1599791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E441007-B87A-054E-AA0B-23F057F093F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59" name="TextBox 258">
            <a:extLst>
              <a:ext uri="{FF2B5EF4-FFF2-40B4-BE49-F238E27FC236}">
                <a16:creationId xmlns:a16="http://schemas.microsoft.com/office/drawing/2014/main" id="{D2E82038-7F85-489D-8FE4-EA3A436934FD}"/>
              </a:ext>
            </a:extLst>
          </xdr:cNvPr>
          <xdr:cNvSpPr txBox="1"/>
        </xdr:nvSpPr>
        <xdr:spPr>
          <a:xfrm>
            <a:off x="15893938" y="3473009"/>
            <a:ext cx="331865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422236</xdr:colOff>
      <xdr:row>18</xdr:row>
      <xdr:rowOff>131932</xdr:rowOff>
    </xdr:from>
    <xdr:to>
      <xdr:col>19</xdr:col>
      <xdr:colOff>143748</xdr:colOff>
      <xdr:row>21</xdr:row>
      <xdr:rowOff>99545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D0BDD7B-790A-F343-AA6C-6C158C4BF52B}"/>
            </a:ext>
          </a:extLst>
        </xdr:cNvPr>
        <xdr:cNvGrpSpPr/>
      </xdr:nvGrpSpPr>
      <xdr:grpSpPr>
        <a:xfrm>
          <a:off x="15471736" y="3222265"/>
          <a:ext cx="557595" cy="475613"/>
          <a:chOff x="16736851" y="3473009"/>
          <a:chExt cx="561666" cy="485382"/>
        </a:xfrm>
      </xdr:grpSpPr>
      <xdr:sp macro="" textlink="Location1ANALYSIS!D16">
        <xdr:nvSpPr>
          <xdr:cNvPr id="260" name="TextBox 259">
            <a:extLst>
              <a:ext uri="{FF2B5EF4-FFF2-40B4-BE49-F238E27FC236}">
                <a16:creationId xmlns:a16="http://schemas.microsoft.com/office/drawing/2014/main" id="{4015A293-538C-4E73-9A61-EE526571A364}"/>
              </a:ext>
            </a:extLst>
          </xdr:cNvPr>
          <xdr:cNvSpPr txBox="1"/>
        </xdr:nvSpPr>
        <xdr:spPr>
          <a:xfrm>
            <a:off x="16736851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1724522-B966-AE47-8A07-971D25A5F19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6">
        <xdr:nvSpPr>
          <xdr:cNvPr id="261" name="TextBox 260">
            <a:extLst>
              <a:ext uri="{FF2B5EF4-FFF2-40B4-BE49-F238E27FC236}">
                <a16:creationId xmlns:a16="http://schemas.microsoft.com/office/drawing/2014/main" id="{2BA09329-CA92-4763-932D-5BE43DA227DD}"/>
              </a:ext>
            </a:extLst>
          </xdr:cNvPr>
          <xdr:cNvSpPr txBox="1"/>
        </xdr:nvSpPr>
        <xdr:spPr>
          <a:xfrm>
            <a:off x="1700629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56C4239-7594-7A46-9818-F7BBD36B4B1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262" name="TextBox 261">
            <a:extLst>
              <a:ext uri="{FF2B5EF4-FFF2-40B4-BE49-F238E27FC236}">
                <a16:creationId xmlns:a16="http://schemas.microsoft.com/office/drawing/2014/main" id="{07C6CFA1-AB0A-4654-AEEE-C6F6CC2B55DF}"/>
              </a:ext>
            </a:extLst>
          </xdr:cNvPr>
          <xdr:cNvSpPr txBox="1"/>
        </xdr:nvSpPr>
        <xdr:spPr>
          <a:xfrm>
            <a:off x="16890814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21211</xdr:colOff>
      <xdr:row>31</xdr:row>
      <xdr:rowOff>146297</xdr:rowOff>
    </xdr:from>
    <xdr:to>
      <xdr:col>16</xdr:col>
      <xdr:colOff>623682</xdr:colOff>
      <xdr:row>34</xdr:row>
      <xdr:rowOff>133448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6549AD8C-E4CB-CD4D-91E0-440FBE81D9B6}"/>
            </a:ext>
          </a:extLst>
        </xdr:cNvPr>
        <xdr:cNvGrpSpPr/>
      </xdr:nvGrpSpPr>
      <xdr:grpSpPr>
        <a:xfrm>
          <a:off x="13398544" y="5480297"/>
          <a:ext cx="602471" cy="526901"/>
          <a:chOff x="12301153" y="5353296"/>
          <a:chExt cx="602471" cy="485382"/>
        </a:xfrm>
      </xdr:grpSpPr>
      <xdr:sp macro="" textlink="Location2ANALYSIS!D9">
        <xdr:nvSpPr>
          <xdr:cNvPr id="264" name="TextBox 263">
            <a:extLst>
              <a:ext uri="{FF2B5EF4-FFF2-40B4-BE49-F238E27FC236}">
                <a16:creationId xmlns:a16="http://schemas.microsoft.com/office/drawing/2014/main" id="{5A54011C-72C5-4D93-A959-CCD037957704}"/>
              </a:ext>
            </a:extLst>
          </xdr:cNvPr>
          <xdr:cNvSpPr txBox="1"/>
        </xdr:nvSpPr>
        <xdr:spPr>
          <a:xfrm>
            <a:off x="12301153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819D73B-7D6E-A04D-90A9-A4ACDE85C94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9">
        <xdr:nvSpPr>
          <xdr:cNvPr id="265" name="TextBox 264">
            <a:extLst>
              <a:ext uri="{FF2B5EF4-FFF2-40B4-BE49-F238E27FC236}">
                <a16:creationId xmlns:a16="http://schemas.microsoft.com/office/drawing/2014/main" id="{2403A7C9-A0DB-4E4D-B8B1-74C0C6691AB8}"/>
              </a:ext>
            </a:extLst>
          </xdr:cNvPr>
          <xdr:cNvSpPr txBox="1"/>
        </xdr:nvSpPr>
        <xdr:spPr>
          <a:xfrm>
            <a:off x="12611405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D44087C-CA1F-844A-A26B-BD78ABE2A27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348" name="TextBox 347">
            <a:extLst>
              <a:ext uri="{FF2B5EF4-FFF2-40B4-BE49-F238E27FC236}">
                <a16:creationId xmlns:a16="http://schemas.microsoft.com/office/drawing/2014/main" id="{AD3FFB3C-66C3-4B76-BD23-8B0C1F3634FA}"/>
              </a:ext>
            </a:extLst>
          </xdr:cNvPr>
          <xdr:cNvSpPr txBox="1"/>
        </xdr:nvSpPr>
        <xdr:spPr>
          <a:xfrm>
            <a:off x="1246611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16</xdr:col>
      <xdr:colOff>643423</xdr:colOff>
      <xdr:row>31</xdr:row>
      <xdr:rowOff>146297</xdr:rowOff>
    </xdr:from>
    <xdr:to>
      <xdr:col>17</xdr:col>
      <xdr:colOff>374705</xdr:colOff>
      <xdr:row>34</xdr:row>
      <xdr:rowOff>133448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F8B10D8A-2C0C-6E43-835A-7371DF9EAC3F}"/>
            </a:ext>
          </a:extLst>
        </xdr:cNvPr>
        <xdr:cNvGrpSpPr/>
      </xdr:nvGrpSpPr>
      <xdr:grpSpPr>
        <a:xfrm>
          <a:off x="14020756" y="5480297"/>
          <a:ext cx="567366" cy="526901"/>
          <a:chOff x="13362976" y="5353296"/>
          <a:chExt cx="571435" cy="485382"/>
        </a:xfrm>
      </xdr:grpSpPr>
      <xdr:sp macro="" textlink="Location2ANALYSIS!D12">
        <xdr:nvSpPr>
          <xdr:cNvPr id="266" name="TextBox 265">
            <a:extLst>
              <a:ext uri="{FF2B5EF4-FFF2-40B4-BE49-F238E27FC236}">
                <a16:creationId xmlns:a16="http://schemas.microsoft.com/office/drawing/2014/main" id="{3DE50D71-6E5E-4BDC-ACA1-592616E0782C}"/>
              </a:ext>
            </a:extLst>
          </xdr:cNvPr>
          <xdr:cNvSpPr txBox="1"/>
        </xdr:nvSpPr>
        <xdr:spPr>
          <a:xfrm>
            <a:off x="13362976" y="5353296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3F5DF4D-6497-9749-9A99-AFBE826C9F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2">
        <xdr:nvSpPr>
          <xdr:cNvPr id="267" name="TextBox 266">
            <a:extLst>
              <a:ext uri="{FF2B5EF4-FFF2-40B4-BE49-F238E27FC236}">
                <a16:creationId xmlns:a16="http://schemas.microsoft.com/office/drawing/2014/main" id="{65D4F33C-9799-4545-89F4-0A8B179FE632}"/>
              </a:ext>
            </a:extLst>
          </xdr:cNvPr>
          <xdr:cNvSpPr txBox="1"/>
        </xdr:nvSpPr>
        <xdr:spPr>
          <a:xfrm>
            <a:off x="13642192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DE9A7D-B3A0-0649-A5AB-B6FF71CC88B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49" name="TextBox 348">
            <a:extLst>
              <a:ext uri="{FF2B5EF4-FFF2-40B4-BE49-F238E27FC236}">
                <a16:creationId xmlns:a16="http://schemas.microsoft.com/office/drawing/2014/main" id="{487AC668-A109-436A-8825-BD38CDF05EED}"/>
              </a:ext>
            </a:extLst>
          </xdr:cNvPr>
          <xdr:cNvSpPr txBox="1"/>
        </xdr:nvSpPr>
        <xdr:spPr>
          <a:xfrm>
            <a:off x="13521540" y="5353296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538068</xdr:colOff>
      <xdr:row>31</xdr:row>
      <xdr:rowOff>146297</xdr:rowOff>
    </xdr:from>
    <xdr:to>
      <xdr:col>18</xdr:col>
      <xdr:colOff>308426</xdr:colOff>
      <xdr:row>34</xdr:row>
      <xdr:rowOff>133448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4848A08D-452F-0F4A-8DC5-E7380731D90C}"/>
            </a:ext>
          </a:extLst>
        </xdr:cNvPr>
        <xdr:cNvGrpSpPr/>
      </xdr:nvGrpSpPr>
      <xdr:grpSpPr>
        <a:xfrm>
          <a:off x="14751485" y="5480297"/>
          <a:ext cx="606441" cy="526901"/>
          <a:chOff x="14517854" y="5353296"/>
          <a:chExt cx="610512" cy="485382"/>
        </a:xfrm>
      </xdr:grpSpPr>
      <xdr:sp macro="" textlink="Location2ANALYSIS!D15">
        <xdr:nvSpPr>
          <xdr:cNvPr id="268" name="TextBox 267">
            <a:extLst>
              <a:ext uri="{FF2B5EF4-FFF2-40B4-BE49-F238E27FC236}">
                <a16:creationId xmlns:a16="http://schemas.microsoft.com/office/drawing/2014/main" id="{1B8005DA-2059-4209-A5D7-3FDA9BCCB03E}"/>
              </a:ext>
            </a:extLst>
          </xdr:cNvPr>
          <xdr:cNvSpPr txBox="1"/>
        </xdr:nvSpPr>
        <xdr:spPr>
          <a:xfrm>
            <a:off x="14517854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4E4DF85-C98D-C748-882B-6E272317792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5">
        <xdr:nvSpPr>
          <xdr:cNvPr id="269" name="TextBox 268">
            <a:extLst>
              <a:ext uri="{FF2B5EF4-FFF2-40B4-BE49-F238E27FC236}">
                <a16:creationId xmlns:a16="http://schemas.microsoft.com/office/drawing/2014/main" id="{0E121689-5318-42E8-B5EC-17F33A5D4AE1}"/>
              </a:ext>
            </a:extLst>
          </xdr:cNvPr>
          <xdr:cNvSpPr txBox="1"/>
        </xdr:nvSpPr>
        <xdr:spPr>
          <a:xfrm>
            <a:off x="14784436" y="5353296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2E127C-6225-3A42-8A78-BD377D9A43F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6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0" name="TextBox 349">
            <a:extLst>
              <a:ext uri="{FF2B5EF4-FFF2-40B4-BE49-F238E27FC236}">
                <a16:creationId xmlns:a16="http://schemas.microsoft.com/office/drawing/2014/main" id="{727AF73F-4983-4F0E-BAE2-F5EDBBD3C449}"/>
              </a:ext>
            </a:extLst>
          </xdr:cNvPr>
          <xdr:cNvSpPr txBox="1"/>
        </xdr:nvSpPr>
        <xdr:spPr>
          <a:xfrm>
            <a:off x="14683322" y="5353296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308017</xdr:colOff>
      <xdr:row>31</xdr:row>
      <xdr:rowOff>146297</xdr:rowOff>
    </xdr:from>
    <xdr:to>
      <xdr:col>19</xdr:col>
      <xdr:colOff>17464</xdr:colOff>
      <xdr:row>34</xdr:row>
      <xdr:rowOff>133448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289DAB7D-F58F-F645-8E4C-F195C6C4992D}"/>
            </a:ext>
          </a:extLst>
        </xdr:cNvPr>
        <xdr:cNvGrpSpPr/>
      </xdr:nvGrpSpPr>
      <xdr:grpSpPr>
        <a:xfrm>
          <a:off x="15357517" y="5480297"/>
          <a:ext cx="545530" cy="526901"/>
          <a:chOff x="15704339" y="5353296"/>
          <a:chExt cx="549601" cy="485382"/>
        </a:xfrm>
      </xdr:grpSpPr>
      <xdr:sp macro="" textlink="Location2ANALYSIS!D18">
        <xdr:nvSpPr>
          <xdr:cNvPr id="270" name="TextBox 269">
            <a:extLst>
              <a:ext uri="{FF2B5EF4-FFF2-40B4-BE49-F238E27FC236}">
                <a16:creationId xmlns:a16="http://schemas.microsoft.com/office/drawing/2014/main" id="{A3E9DC29-CB02-48D4-8656-3B072124B6AA}"/>
              </a:ext>
            </a:extLst>
          </xdr:cNvPr>
          <xdr:cNvSpPr txBox="1"/>
        </xdr:nvSpPr>
        <xdr:spPr>
          <a:xfrm>
            <a:off x="15704339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FA21256-6E6A-804B-BEF7-CB1C19E2802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8">
        <xdr:nvSpPr>
          <xdr:cNvPr id="271" name="TextBox 270">
            <a:extLst>
              <a:ext uri="{FF2B5EF4-FFF2-40B4-BE49-F238E27FC236}">
                <a16:creationId xmlns:a16="http://schemas.microsoft.com/office/drawing/2014/main" id="{3FDDAAD9-F9F9-4B2F-95A4-DBB511D5FE20}"/>
              </a:ext>
            </a:extLst>
          </xdr:cNvPr>
          <xdr:cNvSpPr txBox="1"/>
        </xdr:nvSpPr>
        <xdr:spPr>
          <a:xfrm>
            <a:off x="15973787" y="5353296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4DD1DDE-C8BC-C548-B69E-E5FD603081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1" name="TextBox 350">
            <a:extLst>
              <a:ext uri="{FF2B5EF4-FFF2-40B4-BE49-F238E27FC236}">
                <a16:creationId xmlns:a16="http://schemas.microsoft.com/office/drawing/2014/main" id="{315CBA61-A892-4CFF-B915-80970936E60E}"/>
              </a:ext>
            </a:extLst>
          </xdr:cNvPr>
          <xdr:cNvSpPr txBox="1"/>
        </xdr:nvSpPr>
        <xdr:spPr>
          <a:xfrm>
            <a:off x="1587957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183167</xdr:colOff>
      <xdr:row>31</xdr:row>
      <xdr:rowOff>146297</xdr:rowOff>
    </xdr:from>
    <xdr:to>
      <xdr:col>19</xdr:col>
      <xdr:colOff>744833</xdr:colOff>
      <xdr:row>34</xdr:row>
      <xdr:rowOff>133448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A7CF5BA-0DF4-1649-8A21-F59EB4C939B3}"/>
            </a:ext>
          </a:extLst>
        </xdr:cNvPr>
        <xdr:cNvGrpSpPr/>
      </xdr:nvGrpSpPr>
      <xdr:grpSpPr>
        <a:xfrm>
          <a:off x="16068750" y="5480297"/>
          <a:ext cx="561666" cy="526901"/>
          <a:chOff x="16624799" y="5353296"/>
          <a:chExt cx="561666" cy="485382"/>
        </a:xfrm>
      </xdr:grpSpPr>
      <xdr:sp macro="" textlink="Location2ANALYSIS!D21">
        <xdr:nvSpPr>
          <xdr:cNvPr id="272" name="TextBox 271">
            <a:extLst>
              <a:ext uri="{FF2B5EF4-FFF2-40B4-BE49-F238E27FC236}">
                <a16:creationId xmlns:a16="http://schemas.microsoft.com/office/drawing/2014/main" id="{2B5AD4B7-C8D5-428C-BC93-A6B184FE98F5}"/>
              </a:ext>
            </a:extLst>
          </xdr:cNvPr>
          <xdr:cNvSpPr txBox="1"/>
        </xdr:nvSpPr>
        <xdr:spPr>
          <a:xfrm>
            <a:off x="16624799" y="5353296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E2B01D-5BFF-814E-8B6F-35FC301B042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21">
        <xdr:nvSpPr>
          <xdr:cNvPr id="273" name="TextBox 272">
            <a:extLst>
              <a:ext uri="{FF2B5EF4-FFF2-40B4-BE49-F238E27FC236}">
                <a16:creationId xmlns:a16="http://schemas.microsoft.com/office/drawing/2014/main" id="{D861D70A-EAD9-4278-A93D-495F2FB84031}"/>
              </a:ext>
            </a:extLst>
          </xdr:cNvPr>
          <xdr:cNvSpPr txBox="1"/>
        </xdr:nvSpPr>
        <xdr:spPr>
          <a:xfrm>
            <a:off x="16894246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24C7367-E47F-7942-B666-1DFDF3B2F1A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2" name="TextBox 351">
            <a:extLst>
              <a:ext uri="{FF2B5EF4-FFF2-40B4-BE49-F238E27FC236}">
                <a16:creationId xmlns:a16="http://schemas.microsoft.com/office/drawing/2014/main" id="{D0A726B3-C3C7-4DB9-A4F1-76C587ED1BCD}"/>
              </a:ext>
            </a:extLst>
          </xdr:cNvPr>
          <xdr:cNvSpPr txBox="1"/>
        </xdr:nvSpPr>
        <xdr:spPr>
          <a:xfrm>
            <a:off x="16780498" y="5353296"/>
            <a:ext cx="331864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763672</xdr:colOff>
      <xdr:row>36</xdr:row>
      <xdr:rowOff>135075</xdr:rowOff>
    </xdr:from>
    <xdr:to>
      <xdr:col>16</xdr:col>
      <xdr:colOff>515647</xdr:colOff>
      <xdr:row>39</xdr:row>
      <xdr:rowOff>122226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06CEE4DF-0E2C-7C42-ACF9-750D78CEFF78}"/>
            </a:ext>
          </a:extLst>
        </xdr:cNvPr>
        <xdr:cNvGrpSpPr/>
      </xdr:nvGrpSpPr>
      <xdr:grpSpPr>
        <a:xfrm>
          <a:off x="13304922" y="6368658"/>
          <a:ext cx="588058" cy="526901"/>
          <a:chOff x="12301153" y="6436230"/>
          <a:chExt cx="592129" cy="485382"/>
        </a:xfrm>
      </xdr:grpSpPr>
      <xdr:sp macro="" textlink="Location2ANALYSIS!D8">
        <xdr:nvSpPr>
          <xdr:cNvPr id="274" name="TextBox 273">
            <a:extLst>
              <a:ext uri="{FF2B5EF4-FFF2-40B4-BE49-F238E27FC236}">
                <a16:creationId xmlns:a16="http://schemas.microsoft.com/office/drawing/2014/main" id="{E2D3B861-B20A-4741-831D-0B7AFF2B04FE}"/>
              </a:ext>
            </a:extLst>
          </xdr:cNvPr>
          <xdr:cNvSpPr txBox="1"/>
        </xdr:nvSpPr>
        <xdr:spPr>
          <a:xfrm>
            <a:off x="1230115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447E777-0300-AC42-A3FD-BEEAAC71A0C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8">
        <xdr:nvSpPr>
          <xdr:cNvPr id="275" name="TextBox 274">
            <a:extLst>
              <a:ext uri="{FF2B5EF4-FFF2-40B4-BE49-F238E27FC236}">
                <a16:creationId xmlns:a16="http://schemas.microsoft.com/office/drawing/2014/main" id="{B92FBEE6-1D15-44C3-BB47-818192AC68ED}"/>
              </a:ext>
            </a:extLst>
          </xdr:cNvPr>
          <xdr:cNvSpPr txBox="1"/>
        </xdr:nvSpPr>
        <xdr:spPr>
          <a:xfrm>
            <a:off x="1260106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8F87FD7-6301-AD4C-A802-E103F33FD9C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3" name="TextBox 352">
            <a:extLst>
              <a:ext uri="{FF2B5EF4-FFF2-40B4-BE49-F238E27FC236}">
                <a16:creationId xmlns:a16="http://schemas.microsoft.com/office/drawing/2014/main" id="{392BFE5A-F58C-4BBD-9413-95E960BD95B1}"/>
              </a:ext>
            </a:extLst>
          </xdr:cNvPr>
          <xdr:cNvSpPr txBox="1"/>
        </xdr:nvSpPr>
        <xdr:spPr>
          <a:xfrm>
            <a:off x="12455773" y="6436230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613541</xdr:colOff>
      <xdr:row>36</xdr:row>
      <xdr:rowOff>135075</xdr:rowOff>
    </xdr:from>
    <xdr:to>
      <xdr:col>17</xdr:col>
      <xdr:colOff>344823</xdr:colOff>
      <xdr:row>39</xdr:row>
      <xdr:rowOff>122226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58EB4AF2-5C7E-3445-BF49-BA9F974B2ACA}"/>
            </a:ext>
          </a:extLst>
        </xdr:cNvPr>
        <xdr:cNvGrpSpPr/>
      </xdr:nvGrpSpPr>
      <xdr:grpSpPr>
        <a:xfrm>
          <a:off x="13990874" y="6368658"/>
          <a:ext cx="567366" cy="526901"/>
          <a:chOff x="13352633" y="6436230"/>
          <a:chExt cx="571435" cy="485382"/>
        </a:xfrm>
      </xdr:grpSpPr>
      <xdr:sp macro="" textlink="Location2ANALYSIS!D11">
        <xdr:nvSpPr>
          <xdr:cNvPr id="276" name="TextBox 275">
            <a:extLst>
              <a:ext uri="{FF2B5EF4-FFF2-40B4-BE49-F238E27FC236}">
                <a16:creationId xmlns:a16="http://schemas.microsoft.com/office/drawing/2014/main" id="{F383972F-F1AF-4C95-B729-1AE19B2D98D6}"/>
              </a:ext>
            </a:extLst>
          </xdr:cNvPr>
          <xdr:cNvSpPr txBox="1"/>
        </xdr:nvSpPr>
        <xdr:spPr>
          <a:xfrm>
            <a:off x="13352633" y="6436230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F454417-E489-2447-96DF-F7AB0227311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1">
        <xdr:nvSpPr>
          <xdr:cNvPr id="277" name="TextBox 276">
            <a:extLst>
              <a:ext uri="{FF2B5EF4-FFF2-40B4-BE49-F238E27FC236}">
                <a16:creationId xmlns:a16="http://schemas.microsoft.com/office/drawing/2014/main" id="{C4E8555D-1958-45ED-A0AA-722BF75D972D}"/>
              </a:ext>
            </a:extLst>
          </xdr:cNvPr>
          <xdr:cNvSpPr txBox="1"/>
        </xdr:nvSpPr>
        <xdr:spPr>
          <a:xfrm>
            <a:off x="13631849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5E7DA7-61CE-6A4A-8F19-AD5D174EEB0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4" name="TextBox 353">
            <a:extLst>
              <a:ext uri="{FF2B5EF4-FFF2-40B4-BE49-F238E27FC236}">
                <a16:creationId xmlns:a16="http://schemas.microsoft.com/office/drawing/2014/main" id="{774C0B07-34BA-48A9-A05A-2385A5E114BE}"/>
              </a:ext>
            </a:extLst>
          </xdr:cNvPr>
          <xdr:cNvSpPr txBox="1"/>
        </xdr:nvSpPr>
        <xdr:spPr>
          <a:xfrm>
            <a:off x="13511198" y="6436230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547264</xdr:colOff>
      <xdr:row>36</xdr:row>
      <xdr:rowOff>135075</xdr:rowOff>
    </xdr:from>
    <xdr:to>
      <xdr:col>18</xdr:col>
      <xdr:colOff>305555</xdr:colOff>
      <xdr:row>39</xdr:row>
      <xdr:rowOff>122226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4B72C127-3F2A-E841-BC23-3E19F257BBF7}"/>
            </a:ext>
          </a:extLst>
        </xdr:cNvPr>
        <xdr:cNvGrpSpPr/>
      </xdr:nvGrpSpPr>
      <xdr:grpSpPr>
        <a:xfrm>
          <a:off x="14760681" y="6368658"/>
          <a:ext cx="594374" cy="526901"/>
          <a:chOff x="14507512" y="6436230"/>
          <a:chExt cx="598445" cy="485382"/>
        </a:xfrm>
      </xdr:grpSpPr>
      <xdr:sp macro="" textlink="Location2ANALYSIS!D14">
        <xdr:nvSpPr>
          <xdr:cNvPr id="278" name="TextBox 277">
            <a:extLst>
              <a:ext uri="{FF2B5EF4-FFF2-40B4-BE49-F238E27FC236}">
                <a16:creationId xmlns:a16="http://schemas.microsoft.com/office/drawing/2014/main" id="{A145EE1F-D8CA-4585-B905-13692CA8045E}"/>
              </a:ext>
            </a:extLst>
          </xdr:cNvPr>
          <xdr:cNvSpPr txBox="1"/>
        </xdr:nvSpPr>
        <xdr:spPr>
          <a:xfrm>
            <a:off x="14507512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0B0980A-25AF-134D-8D1E-692F672D01B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4">
        <xdr:nvSpPr>
          <xdr:cNvPr id="279" name="TextBox 278">
            <a:extLst>
              <a:ext uri="{FF2B5EF4-FFF2-40B4-BE49-F238E27FC236}">
                <a16:creationId xmlns:a16="http://schemas.microsoft.com/office/drawing/2014/main" id="{99B2F325-F905-4895-8722-63CEFBDA79F7}"/>
              </a:ext>
            </a:extLst>
          </xdr:cNvPr>
          <xdr:cNvSpPr txBox="1"/>
        </xdr:nvSpPr>
        <xdr:spPr>
          <a:xfrm>
            <a:off x="14774093" y="6436230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C169DDC-14B5-BB42-85E8-8EAD4B09280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5" name="TextBox 354">
            <a:extLst>
              <a:ext uri="{FF2B5EF4-FFF2-40B4-BE49-F238E27FC236}">
                <a16:creationId xmlns:a16="http://schemas.microsoft.com/office/drawing/2014/main" id="{FAF13EA1-B97A-42D5-864C-54BE0F4E8A5C}"/>
              </a:ext>
            </a:extLst>
          </xdr:cNvPr>
          <xdr:cNvSpPr txBox="1"/>
        </xdr:nvSpPr>
        <xdr:spPr>
          <a:xfrm>
            <a:off x="14672979" y="6436230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395367</xdr:colOff>
      <xdr:row>36</xdr:row>
      <xdr:rowOff>135075</xdr:rowOff>
    </xdr:from>
    <xdr:to>
      <xdr:col>19</xdr:col>
      <xdr:colOff>116880</xdr:colOff>
      <xdr:row>39</xdr:row>
      <xdr:rowOff>122226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65D00BF-7E6B-9C40-85F3-FE69A7C50FE6}"/>
            </a:ext>
          </a:extLst>
        </xdr:cNvPr>
        <xdr:cNvGrpSpPr/>
      </xdr:nvGrpSpPr>
      <xdr:grpSpPr>
        <a:xfrm>
          <a:off x="15444867" y="6368658"/>
          <a:ext cx="557596" cy="526901"/>
          <a:chOff x="15693997" y="6436230"/>
          <a:chExt cx="561667" cy="485382"/>
        </a:xfrm>
      </xdr:grpSpPr>
      <xdr:sp macro="" textlink="Location2ANALYSIS!D17">
        <xdr:nvSpPr>
          <xdr:cNvPr id="280" name="TextBox 279">
            <a:extLst>
              <a:ext uri="{FF2B5EF4-FFF2-40B4-BE49-F238E27FC236}">
                <a16:creationId xmlns:a16="http://schemas.microsoft.com/office/drawing/2014/main" id="{05E16B78-A791-4F7F-86A2-50706F366FA1}"/>
              </a:ext>
            </a:extLst>
          </xdr:cNvPr>
          <xdr:cNvSpPr txBox="1"/>
        </xdr:nvSpPr>
        <xdr:spPr>
          <a:xfrm>
            <a:off x="15693997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07EB8FB-CBCA-3D48-990C-138EF1FE2C9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7">
        <xdr:nvSpPr>
          <xdr:cNvPr id="281" name="TextBox 280">
            <a:extLst>
              <a:ext uri="{FF2B5EF4-FFF2-40B4-BE49-F238E27FC236}">
                <a16:creationId xmlns:a16="http://schemas.microsoft.com/office/drawing/2014/main" id="{A9EF1855-B115-4834-9B3B-22278AE0DB48}"/>
              </a:ext>
            </a:extLst>
          </xdr:cNvPr>
          <xdr:cNvSpPr txBox="1"/>
        </xdr:nvSpPr>
        <xdr:spPr>
          <a:xfrm>
            <a:off x="15963445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B60E1E-5FB9-D44C-AA10-1B6A5D13103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6" name="TextBox 355">
            <a:extLst>
              <a:ext uri="{FF2B5EF4-FFF2-40B4-BE49-F238E27FC236}">
                <a16:creationId xmlns:a16="http://schemas.microsoft.com/office/drawing/2014/main" id="{AAEA470B-C0E6-4758-B116-A2FA93C8267E}"/>
              </a:ext>
            </a:extLst>
          </xdr:cNvPr>
          <xdr:cNvSpPr txBox="1"/>
        </xdr:nvSpPr>
        <xdr:spPr>
          <a:xfrm>
            <a:off x="15849696" y="6436230"/>
            <a:ext cx="331865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348669</xdr:colOff>
      <xdr:row>36</xdr:row>
      <xdr:rowOff>135075</xdr:rowOff>
    </xdr:from>
    <xdr:to>
      <xdr:col>20</xdr:col>
      <xdr:colOff>70181</xdr:colOff>
      <xdr:row>39</xdr:row>
      <xdr:rowOff>122226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146384F-C1AA-2E43-9D70-DACB08A774E2}"/>
            </a:ext>
          </a:extLst>
        </xdr:cNvPr>
        <xdr:cNvGrpSpPr/>
      </xdr:nvGrpSpPr>
      <xdr:grpSpPr>
        <a:xfrm>
          <a:off x="16234252" y="6368658"/>
          <a:ext cx="557596" cy="526901"/>
          <a:chOff x="16614457" y="6436230"/>
          <a:chExt cx="561666" cy="485382"/>
        </a:xfrm>
      </xdr:grpSpPr>
      <xdr:sp macro="" textlink="Location2ANALYSIS!D20">
        <xdr:nvSpPr>
          <xdr:cNvPr id="282" name="TextBox 281">
            <a:extLst>
              <a:ext uri="{FF2B5EF4-FFF2-40B4-BE49-F238E27FC236}">
                <a16:creationId xmlns:a16="http://schemas.microsoft.com/office/drawing/2014/main" id="{63656F20-B68C-475F-98C3-7E40F264E902}"/>
              </a:ext>
            </a:extLst>
          </xdr:cNvPr>
          <xdr:cNvSpPr txBox="1"/>
        </xdr:nvSpPr>
        <xdr:spPr>
          <a:xfrm>
            <a:off x="16614457" y="6436230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4F5197-56FF-3C49-A8FE-7C392C42A8B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20">
        <xdr:nvSpPr>
          <xdr:cNvPr id="283" name="TextBox 282">
            <a:extLst>
              <a:ext uri="{FF2B5EF4-FFF2-40B4-BE49-F238E27FC236}">
                <a16:creationId xmlns:a16="http://schemas.microsoft.com/office/drawing/2014/main" id="{13A92017-E8F9-439D-A15B-6B42ECD50D55}"/>
              </a:ext>
            </a:extLst>
          </xdr:cNvPr>
          <xdr:cNvSpPr txBox="1"/>
        </xdr:nvSpPr>
        <xdr:spPr>
          <a:xfrm>
            <a:off x="16883904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34217B-2680-514E-A18F-4C971FDF768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7" name="TextBox 356">
            <a:extLst>
              <a:ext uri="{FF2B5EF4-FFF2-40B4-BE49-F238E27FC236}">
                <a16:creationId xmlns:a16="http://schemas.microsoft.com/office/drawing/2014/main" id="{0B341CA7-CC4F-4B8B-B19F-B071872329FE}"/>
              </a:ext>
            </a:extLst>
          </xdr:cNvPr>
          <xdr:cNvSpPr txBox="1"/>
        </xdr:nvSpPr>
        <xdr:spPr>
          <a:xfrm>
            <a:off x="16770156" y="6436230"/>
            <a:ext cx="343930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665976</xdr:colOff>
      <xdr:row>42</xdr:row>
      <xdr:rowOff>15515</xdr:rowOff>
    </xdr:from>
    <xdr:to>
      <xdr:col>16</xdr:col>
      <xdr:colOff>424845</xdr:colOff>
      <xdr:row>45</xdr:row>
      <xdr:rowOff>2668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114CCEC7-7A34-6449-B2D6-7EB170577AF1}"/>
            </a:ext>
          </a:extLst>
        </xdr:cNvPr>
        <xdr:cNvGrpSpPr/>
      </xdr:nvGrpSpPr>
      <xdr:grpSpPr>
        <a:xfrm>
          <a:off x="13207226" y="7318015"/>
          <a:ext cx="594952" cy="526903"/>
          <a:chOff x="12301153" y="7528054"/>
          <a:chExt cx="599023" cy="485383"/>
        </a:xfrm>
      </xdr:grpSpPr>
      <xdr:sp macro="" textlink="Location2ANALYSIS!D7">
        <xdr:nvSpPr>
          <xdr:cNvPr id="285" name="TextBox 284">
            <a:extLst>
              <a:ext uri="{FF2B5EF4-FFF2-40B4-BE49-F238E27FC236}">
                <a16:creationId xmlns:a16="http://schemas.microsoft.com/office/drawing/2014/main" id="{6B5458CB-5F33-4561-A00F-9E96FC1698A7}"/>
              </a:ext>
            </a:extLst>
          </xdr:cNvPr>
          <xdr:cNvSpPr txBox="1"/>
        </xdr:nvSpPr>
        <xdr:spPr>
          <a:xfrm>
            <a:off x="12301153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BD92BEA-44D8-BE4F-A21F-A55FA0754F6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7">
        <xdr:nvSpPr>
          <xdr:cNvPr id="287" name="TextBox 286">
            <a:extLst>
              <a:ext uri="{FF2B5EF4-FFF2-40B4-BE49-F238E27FC236}">
                <a16:creationId xmlns:a16="http://schemas.microsoft.com/office/drawing/2014/main" id="{E4CE1567-3759-49F9-A9C0-423D7D224686}"/>
              </a:ext>
            </a:extLst>
          </xdr:cNvPr>
          <xdr:cNvSpPr txBox="1"/>
        </xdr:nvSpPr>
        <xdr:spPr>
          <a:xfrm>
            <a:off x="12607957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88E124-51B2-274B-A27B-AF29419DD0A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8" name="TextBox 357">
            <a:extLst>
              <a:ext uri="{FF2B5EF4-FFF2-40B4-BE49-F238E27FC236}">
                <a16:creationId xmlns:a16="http://schemas.microsoft.com/office/drawing/2014/main" id="{D7FE49FB-78A9-47CF-BE87-3DDF2921F61D}"/>
              </a:ext>
            </a:extLst>
          </xdr:cNvPr>
          <xdr:cNvSpPr txBox="1"/>
        </xdr:nvSpPr>
        <xdr:spPr>
          <a:xfrm>
            <a:off x="12462668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591124</xdr:colOff>
      <xdr:row>42</xdr:row>
      <xdr:rowOff>15515</xdr:rowOff>
    </xdr:from>
    <xdr:to>
      <xdr:col>17</xdr:col>
      <xdr:colOff>341945</xdr:colOff>
      <xdr:row>45</xdr:row>
      <xdr:rowOff>2668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633AE8A2-ACB3-454D-B105-04465A9F584E}"/>
            </a:ext>
          </a:extLst>
        </xdr:cNvPr>
        <xdr:cNvGrpSpPr/>
      </xdr:nvGrpSpPr>
      <xdr:grpSpPr>
        <a:xfrm>
          <a:off x="13968457" y="7318015"/>
          <a:ext cx="586905" cy="526903"/>
          <a:chOff x="13359528" y="7528054"/>
          <a:chExt cx="590973" cy="485383"/>
        </a:xfrm>
      </xdr:grpSpPr>
      <xdr:sp macro="" textlink="Location2ANALYSIS!D10">
        <xdr:nvSpPr>
          <xdr:cNvPr id="288" name="TextBox 287">
            <a:extLst>
              <a:ext uri="{FF2B5EF4-FFF2-40B4-BE49-F238E27FC236}">
                <a16:creationId xmlns:a16="http://schemas.microsoft.com/office/drawing/2014/main" id="{EFD43751-343D-47D2-9283-0510EEE10731}"/>
              </a:ext>
            </a:extLst>
          </xdr:cNvPr>
          <xdr:cNvSpPr txBox="1"/>
        </xdr:nvSpPr>
        <xdr:spPr>
          <a:xfrm>
            <a:off x="13359528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F38E03-3E65-4D4A-BCCB-5DCE1ED36B7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0">
        <xdr:nvSpPr>
          <xdr:cNvPr id="289" name="TextBox 288">
            <a:extLst>
              <a:ext uri="{FF2B5EF4-FFF2-40B4-BE49-F238E27FC236}">
                <a16:creationId xmlns:a16="http://schemas.microsoft.com/office/drawing/2014/main" id="{659F85F1-2086-4AC8-A397-87A70F41EC9A}"/>
              </a:ext>
            </a:extLst>
          </xdr:cNvPr>
          <xdr:cNvSpPr txBox="1"/>
        </xdr:nvSpPr>
        <xdr:spPr>
          <a:xfrm>
            <a:off x="13658282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4C2D78-B5C5-454E-8D17-4789F2ECBB4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7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59" name="TextBox 358">
            <a:extLst>
              <a:ext uri="{FF2B5EF4-FFF2-40B4-BE49-F238E27FC236}">
                <a16:creationId xmlns:a16="http://schemas.microsoft.com/office/drawing/2014/main" id="{A45059B7-9B8B-42D5-90C8-53A7B096313C}"/>
              </a:ext>
            </a:extLst>
          </xdr:cNvPr>
          <xdr:cNvSpPr txBox="1"/>
        </xdr:nvSpPr>
        <xdr:spPr>
          <a:xfrm>
            <a:off x="13518092" y="7528054"/>
            <a:ext cx="292219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17</xdr:col>
      <xdr:colOff>593233</xdr:colOff>
      <xdr:row>42</xdr:row>
      <xdr:rowOff>15515</xdr:rowOff>
    </xdr:from>
    <xdr:to>
      <xdr:col>18</xdr:col>
      <xdr:colOff>363590</xdr:colOff>
      <xdr:row>45</xdr:row>
      <xdr:rowOff>2668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9CA27168-7518-414F-AAD7-06492F150F9A}"/>
            </a:ext>
          </a:extLst>
        </xdr:cNvPr>
        <xdr:cNvGrpSpPr/>
      </xdr:nvGrpSpPr>
      <xdr:grpSpPr>
        <a:xfrm>
          <a:off x="14806650" y="7318015"/>
          <a:ext cx="606440" cy="526903"/>
          <a:chOff x="14514406" y="7528054"/>
          <a:chExt cx="610512" cy="485383"/>
        </a:xfrm>
      </xdr:grpSpPr>
      <xdr:sp macro="" textlink="Location2ANALYSIS!D13">
        <xdr:nvSpPr>
          <xdr:cNvPr id="299" name="TextBox 298">
            <a:extLst>
              <a:ext uri="{FF2B5EF4-FFF2-40B4-BE49-F238E27FC236}">
                <a16:creationId xmlns:a16="http://schemas.microsoft.com/office/drawing/2014/main" id="{08893951-C1AA-4F1A-AB5D-6E7F5B12EF25}"/>
              </a:ext>
            </a:extLst>
          </xdr:cNvPr>
          <xdr:cNvSpPr txBox="1"/>
        </xdr:nvSpPr>
        <xdr:spPr>
          <a:xfrm>
            <a:off x="14514406" y="7528054"/>
            <a:ext cx="280153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403854-C756-1841-A5EA-8658726E065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3">
        <xdr:nvSpPr>
          <xdr:cNvPr id="300" name="TextBox 299">
            <a:extLst>
              <a:ext uri="{FF2B5EF4-FFF2-40B4-BE49-F238E27FC236}">
                <a16:creationId xmlns:a16="http://schemas.microsoft.com/office/drawing/2014/main" id="{FCBD580C-39A2-4FA5-B308-498B892750AB}"/>
              </a:ext>
            </a:extLst>
          </xdr:cNvPr>
          <xdr:cNvSpPr txBox="1"/>
        </xdr:nvSpPr>
        <xdr:spPr>
          <a:xfrm>
            <a:off x="14780988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E449C7D-E3CC-2446-A5F8-07FF6E41EDC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0" name="TextBox 359">
            <a:extLst>
              <a:ext uri="{FF2B5EF4-FFF2-40B4-BE49-F238E27FC236}">
                <a16:creationId xmlns:a16="http://schemas.microsoft.com/office/drawing/2014/main" id="{68C91822-146C-46A4-A1EE-CEFED7C8215C}"/>
              </a:ext>
            </a:extLst>
          </xdr:cNvPr>
          <xdr:cNvSpPr txBox="1"/>
        </xdr:nvSpPr>
        <xdr:spPr>
          <a:xfrm>
            <a:off x="14679874" y="7528054"/>
            <a:ext cx="292219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18</xdr:col>
      <xdr:colOff>499950</xdr:colOff>
      <xdr:row>42</xdr:row>
      <xdr:rowOff>15515</xdr:rowOff>
    </xdr:from>
    <xdr:to>
      <xdr:col>19</xdr:col>
      <xdr:colOff>221464</xdr:colOff>
      <xdr:row>45</xdr:row>
      <xdr:rowOff>2668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1C94790-7AB8-2645-B4EA-E7A98ED1E92D}"/>
            </a:ext>
          </a:extLst>
        </xdr:cNvPr>
        <xdr:cNvGrpSpPr/>
      </xdr:nvGrpSpPr>
      <xdr:grpSpPr>
        <a:xfrm>
          <a:off x="15549450" y="7318015"/>
          <a:ext cx="557597" cy="526903"/>
          <a:chOff x="15700891" y="7528054"/>
          <a:chExt cx="561668" cy="485383"/>
        </a:xfrm>
      </xdr:grpSpPr>
      <xdr:sp macro="" textlink="Location2ANALYSIS!D16">
        <xdr:nvSpPr>
          <xdr:cNvPr id="345" name="TextBox 344">
            <a:extLst>
              <a:ext uri="{FF2B5EF4-FFF2-40B4-BE49-F238E27FC236}">
                <a16:creationId xmlns:a16="http://schemas.microsoft.com/office/drawing/2014/main" id="{AB4B53FD-EBEF-4DA7-9F86-2D9D88BF303D}"/>
              </a:ext>
            </a:extLst>
          </xdr:cNvPr>
          <xdr:cNvSpPr txBox="1"/>
        </xdr:nvSpPr>
        <xdr:spPr>
          <a:xfrm>
            <a:off x="15700891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C90F6A6-79DB-BB42-A8A1-F85CDA8C285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6">
        <xdr:nvSpPr>
          <xdr:cNvPr id="346" name="TextBox 345">
            <a:extLst>
              <a:ext uri="{FF2B5EF4-FFF2-40B4-BE49-F238E27FC236}">
                <a16:creationId xmlns:a16="http://schemas.microsoft.com/office/drawing/2014/main" id="{76A18904-DFFF-483C-8D65-968AE7C31BAF}"/>
              </a:ext>
            </a:extLst>
          </xdr:cNvPr>
          <xdr:cNvSpPr txBox="1"/>
        </xdr:nvSpPr>
        <xdr:spPr>
          <a:xfrm>
            <a:off x="15970340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3F1CE3E-A7A2-0546-A541-CBD9B80EE63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1" name="TextBox 360">
            <a:extLst>
              <a:ext uri="{FF2B5EF4-FFF2-40B4-BE49-F238E27FC236}">
                <a16:creationId xmlns:a16="http://schemas.microsoft.com/office/drawing/2014/main" id="{4846B0DC-E5F6-4C44-878C-8FCAA2D0D583}"/>
              </a:ext>
            </a:extLst>
          </xdr:cNvPr>
          <xdr:cNvSpPr txBox="1"/>
        </xdr:nvSpPr>
        <xdr:spPr>
          <a:xfrm>
            <a:off x="15856590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590022</xdr:colOff>
      <xdr:row>42</xdr:row>
      <xdr:rowOff>15515</xdr:rowOff>
    </xdr:from>
    <xdr:to>
      <xdr:col>20</xdr:col>
      <xdr:colOff>311535</xdr:colOff>
      <xdr:row>45</xdr:row>
      <xdr:rowOff>2668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7C049B96-8282-F94C-A785-446C303116EF}"/>
            </a:ext>
          </a:extLst>
        </xdr:cNvPr>
        <xdr:cNvGrpSpPr/>
      </xdr:nvGrpSpPr>
      <xdr:grpSpPr>
        <a:xfrm>
          <a:off x="16475605" y="7318015"/>
          <a:ext cx="557597" cy="526903"/>
          <a:chOff x="16621351" y="7528054"/>
          <a:chExt cx="561667" cy="485383"/>
        </a:xfrm>
      </xdr:grpSpPr>
      <xdr:sp macro="" textlink="Location2ANALYSIS!D19">
        <xdr:nvSpPr>
          <xdr:cNvPr id="347" name="TextBox 346">
            <a:extLst>
              <a:ext uri="{FF2B5EF4-FFF2-40B4-BE49-F238E27FC236}">
                <a16:creationId xmlns:a16="http://schemas.microsoft.com/office/drawing/2014/main" id="{AC585455-A6FB-4629-BE41-64CDFAF6A47C}"/>
              </a:ext>
            </a:extLst>
          </xdr:cNvPr>
          <xdr:cNvSpPr txBox="1"/>
        </xdr:nvSpPr>
        <xdr:spPr>
          <a:xfrm>
            <a:off x="16621351" y="7528054"/>
            <a:ext cx="343930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E9FB155-4C4F-F943-BE17-F589263C59F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19">
        <xdr:nvSpPr>
          <xdr:cNvPr id="362" name="TextBox 361">
            <a:extLst>
              <a:ext uri="{FF2B5EF4-FFF2-40B4-BE49-F238E27FC236}">
                <a16:creationId xmlns:a16="http://schemas.microsoft.com/office/drawing/2014/main" id="{F33C2427-3E47-4A3F-8D4D-B6D0D4BCCAFF}"/>
              </a:ext>
            </a:extLst>
          </xdr:cNvPr>
          <xdr:cNvSpPr txBox="1"/>
        </xdr:nvSpPr>
        <xdr:spPr>
          <a:xfrm>
            <a:off x="16890799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21C60FD-FC3F-9B4D-909C-ECF0848BBC1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63" name="TextBox 362">
            <a:extLst>
              <a:ext uri="{FF2B5EF4-FFF2-40B4-BE49-F238E27FC236}">
                <a16:creationId xmlns:a16="http://schemas.microsoft.com/office/drawing/2014/main" id="{908DD87F-7FA3-4780-9D8B-D9C3C5B641BD}"/>
              </a:ext>
            </a:extLst>
          </xdr:cNvPr>
          <xdr:cNvSpPr txBox="1"/>
        </xdr:nvSpPr>
        <xdr:spPr>
          <a:xfrm>
            <a:off x="16777050" y="7528054"/>
            <a:ext cx="343930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16</xdr:col>
      <xdr:colOff>839206</xdr:colOff>
      <xdr:row>5</xdr:row>
      <xdr:rowOff>60240</xdr:rowOff>
    </xdr:from>
    <xdr:to>
      <xdr:col>17</xdr:col>
      <xdr:colOff>832637</xdr:colOff>
      <xdr:row>7</xdr:row>
      <xdr:rowOff>5845</xdr:rowOff>
    </xdr:to>
    <xdr:sp macro="" textlink="Location1ANALYSIS!C2">
      <xdr:nvSpPr>
        <xdr:cNvPr id="364" name="Rectangle 363">
          <a:extLst>
            <a:ext uri="{FF2B5EF4-FFF2-40B4-BE49-F238E27FC236}">
              <a16:creationId xmlns:a16="http://schemas.microsoft.com/office/drawing/2014/main" id="{C41DFCBB-89E7-4C28-A818-666103B775C5}"/>
            </a:ext>
          </a:extLst>
        </xdr:cNvPr>
        <xdr:cNvSpPr>
          <a:spLocks noChangeAspect="1"/>
        </xdr:cNvSpPr>
      </xdr:nvSpPr>
      <xdr:spPr>
        <a:xfrm>
          <a:off x="14281668" y="890625"/>
          <a:ext cx="833584" cy="27775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7ECBDE4-ECC8-B246-A07A-00D18B0AD197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105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17</xdr:col>
      <xdr:colOff>12396</xdr:colOff>
      <xdr:row>28</xdr:row>
      <xdr:rowOff>48822</xdr:rowOff>
    </xdr:from>
    <xdr:to>
      <xdr:col>18</xdr:col>
      <xdr:colOff>5826</xdr:colOff>
      <xdr:row>30</xdr:row>
      <xdr:rowOff>3317</xdr:rowOff>
    </xdr:to>
    <xdr:sp macro="" textlink="Location2ANALYSIS!C2">
      <xdr:nvSpPr>
        <xdr:cNvPr id="365" name="Rectangle 364">
          <a:extLst>
            <a:ext uri="{FF2B5EF4-FFF2-40B4-BE49-F238E27FC236}">
              <a16:creationId xmlns:a16="http://schemas.microsoft.com/office/drawing/2014/main" id="{DF885716-3B9C-4DBF-BD11-14B5A1865733}"/>
            </a:ext>
          </a:extLst>
        </xdr:cNvPr>
        <xdr:cNvSpPr>
          <a:spLocks noChangeAspect="1"/>
        </xdr:cNvSpPr>
      </xdr:nvSpPr>
      <xdr:spPr>
        <a:xfrm>
          <a:off x="14295011" y="4816207"/>
          <a:ext cx="833584" cy="28664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4C5C7E0-3632-6749-9286-3F08E2F9A7B8}" type="TxLink">
            <a:rPr lang="en-US" sz="1200" b="1" i="0" u="none" strike="noStrike">
              <a:solidFill>
                <a:srgbClr val="800000"/>
              </a:solidFill>
              <a:latin typeface="+mn-lt"/>
              <a:ea typeface="Arial" charset="0"/>
              <a:cs typeface="Calibri"/>
            </a:rPr>
            <a:pPr algn="ctr"/>
            <a:t>home</a:t>
          </a:fld>
          <a:endParaRPr lang="en-US" sz="1200" b="1" i="0">
            <a:solidFill>
              <a:srgbClr val="800000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16</xdr:col>
      <xdr:colOff>24994</xdr:colOff>
      <xdr:row>1</xdr:row>
      <xdr:rowOff>154678</xdr:rowOff>
    </xdr:from>
    <xdr:to>
      <xdr:col>18</xdr:col>
      <xdr:colOff>822202</xdr:colOff>
      <xdr:row>4</xdr:row>
      <xdr:rowOff>51942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CFB58E9B-A625-4E9A-A774-BBCB894FEA93}"/>
            </a:ext>
          </a:extLst>
        </xdr:cNvPr>
        <xdr:cNvSpPr txBox="1"/>
      </xdr:nvSpPr>
      <xdr:spPr>
        <a:xfrm>
          <a:off x="13467456" y="320755"/>
          <a:ext cx="2477515" cy="395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Puckout locations</a:t>
          </a:r>
        </a:p>
      </xdr:txBody>
    </xdr:sp>
    <xdr:clientData/>
  </xdr:twoCellAnchor>
  <xdr:twoCellAnchor>
    <xdr:from>
      <xdr:col>28</xdr:col>
      <xdr:colOff>531609</xdr:colOff>
      <xdr:row>10</xdr:row>
      <xdr:rowOff>149065</xdr:rowOff>
    </xdr:from>
    <xdr:to>
      <xdr:col>29</xdr:col>
      <xdr:colOff>214922</xdr:colOff>
      <xdr:row>13</xdr:row>
      <xdr:rowOff>96245</xdr:rowOff>
    </xdr:to>
    <xdr:sp macro="" textlink="Location1ANALYSIS!L25">
      <xdr:nvSpPr>
        <xdr:cNvPr id="373" name="Rectangle 372">
          <a:extLst>
            <a:ext uri="{FF2B5EF4-FFF2-40B4-BE49-F238E27FC236}">
              <a16:creationId xmlns:a16="http://schemas.microsoft.com/office/drawing/2014/main" id="{5785FD06-8BB2-479A-8B03-F5E891DEF20D}"/>
            </a:ext>
          </a:extLst>
        </xdr:cNvPr>
        <xdr:cNvSpPr>
          <a:spLocks noChangeAspect="1"/>
        </xdr:cNvSpPr>
      </xdr:nvSpPr>
      <xdr:spPr>
        <a:xfrm>
          <a:off x="24055917" y="1829373"/>
          <a:ext cx="523467" cy="47471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B8A6EF90-FD0D-D648-A15B-D80492569CA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64%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28</xdr:col>
      <xdr:colOff>238533</xdr:colOff>
      <xdr:row>15</xdr:row>
      <xdr:rowOff>103018</xdr:rowOff>
    </xdr:from>
    <xdr:to>
      <xdr:col>28</xdr:col>
      <xdr:colOff>781539</xdr:colOff>
      <xdr:row>18</xdr:row>
      <xdr:rowOff>50197</xdr:rowOff>
    </xdr:to>
    <xdr:sp macro="" textlink="Location1ANALYSIS!L26">
      <xdr:nvSpPr>
        <xdr:cNvPr id="374" name="Rectangle 373">
          <a:extLst>
            <a:ext uri="{FF2B5EF4-FFF2-40B4-BE49-F238E27FC236}">
              <a16:creationId xmlns:a16="http://schemas.microsoft.com/office/drawing/2014/main" id="{0C02DF69-D0E1-4D26-9B90-D97556AA806D}"/>
            </a:ext>
          </a:extLst>
        </xdr:cNvPr>
        <xdr:cNvSpPr>
          <a:spLocks noChangeAspect="1"/>
        </xdr:cNvSpPr>
      </xdr:nvSpPr>
      <xdr:spPr>
        <a:xfrm>
          <a:off x="23762841" y="2662556"/>
          <a:ext cx="543006" cy="47471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B29B4A0-C2F3-7746-BB59-6EB8D06341F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62%</a:t>
          </a:fld>
          <a:endParaRPr lang="en-US" sz="10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27</xdr:col>
      <xdr:colOff>834455</xdr:colOff>
      <xdr:row>20</xdr:row>
      <xdr:rowOff>112943</xdr:rowOff>
    </xdr:from>
    <xdr:to>
      <xdr:col>28</xdr:col>
      <xdr:colOff>478691</xdr:colOff>
      <xdr:row>23</xdr:row>
      <xdr:rowOff>89430</xdr:rowOff>
    </xdr:to>
    <xdr:sp macro="" textlink="Location1ANALYSIS!L27">
      <xdr:nvSpPr>
        <xdr:cNvPr id="375" name="Rectangle 374">
          <a:extLst>
            <a:ext uri="{FF2B5EF4-FFF2-40B4-BE49-F238E27FC236}">
              <a16:creationId xmlns:a16="http://schemas.microsoft.com/office/drawing/2014/main" id="{D306A178-0B22-4AAA-A222-A60965E918B0}"/>
            </a:ext>
          </a:extLst>
        </xdr:cNvPr>
        <xdr:cNvSpPr>
          <a:spLocks noChangeAspect="1"/>
        </xdr:cNvSpPr>
      </xdr:nvSpPr>
      <xdr:spPr>
        <a:xfrm>
          <a:off x="23518609" y="3551712"/>
          <a:ext cx="484390" cy="47471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A37E672-5022-0C48-A948-4E295D4AF4F7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30</xdr:col>
      <xdr:colOff>525194</xdr:colOff>
      <xdr:row>15</xdr:row>
      <xdr:rowOff>49771</xdr:rowOff>
    </xdr:from>
    <xdr:to>
      <xdr:col>31</xdr:col>
      <xdr:colOff>590366</xdr:colOff>
      <xdr:row>18</xdr:row>
      <xdr:rowOff>7546</xdr:rowOff>
    </xdr:to>
    <xdr:grpSp>
      <xdr:nvGrpSpPr>
        <xdr:cNvPr id="507" name="Group 506">
          <a:extLst>
            <a:ext uri="{FF2B5EF4-FFF2-40B4-BE49-F238E27FC236}">
              <a16:creationId xmlns:a16="http://schemas.microsoft.com/office/drawing/2014/main" id="{92EFF991-AC84-714E-A627-99FEA215955B}"/>
            </a:ext>
          </a:extLst>
        </xdr:cNvPr>
        <xdr:cNvGrpSpPr/>
      </xdr:nvGrpSpPr>
      <xdr:grpSpPr>
        <a:xfrm>
          <a:off x="25607694" y="2610938"/>
          <a:ext cx="901255" cy="486941"/>
          <a:chOff x="26286655" y="2804694"/>
          <a:chExt cx="905326" cy="485314"/>
        </a:xfrm>
      </xdr:grpSpPr>
      <xdr:sp macro="" textlink="Location1ANALYSIS!J11">
        <xdr:nvSpPr>
          <xdr:cNvPr id="388" name="TextBox 387">
            <a:extLst>
              <a:ext uri="{FF2B5EF4-FFF2-40B4-BE49-F238E27FC236}">
                <a16:creationId xmlns:a16="http://schemas.microsoft.com/office/drawing/2014/main" id="{C788C3D7-41E9-4D12-B2BD-6FA77A97A0DE}"/>
              </a:ext>
            </a:extLst>
          </xdr:cNvPr>
          <xdr:cNvSpPr txBox="1"/>
        </xdr:nvSpPr>
        <xdr:spPr>
          <a:xfrm>
            <a:off x="26286655" y="2804694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453E913-4122-DD42-ACA5-138ABE6F3C1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1">
        <xdr:nvSpPr>
          <xdr:cNvPr id="389" name="TextBox 388">
            <a:extLst>
              <a:ext uri="{FF2B5EF4-FFF2-40B4-BE49-F238E27FC236}">
                <a16:creationId xmlns:a16="http://schemas.microsoft.com/office/drawing/2014/main" id="{EF36EF07-F6C5-4488-9B60-61613DBFCE39}"/>
              </a:ext>
            </a:extLst>
          </xdr:cNvPr>
          <xdr:cNvSpPr txBox="1"/>
        </xdr:nvSpPr>
        <xdr:spPr>
          <a:xfrm>
            <a:off x="26612249" y="2804694"/>
            <a:ext cx="579732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8710A9B-E967-7440-A875-0327A454937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0" name="TextBox 389">
            <a:extLst>
              <a:ext uri="{FF2B5EF4-FFF2-40B4-BE49-F238E27FC236}">
                <a16:creationId xmlns:a16="http://schemas.microsoft.com/office/drawing/2014/main" id="{90472A40-8AEF-4041-BD5E-D33004818005}"/>
              </a:ext>
            </a:extLst>
          </xdr:cNvPr>
          <xdr:cNvSpPr txBox="1"/>
        </xdr:nvSpPr>
        <xdr:spPr>
          <a:xfrm>
            <a:off x="26462114" y="2804694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672465</xdr:colOff>
      <xdr:row>15</xdr:row>
      <xdr:rowOff>49771</xdr:rowOff>
    </xdr:from>
    <xdr:to>
      <xdr:col>30</xdr:col>
      <xdr:colOff>463100</xdr:colOff>
      <xdr:row>18</xdr:row>
      <xdr:rowOff>7546</xdr:rowOff>
    </xdr:to>
    <xdr:grpSp>
      <xdr:nvGrpSpPr>
        <xdr:cNvPr id="508" name="Group 507">
          <a:extLst>
            <a:ext uri="{FF2B5EF4-FFF2-40B4-BE49-F238E27FC236}">
              <a16:creationId xmlns:a16="http://schemas.microsoft.com/office/drawing/2014/main" id="{20B4F918-634B-A34D-8DAF-9B70B35712ED}"/>
            </a:ext>
          </a:extLst>
        </xdr:cNvPr>
        <xdr:cNvGrpSpPr/>
      </xdr:nvGrpSpPr>
      <xdr:grpSpPr>
        <a:xfrm>
          <a:off x="24918882" y="2610938"/>
          <a:ext cx="626718" cy="486941"/>
          <a:chOff x="25036927" y="2804694"/>
          <a:chExt cx="630788" cy="485314"/>
        </a:xfrm>
      </xdr:grpSpPr>
      <xdr:sp macro="" textlink="#REF!">
        <xdr:nvSpPr>
          <xdr:cNvPr id="387" name="TextBox 386">
            <a:extLst>
              <a:ext uri="{FF2B5EF4-FFF2-40B4-BE49-F238E27FC236}">
                <a16:creationId xmlns:a16="http://schemas.microsoft.com/office/drawing/2014/main" id="{8CA10789-8F1F-4419-B30E-CADA899E4C94}"/>
              </a:ext>
            </a:extLst>
          </xdr:cNvPr>
          <xdr:cNvSpPr txBox="1"/>
        </xdr:nvSpPr>
        <xdr:spPr>
          <a:xfrm>
            <a:off x="25230168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8">
        <xdr:nvSpPr>
          <xdr:cNvPr id="391" name="TextBox 390">
            <a:extLst>
              <a:ext uri="{FF2B5EF4-FFF2-40B4-BE49-F238E27FC236}">
                <a16:creationId xmlns:a16="http://schemas.microsoft.com/office/drawing/2014/main" id="{07259462-4005-4AE7-83D4-C2752388880B}"/>
              </a:ext>
            </a:extLst>
          </xdr:cNvPr>
          <xdr:cNvSpPr txBox="1"/>
        </xdr:nvSpPr>
        <xdr:spPr>
          <a:xfrm>
            <a:off x="25036927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BED1101-4E68-AD4D-9906-9D0875E5AA0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8">
        <xdr:nvSpPr>
          <xdr:cNvPr id="392" name="TextBox 391">
            <a:extLst>
              <a:ext uri="{FF2B5EF4-FFF2-40B4-BE49-F238E27FC236}">
                <a16:creationId xmlns:a16="http://schemas.microsoft.com/office/drawing/2014/main" id="{80796851-0BAC-4176-9025-35849B587A05}"/>
              </a:ext>
            </a:extLst>
          </xdr:cNvPr>
          <xdr:cNvSpPr txBox="1"/>
        </xdr:nvSpPr>
        <xdr:spPr>
          <a:xfrm>
            <a:off x="25375207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2BDF74C-0CE2-B748-9111-4E1DCCF1ECF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521542</xdr:colOff>
      <xdr:row>15</xdr:row>
      <xdr:rowOff>49771</xdr:rowOff>
    </xdr:from>
    <xdr:to>
      <xdr:col>32</xdr:col>
      <xdr:colOff>331715</xdr:colOff>
      <xdr:row>18</xdr:row>
      <xdr:rowOff>7546</xdr:rowOff>
    </xdr:to>
    <xdr:grpSp>
      <xdr:nvGrpSpPr>
        <xdr:cNvPr id="504" name="Group 503">
          <a:extLst>
            <a:ext uri="{FF2B5EF4-FFF2-40B4-BE49-F238E27FC236}">
              <a16:creationId xmlns:a16="http://schemas.microsoft.com/office/drawing/2014/main" id="{D32B55AD-D4DD-5940-A0A1-6972E7D0174D}"/>
            </a:ext>
          </a:extLst>
        </xdr:cNvPr>
        <xdr:cNvGrpSpPr/>
      </xdr:nvGrpSpPr>
      <xdr:grpSpPr>
        <a:xfrm>
          <a:off x="26440125" y="2610938"/>
          <a:ext cx="646257" cy="486941"/>
          <a:chOff x="27484619" y="2804694"/>
          <a:chExt cx="650327" cy="485314"/>
        </a:xfrm>
      </xdr:grpSpPr>
      <xdr:sp macro="" textlink="Location1ANALYSIS!J14">
        <xdr:nvSpPr>
          <xdr:cNvPr id="385" name="TextBox 384">
            <a:extLst>
              <a:ext uri="{FF2B5EF4-FFF2-40B4-BE49-F238E27FC236}">
                <a16:creationId xmlns:a16="http://schemas.microsoft.com/office/drawing/2014/main" id="{D420B971-2907-467A-9A48-ED20E08FF379}"/>
              </a:ext>
            </a:extLst>
          </xdr:cNvPr>
          <xdr:cNvSpPr txBox="1"/>
        </xdr:nvSpPr>
        <xdr:spPr>
          <a:xfrm>
            <a:off x="2748461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6BBB55-BF0E-6749-B06A-71A4C9A5507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4">
        <xdr:nvSpPr>
          <xdr:cNvPr id="386" name="TextBox 385">
            <a:extLst>
              <a:ext uri="{FF2B5EF4-FFF2-40B4-BE49-F238E27FC236}">
                <a16:creationId xmlns:a16="http://schemas.microsoft.com/office/drawing/2014/main" id="{BEE42A49-67EE-46A9-AE13-49CE791997CA}"/>
              </a:ext>
            </a:extLst>
          </xdr:cNvPr>
          <xdr:cNvSpPr txBox="1"/>
        </xdr:nvSpPr>
        <xdr:spPr>
          <a:xfrm>
            <a:off x="27790675" y="2804694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6F5E126-1B43-E340-9A80-63BAE4E5FA6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3" name="TextBox 392">
            <a:extLst>
              <a:ext uri="{FF2B5EF4-FFF2-40B4-BE49-F238E27FC236}">
                <a16:creationId xmlns:a16="http://schemas.microsoft.com/office/drawing/2014/main" id="{29FA29BD-009B-47A4-9432-940003C8B9EF}"/>
              </a:ext>
            </a:extLst>
          </xdr:cNvPr>
          <xdr:cNvSpPr txBox="1"/>
        </xdr:nvSpPr>
        <xdr:spPr>
          <a:xfrm>
            <a:off x="27642295" y="280469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714167</xdr:colOff>
      <xdr:row>15</xdr:row>
      <xdr:rowOff>49771</xdr:rowOff>
    </xdr:from>
    <xdr:to>
      <xdr:col>29</xdr:col>
      <xdr:colOff>485264</xdr:colOff>
      <xdr:row>18</xdr:row>
      <xdr:rowOff>7546</xdr:rowOff>
    </xdr:to>
    <xdr:grpSp>
      <xdr:nvGrpSpPr>
        <xdr:cNvPr id="511" name="Group 510">
          <a:extLst>
            <a:ext uri="{FF2B5EF4-FFF2-40B4-BE49-F238E27FC236}">
              <a16:creationId xmlns:a16="http://schemas.microsoft.com/office/drawing/2014/main" id="{F0C3242B-988A-DA40-9973-C96A868C9C6C}"/>
            </a:ext>
          </a:extLst>
        </xdr:cNvPr>
        <xdr:cNvGrpSpPr/>
      </xdr:nvGrpSpPr>
      <xdr:grpSpPr>
        <a:xfrm>
          <a:off x="24124500" y="2610938"/>
          <a:ext cx="607181" cy="486941"/>
          <a:chOff x="24082167" y="2804694"/>
          <a:chExt cx="611251" cy="485314"/>
        </a:xfrm>
      </xdr:grpSpPr>
      <xdr:sp macro="" textlink="#REF!">
        <xdr:nvSpPr>
          <xdr:cNvPr id="384" name="TextBox 383">
            <a:extLst>
              <a:ext uri="{FF2B5EF4-FFF2-40B4-BE49-F238E27FC236}">
                <a16:creationId xmlns:a16="http://schemas.microsoft.com/office/drawing/2014/main" id="{BC946DAD-D0EC-436B-BF2E-58EF7C501381}"/>
              </a:ext>
            </a:extLst>
          </xdr:cNvPr>
          <xdr:cNvSpPr txBox="1"/>
        </xdr:nvSpPr>
        <xdr:spPr>
          <a:xfrm>
            <a:off x="24257034" y="280469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5">
        <xdr:nvSpPr>
          <xdr:cNvPr id="394" name="TextBox 393">
            <a:extLst>
              <a:ext uri="{FF2B5EF4-FFF2-40B4-BE49-F238E27FC236}">
                <a16:creationId xmlns:a16="http://schemas.microsoft.com/office/drawing/2014/main" id="{D409341F-ED6A-4740-B8B6-8011F7651E27}"/>
              </a:ext>
            </a:extLst>
          </xdr:cNvPr>
          <xdr:cNvSpPr txBox="1"/>
        </xdr:nvSpPr>
        <xdr:spPr>
          <a:xfrm>
            <a:off x="24082167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1F7602D-0027-7944-8D63-A0CD26F99EA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5">
        <xdr:nvSpPr>
          <xdr:cNvPr id="395" name="TextBox 394">
            <a:extLst>
              <a:ext uri="{FF2B5EF4-FFF2-40B4-BE49-F238E27FC236}">
                <a16:creationId xmlns:a16="http://schemas.microsoft.com/office/drawing/2014/main" id="{08FF85F9-8037-4633-89CB-AA1BBBA3B467}"/>
              </a:ext>
            </a:extLst>
          </xdr:cNvPr>
          <xdr:cNvSpPr txBox="1"/>
        </xdr:nvSpPr>
        <xdr:spPr>
          <a:xfrm>
            <a:off x="24400910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7840ACA-9789-9743-840A-1239D7827E2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335586</xdr:colOff>
      <xdr:row>15</xdr:row>
      <xdr:rowOff>49771</xdr:rowOff>
    </xdr:from>
    <xdr:to>
      <xdr:col>33</xdr:col>
      <xdr:colOff>87144</xdr:colOff>
      <xdr:row>18</xdr:row>
      <xdr:rowOff>7546</xdr:rowOff>
    </xdr:to>
    <xdr:grpSp>
      <xdr:nvGrpSpPr>
        <xdr:cNvPr id="502" name="Group 501">
          <a:extLst>
            <a:ext uri="{FF2B5EF4-FFF2-40B4-BE49-F238E27FC236}">
              <a16:creationId xmlns:a16="http://schemas.microsoft.com/office/drawing/2014/main" id="{ABBB72A9-FF77-3244-9099-8A627CADDEEF}"/>
            </a:ext>
          </a:extLst>
        </xdr:cNvPr>
        <xdr:cNvGrpSpPr/>
      </xdr:nvGrpSpPr>
      <xdr:grpSpPr>
        <a:xfrm>
          <a:off x="27090253" y="2610938"/>
          <a:ext cx="587641" cy="486941"/>
          <a:chOff x="28412355" y="2804694"/>
          <a:chExt cx="591712" cy="485314"/>
        </a:xfrm>
      </xdr:grpSpPr>
      <xdr:sp macro="" textlink="Location1ANALYSIS!J17">
        <xdr:nvSpPr>
          <xdr:cNvPr id="382" name="TextBox 381">
            <a:extLst>
              <a:ext uri="{FF2B5EF4-FFF2-40B4-BE49-F238E27FC236}">
                <a16:creationId xmlns:a16="http://schemas.microsoft.com/office/drawing/2014/main" id="{2E4AD20F-4329-4C9A-A590-3689BA8C3A0F}"/>
              </a:ext>
            </a:extLst>
          </xdr:cNvPr>
          <xdr:cNvSpPr txBox="1"/>
        </xdr:nvSpPr>
        <xdr:spPr>
          <a:xfrm>
            <a:off x="28412355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1DEF4F4-EB34-0C47-9E4D-D200532E7E0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7">
        <xdr:nvSpPr>
          <xdr:cNvPr id="383" name="TextBox 382">
            <a:extLst>
              <a:ext uri="{FF2B5EF4-FFF2-40B4-BE49-F238E27FC236}">
                <a16:creationId xmlns:a16="http://schemas.microsoft.com/office/drawing/2014/main" id="{1E9D1352-EF7F-4C18-AFF4-3F1682C7FBC1}"/>
              </a:ext>
            </a:extLst>
          </xdr:cNvPr>
          <xdr:cNvSpPr txBox="1"/>
        </xdr:nvSpPr>
        <xdr:spPr>
          <a:xfrm>
            <a:off x="2871155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66F2177-5FD4-2E4B-85C7-70E2918E519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396" name="TextBox 395">
            <a:extLst>
              <a:ext uri="{FF2B5EF4-FFF2-40B4-BE49-F238E27FC236}">
                <a16:creationId xmlns:a16="http://schemas.microsoft.com/office/drawing/2014/main" id="{83E775E2-A043-4174-8F0F-B70FB43D8A25}"/>
              </a:ext>
            </a:extLst>
          </xdr:cNvPr>
          <xdr:cNvSpPr txBox="1"/>
        </xdr:nvSpPr>
        <xdr:spPr>
          <a:xfrm>
            <a:off x="28580919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264332</xdr:colOff>
      <xdr:row>10</xdr:row>
      <xdr:rowOff>158777</xdr:rowOff>
    </xdr:from>
    <xdr:to>
      <xdr:col>33</xdr:col>
      <xdr:colOff>6121</xdr:colOff>
      <xdr:row>13</xdr:row>
      <xdr:rowOff>116553</xdr:rowOff>
    </xdr:to>
    <xdr:grpSp>
      <xdr:nvGrpSpPr>
        <xdr:cNvPr id="501" name="Group 500">
          <a:extLst>
            <a:ext uri="{FF2B5EF4-FFF2-40B4-BE49-F238E27FC236}">
              <a16:creationId xmlns:a16="http://schemas.microsoft.com/office/drawing/2014/main" id="{F22D532F-5924-244F-A710-440FDF23E293}"/>
            </a:ext>
          </a:extLst>
        </xdr:cNvPr>
        <xdr:cNvGrpSpPr/>
      </xdr:nvGrpSpPr>
      <xdr:grpSpPr>
        <a:xfrm>
          <a:off x="27018999" y="1852110"/>
          <a:ext cx="577872" cy="465776"/>
          <a:chOff x="28438794" y="1682778"/>
          <a:chExt cx="581943" cy="485314"/>
        </a:xfrm>
      </xdr:grpSpPr>
      <xdr:sp macro="" textlink="#REF!">
        <xdr:nvSpPr>
          <xdr:cNvPr id="381" name="TextBox 380">
            <a:extLst>
              <a:ext uri="{FF2B5EF4-FFF2-40B4-BE49-F238E27FC236}">
                <a16:creationId xmlns:a16="http://schemas.microsoft.com/office/drawing/2014/main" id="{BCC2BCF0-109A-4844-BDFE-0967DD2F5C53}"/>
              </a:ext>
            </a:extLst>
          </xdr:cNvPr>
          <xdr:cNvSpPr txBox="1"/>
        </xdr:nvSpPr>
        <xdr:spPr>
          <a:xfrm>
            <a:off x="28591272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8">
        <xdr:nvSpPr>
          <xdr:cNvPr id="397" name="TextBox 396">
            <a:extLst>
              <a:ext uri="{FF2B5EF4-FFF2-40B4-BE49-F238E27FC236}">
                <a16:creationId xmlns:a16="http://schemas.microsoft.com/office/drawing/2014/main" id="{49CBE099-414D-46AA-9F07-BAAE493CBCF2}"/>
              </a:ext>
            </a:extLst>
          </xdr:cNvPr>
          <xdr:cNvSpPr txBox="1"/>
        </xdr:nvSpPr>
        <xdr:spPr>
          <a:xfrm>
            <a:off x="28438794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8225065-40EA-DB40-BC5E-7703B8DAE7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8">
        <xdr:nvSpPr>
          <xdr:cNvPr id="398" name="TextBox 397">
            <a:extLst>
              <a:ext uri="{FF2B5EF4-FFF2-40B4-BE49-F238E27FC236}">
                <a16:creationId xmlns:a16="http://schemas.microsoft.com/office/drawing/2014/main" id="{1EB96ACD-AA00-4BDE-921E-28DD993A86B4}"/>
              </a:ext>
            </a:extLst>
          </xdr:cNvPr>
          <xdr:cNvSpPr txBox="1"/>
        </xdr:nvSpPr>
        <xdr:spPr>
          <a:xfrm>
            <a:off x="2872822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F6AC24A-AE34-394C-8882-0F5D74A4FE2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508907</xdr:colOff>
      <xdr:row>10</xdr:row>
      <xdr:rowOff>158777</xdr:rowOff>
    </xdr:from>
    <xdr:to>
      <xdr:col>32</xdr:col>
      <xdr:colOff>338618</xdr:colOff>
      <xdr:row>13</xdr:row>
      <xdr:rowOff>116553</xdr:rowOff>
    </xdr:to>
    <xdr:grpSp>
      <xdr:nvGrpSpPr>
        <xdr:cNvPr id="500" name="Group 499">
          <a:extLst>
            <a:ext uri="{FF2B5EF4-FFF2-40B4-BE49-F238E27FC236}">
              <a16:creationId xmlns:a16="http://schemas.microsoft.com/office/drawing/2014/main" id="{FFB5FB51-C2F4-554A-82FF-93132F077AB5}"/>
            </a:ext>
          </a:extLst>
        </xdr:cNvPr>
        <xdr:cNvGrpSpPr/>
      </xdr:nvGrpSpPr>
      <xdr:grpSpPr>
        <a:xfrm>
          <a:off x="26427490" y="1852110"/>
          <a:ext cx="665795" cy="465776"/>
          <a:chOff x="27462214" y="1682778"/>
          <a:chExt cx="669865" cy="485314"/>
        </a:xfrm>
      </xdr:grpSpPr>
      <xdr:sp macro="" textlink="#REF!">
        <xdr:nvSpPr>
          <xdr:cNvPr id="380" name="TextBox 379">
            <a:extLst>
              <a:ext uri="{FF2B5EF4-FFF2-40B4-BE49-F238E27FC236}">
                <a16:creationId xmlns:a16="http://schemas.microsoft.com/office/drawing/2014/main" id="{EABEF791-597F-480A-B85A-F638C4C08485}"/>
              </a:ext>
            </a:extLst>
          </xdr:cNvPr>
          <xdr:cNvSpPr txBox="1"/>
        </xdr:nvSpPr>
        <xdr:spPr>
          <a:xfrm>
            <a:off x="27652648" y="1682778"/>
            <a:ext cx="332193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5">
        <xdr:nvSpPr>
          <xdr:cNvPr id="399" name="TextBox 398">
            <a:extLst>
              <a:ext uri="{FF2B5EF4-FFF2-40B4-BE49-F238E27FC236}">
                <a16:creationId xmlns:a16="http://schemas.microsoft.com/office/drawing/2014/main" id="{5DDDC629-075B-4A0E-86F8-D370DF4EEF0E}"/>
              </a:ext>
            </a:extLst>
          </xdr:cNvPr>
          <xdr:cNvSpPr txBox="1"/>
        </xdr:nvSpPr>
        <xdr:spPr>
          <a:xfrm>
            <a:off x="27462214" y="1682778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81E3432-5C5D-8A4E-B69C-7808EC01358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5">
        <xdr:nvSpPr>
          <xdr:cNvPr id="400" name="TextBox 399">
            <a:extLst>
              <a:ext uri="{FF2B5EF4-FFF2-40B4-BE49-F238E27FC236}">
                <a16:creationId xmlns:a16="http://schemas.microsoft.com/office/drawing/2014/main" id="{007457F4-3D19-4E64-967E-66765F706AAF}"/>
              </a:ext>
            </a:extLst>
          </xdr:cNvPr>
          <xdr:cNvSpPr txBox="1"/>
        </xdr:nvSpPr>
        <xdr:spPr>
          <a:xfrm>
            <a:off x="27787808" y="1682778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818879F-D36D-4D45-9C8F-F18486FB1A3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561403</xdr:colOff>
      <xdr:row>10</xdr:row>
      <xdr:rowOff>158777</xdr:rowOff>
    </xdr:from>
    <xdr:to>
      <xdr:col>31</xdr:col>
      <xdr:colOff>319813</xdr:colOff>
      <xdr:row>13</xdr:row>
      <xdr:rowOff>116553</xdr:rowOff>
    </xdr:to>
    <xdr:grpSp>
      <xdr:nvGrpSpPr>
        <xdr:cNvPr id="499" name="Group 498">
          <a:extLst>
            <a:ext uri="{FF2B5EF4-FFF2-40B4-BE49-F238E27FC236}">
              <a16:creationId xmlns:a16="http://schemas.microsoft.com/office/drawing/2014/main" id="{6CF1030B-6E43-6C46-A83B-C9BF806AAF0D}"/>
            </a:ext>
          </a:extLst>
        </xdr:cNvPr>
        <xdr:cNvGrpSpPr/>
      </xdr:nvGrpSpPr>
      <xdr:grpSpPr>
        <a:xfrm>
          <a:off x="25643903" y="1852110"/>
          <a:ext cx="594493" cy="465776"/>
          <a:chOff x="26303326" y="1682778"/>
          <a:chExt cx="598564" cy="485314"/>
        </a:xfrm>
      </xdr:grpSpPr>
      <xdr:sp macro="" textlink="#REF!">
        <xdr:nvSpPr>
          <xdr:cNvPr id="379" name="TextBox 378">
            <a:extLst>
              <a:ext uri="{FF2B5EF4-FFF2-40B4-BE49-F238E27FC236}">
                <a16:creationId xmlns:a16="http://schemas.microsoft.com/office/drawing/2014/main" id="{D3583DB6-646E-49BC-A3A5-422DD32B0D3E}"/>
              </a:ext>
            </a:extLst>
          </xdr:cNvPr>
          <xdr:cNvSpPr txBox="1"/>
        </xdr:nvSpPr>
        <xdr:spPr>
          <a:xfrm>
            <a:off x="26472466" y="1682778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12">
        <xdr:nvSpPr>
          <xdr:cNvPr id="401" name="TextBox 400">
            <a:extLst>
              <a:ext uri="{FF2B5EF4-FFF2-40B4-BE49-F238E27FC236}">
                <a16:creationId xmlns:a16="http://schemas.microsoft.com/office/drawing/2014/main" id="{B271565B-7ADA-459B-BA3E-BE9E30D80754}"/>
              </a:ext>
            </a:extLst>
          </xdr:cNvPr>
          <xdr:cNvSpPr txBox="1"/>
        </xdr:nvSpPr>
        <xdr:spPr>
          <a:xfrm>
            <a:off x="26303326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8E8B44-8FE2-2F41-AA12-B504F398197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2">
        <xdr:nvSpPr>
          <xdr:cNvPr id="402" name="TextBox 401">
            <a:extLst>
              <a:ext uri="{FF2B5EF4-FFF2-40B4-BE49-F238E27FC236}">
                <a16:creationId xmlns:a16="http://schemas.microsoft.com/office/drawing/2014/main" id="{D48A9462-66CE-4B6B-AE71-B3D92754700C}"/>
              </a:ext>
            </a:extLst>
          </xdr:cNvPr>
          <xdr:cNvSpPr txBox="1"/>
        </xdr:nvSpPr>
        <xdr:spPr>
          <a:xfrm>
            <a:off x="26609382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3438ED-279F-234B-A9A5-E62E1CF7C7B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777058</xdr:colOff>
      <xdr:row>10</xdr:row>
      <xdr:rowOff>158777</xdr:rowOff>
    </xdr:from>
    <xdr:to>
      <xdr:col>30</xdr:col>
      <xdr:colOff>557924</xdr:colOff>
      <xdr:row>13</xdr:row>
      <xdr:rowOff>116553</xdr:rowOff>
    </xdr:to>
    <xdr:grpSp>
      <xdr:nvGrpSpPr>
        <xdr:cNvPr id="498" name="Group 497">
          <a:extLst>
            <a:ext uri="{FF2B5EF4-FFF2-40B4-BE49-F238E27FC236}">
              <a16:creationId xmlns:a16="http://schemas.microsoft.com/office/drawing/2014/main" id="{5BC88EC3-E942-E44F-955F-DF0B9701EE46}"/>
            </a:ext>
          </a:extLst>
        </xdr:cNvPr>
        <xdr:cNvGrpSpPr/>
      </xdr:nvGrpSpPr>
      <xdr:grpSpPr>
        <a:xfrm>
          <a:off x="25023475" y="1852110"/>
          <a:ext cx="616949" cy="465776"/>
          <a:chOff x="25073135" y="1682778"/>
          <a:chExt cx="621019" cy="485314"/>
        </a:xfrm>
      </xdr:grpSpPr>
      <xdr:sp macro="" textlink="#REF!">
        <xdr:nvSpPr>
          <xdr:cNvPr id="378" name="TextBox 377">
            <a:extLst>
              <a:ext uri="{FF2B5EF4-FFF2-40B4-BE49-F238E27FC236}">
                <a16:creationId xmlns:a16="http://schemas.microsoft.com/office/drawing/2014/main" id="{98BE3BD1-3973-4711-8B3B-CB1C13052F47}"/>
              </a:ext>
            </a:extLst>
          </xdr:cNvPr>
          <xdr:cNvSpPr txBox="1"/>
        </xdr:nvSpPr>
        <xdr:spPr>
          <a:xfrm>
            <a:off x="25240521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9">
        <xdr:nvSpPr>
          <xdr:cNvPr id="403" name="TextBox 402">
            <a:extLst>
              <a:ext uri="{FF2B5EF4-FFF2-40B4-BE49-F238E27FC236}">
                <a16:creationId xmlns:a16="http://schemas.microsoft.com/office/drawing/2014/main" id="{03066B21-23D6-44A1-9F37-0B13FEE42D98}"/>
              </a:ext>
            </a:extLst>
          </xdr:cNvPr>
          <xdr:cNvSpPr txBox="1"/>
        </xdr:nvSpPr>
        <xdr:spPr>
          <a:xfrm>
            <a:off x="25073135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E35657E-60AC-0A41-BF69-3FC53FA8B49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9">
        <xdr:nvSpPr>
          <xdr:cNvPr id="404" name="TextBox 403">
            <a:extLst>
              <a:ext uri="{FF2B5EF4-FFF2-40B4-BE49-F238E27FC236}">
                <a16:creationId xmlns:a16="http://schemas.microsoft.com/office/drawing/2014/main" id="{861BF13B-CDD6-447D-A97E-4EB96AD06A19}"/>
              </a:ext>
            </a:extLst>
          </xdr:cNvPr>
          <xdr:cNvSpPr txBox="1"/>
        </xdr:nvSpPr>
        <xdr:spPr>
          <a:xfrm>
            <a:off x="25401646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4568DEC-B5A8-F042-9A25-A0DA970EBC9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66530</xdr:colOff>
      <xdr:row>10</xdr:row>
      <xdr:rowOff>158777</xdr:rowOff>
    </xdr:from>
    <xdr:to>
      <xdr:col>29</xdr:col>
      <xdr:colOff>677781</xdr:colOff>
      <xdr:row>13</xdr:row>
      <xdr:rowOff>116553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DBB72774-7276-F64D-90CD-9FE7B1724AF9}"/>
            </a:ext>
          </a:extLst>
        </xdr:cNvPr>
        <xdr:cNvGrpSpPr/>
      </xdr:nvGrpSpPr>
      <xdr:grpSpPr>
        <a:xfrm>
          <a:off x="24312947" y="1852110"/>
          <a:ext cx="611251" cy="465776"/>
          <a:chOff x="24089069" y="1682778"/>
          <a:chExt cx="611251" cy="485314"/>
        </a:xfrm>
      </xdr:grpSpPr>
      <xdr:sp macro="" textlink="">
        <xdr:nvSpPr>
          <xdr:cNvPr id="377" name="TextBox 376">
            <a:extLst>
              <a:ext uri="{FF2B5EF4-FFF2-40B4-BE49-F238E27FC236}">
                <a16:creationId xmlns:a16="http://schemas.microsoft.com/office/drawing/2014/main" id="{9F77C981-9A00-486D-B26D-6A38EDE6EFA0}"/>
              </a:ext>
            </a:extLst>
          </xdr:cNvPr>
          <xdr:cNvSpPr txBox="1"/>
        </xdr:nvSpPr>
        <xdr:spPr>
          <a:xfrm>
            <a:off x="24267387" y="1682778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  <xdr:sp macro="" textlink="Location1ANALYSIS!J6">
        <xdr:nvSpPr>
          <xdr:cNvPr id="405" name="TextBox 404">
            <a:extLst>
              <a:ext uri="{FF2B5EF4-FFF2-40B4-BE49-F238E27FC236}">
                <a16:creationId xmlns:a16="http://schemas.microsoft.com/office/drawing/2014/main" id="{9EB75EB6-B892-4EAC-8C93-EA30917AF0A1}"/>
              </a:ext>
            </a:extLst>
          </xdr:cNvPr>
          <xdr:cNvSpPr txBox="1"/>
        </xdr:nvSpPr>
        <xdr:spPr>
          <a:xfrm>
            <a:off x="2408906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4DC0000-EFA9-D24C-876E-FFCAAA3E0F7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6">
        <xdr:nvSpPr>
          <xdr:cNvPr id="406" name="TextBox 405">
            <a:extLst>
              <a:ext uri="{FF2B5EF4-FFF2-40B4-BE49-F238E27FC236}">
                <a16:creationId xmlns:a16="http://schemas.microsoft.com/office/drawing/2014/main" id="{C5752459-2330-4170-A78B-7585C2702178}"/>
              </a:ext>
            </a:extLst>
          </xdr:cNvPr>
          <xdr:cNvSpPr txBox="1"/>
        </xdr:nvSpPr>
        <xdr:spPr>
          <a:xfrm>
            <a:off x="24407812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6039B80-08BB-BC43-9879-7A06E123919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28</xdr:col>
      <xdr:colOff>480289</xdr:colOff>
      <xdr:row>20</xdr:row>
      <xdr:rowOff>104985</xdr:rowOff>
    </xdr:from>
    <xdr:to>
      <xdr:col>29</xdr:col>
      <xdr:colOff>284148</xdr:colOff>
      <xdr:row>23</xdr:row>
      <xdr:rowOff>89652</xdr:rowOff>
    </xdr:to>
    <xdr:grpSp>
      <xdr:nvGrpSpPr>
        <xdr:cNvPr id="510" name="Group 509">
          <a:extLst>
            <a:ext uri="{FF2B5EF4-FFF2-40B4-BE49-F238E27FC236}">
              <a16:creationId xmlns:a16="http://schemas.microsoft.com/office/drawing/2014/main" id="{C149869B-F19B-664C-B6E9-1AD5D6AD2250}"/>
            </a:ext>
          </a:extLst>
        </xdr:cNvPr>
        <xdr:cNvGrpSpPr/>
      </xdr:nvGrpSpPr>
      <xdr:grpSpPr>
        <a:xfrm>
          <a:off x="23890622" y="3533985"/>
          <a:ext cx="639943" cy="492667"/>
          <a:chOff x="24112058" y="3846601"/>
          <a:chExt cx="644013" cy="482898"/>
        </a:xfrm>
      </xdr:grpSpPr>
      <xdr:sp macro="" textlink="Location1ANALYSIS!J4">
        <xdr:nvSpPr>
          <xdr:cNvPr id="487" name="TextBox 486">
            <a:extLst>
              <a:ext uri="{FF2B5EF4-FFF2-40B4-BE49-F238E27FC236}">
                <a16:creationId xmlns:a16="http://schemas.microsoft.com/office/drawing/2014/main" id="{AEEFB902-3231-4E7A-9AE2-6ADB295B6325}"/>
              </a:ext>
            </a:extLst>
          </xdr:cNvPr>
          <xdr:cNvSpPr txBox="1"/>
        </xdr:nvSpPr>
        <xdr:spPr>
          <a:xfrm>
            <a:off x="241120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3F5D9B2-1BF9-AA4E-8E54-9B414D363D0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4">
        <xdr:nvSpPr>
          <xdr:cNvPr id="488" name="TextBox 487">
            <a:extLst>
              <a:ext uri="{FF2B5EF4-FFF2-40B4-BE49-F238E27FC236}">
                <a16:creationId xmlns:a16="http://schemas.microsoft.com/office/drawing/2014/main" id="{36CBB450-EF7E-4BA1-B94E-32D4ACCEDBDE}"/>
              </a:ext>
            </a:extLst>
          </xdr:cNvPr>
          <xdr:cNvSpPr txBox="1"/>
        </xdr:nvSpPr>
        <xdr:spPr>
          <a:xfrm>
            <a:off x="24444469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E476963-C3FB-3544-A75E-B286EE403FC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89" name="TextBox 488">
            <a:extLst>
              <a:ext uri="{FF2B5EF4-FFF2-40B4-BE49-F238E27FC236}">
                <a16:creationId xmlns:a16="http://schemas.microsoft.com/office/drawing/2014/main" id="{70D677EC-A373-4A4F-A6CA-9B38AB8894FF}"/>
              </a:ext>
            </a:extLst>
          </xdr:cNvPr>
          <xdr:cNvSpPr txBox="1"/>
        </xdr:nvSpPr>
        <xdr:spPr>
          <a:xfrm>
            <a:off x="24296056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585087</xdr:colOff>
      <xdr:row>20</xdr:row>
      <xdr:rowOff>104985</xdr:rowOff>
    </xdr:from>
    <xdr:to>
      <xdr:col>30</xdr:col>
      <xdr:colOff>379178</xdr:colOff>
      <xdr:row>23</xdr:row>
      <xdr:rowOff>89652</xdr:rowOff>
    </xdr:to>
    <xdr:grpSp>
      <xdr:nvGrpSpPr>
        <xdr:cNvPr id="509" name="Group 508">
          <a:extLst>
            <a:ext uri="{FF2B5EF4-FFF2-40B4-BE49-F238E27FC236}">
              <a16:creationId xmlns:a16="http://schemas.microsoft.com/office/drawing/2014/main" id="{85FD17F9-CECE-C847-B1FB-BC18CA90BAB0}"/>
            </a:ext>
          </a:extLst>
        </xdr:cNvPr>
        <xdr:cNvGrpSpPr/>
      </xdr:nvGrpSpPr>
      <xdr:grpSpPr>
        <a:xfrm>
          <a:off x="24831504" y="3533985"/>
          <a:ext cx="630174" cy="492667"/>
          <a:chOff x="25086318" y="3846601"/>
          <a:chExt cx="634244" cy="482898"/>
        </a:xfrm>
      </xdr:grpSpPr>
      <xdr:sp macro="" textlink="Location1ANALYSIS!$J$7">
        <xdr:nvSpPr>
          <xdr:cNvPr id="485" name="TextBox 484">
            <a:extLst>
              <a:ext uri="{FF2B5EF4-FFF2-40B4-BE49-F238E27FC236}">
                <a16:creationId xmlns:a16="http://schemas.microsoft.com/office/drawing/2014/main" id="{B83194BC-A5F1-4D1C-BE37-C9BD5F28189D}"/>
              </a:ext>
            </a:extLst>
          </xdr:cNvPr>
          <xdr:cNvSpPr txBox="1"/>
        </xdr:nvSpPr>
        <xdr:spPr>
          <a:xfrm>
            <a:off x="25086318" y="3846601"/>
            <a:ext cx="298735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9523477-3AE5-3046-B73E-B2E5450BF04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$7">
        <xdr:nvSpPr>
          <xdr:cNvPr id="486" name="TextBox 485">
            <a:extLst>
              <a:ext uri="{FF2B5EF4-FFF2-40B4-BE49-F238E27FC236}">
                <a16:creationId xmlns:a16="http://schemas.microsoft.com/office/drawing/2014/main" id="{8D1144FF-7035-4C59-925E-09921D1BEE14}"/>
              </a:ext>
            </a:extLst>
          </xdr:cNvPr>
          <xdr:cNvSpPr txBox="1"/>
        </xdr:nvSpPr>
        <xdr:spPr>
          <a:xfrm>
            <a:off x="25408960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4FDEF28-29B7-814B-A860-66984BD1E90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0" name="TextBox 489">
            <a:extLst>
              <a:ext uri="{FF2B5EF4-FFF2-40B4-BE49-F238E27FC236}">
                <a16:creationId xmlns:a16="http://schemas.microsoft.com/office/drawing/2014/main" id="{5BF15B93-68CC-4E9C-8803-B59C28DE2300}"/>
              </a:ext>
            </a:extLst>
          </xdr:cNvPr>
          <xdr:cNvSpPr txBox="1"/>
        </xdr:nvSpPr>
        <xdr:spPr>
          <a:xfrm>
            <a:off x="2525919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513386</xdr:colOff>
      <xdr:row>20</xdr:row>
      <xdr:rowOff>104985</xdr:rowOff>
    </xdr:from>
    <xdr:to>
      <xdr:col>31</xdr:col>
      <xdr:colOff>307475</xdr:colOff>
      <xdr:row>23</xdr:row>
      <xdr:rowOff>89652</xdr:rowOff>
    </xdr:to>
    <xdr:grpSp>
      <xdr:nvGrpSpPr>
        <xdr:cNvPr id="506" name="Group 505">
          <a:extLst>
            <a:ext uri="{FF2B5EF4-FFF2-40B4-BE49-F238E27FC236}">
              <a16:creationId xmlns:a16="http://schemas.microsoft.com/office/drawing/2014/main" id="{A7DC5379-D1D2-574F-818D-DE6E9405B52E}"/>
            </a:ext>
          </a:extLst>
        </xdr:cNvPr>
        <xdr:cNvGrpSpPr/>
      </xdr:nvGrpSpPr>
      <xdr:grpSpPr>
        <a:xfrm>
          <a:off x="25595886" y="3533985"/>
          <a:ext cx="630172" cy="492667"/>
          <a:chOff x="26284616" y="3846601"/>
          <a:chExt cx="634243" cy="482898"/>
        </a:xfrm>
      </xdr:grpSpPr>
      <xdr:sp macro="" textlink="Location1ANALYSIS!$J$10">
        <xdr:nvSpPr>
          <xdr:cNvPr id="483" name="TextBox 482">
            <a:extLst>
              <a:ext uri="{FF2B5EF4-FFF2-40B4-BE49-F238E27FC236}">
                <a16:creationId xmlns:a16="http://schemas.microsoft.com/office/drawing/2014/main" id="{835D28B3-58E9-48A0-B6FF-E1E45B85D74B}"/>
              </a:ext>
            </a:extLst>
          </xdr:cNvPr>
          <xdr:cNvSpPr txBox="1"/>
        </xdr:nvSpPr>
        <xdr:spPr>
          <a:xfrm>
            <a:off x="26284616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8497859-EEB1-394D-9F0B-3B2757B2C09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$K$10">
        <xdr:nvSpPr>
          <xdr:cNvPr id="484" name="TextBox 483">
            <a:extLst>
              <a:ext uri="{FF2B5EF4-FFF2-40B4-BE49-F238E27FC236}">
                <a16:creationId xmlns:a16="http://schemas.microsoft.com/office/drawing/2014/main" id="{0382D70C-F2C5-4A67-BA80-25A93F558F70}"/>
              </a:ext>
            </a:extLst>
          </xdr:cNvPr>
          <xdr:cNvSpPr txBox="1"/>
        </xdr:nvSpPr>
        <xdr:spPr>
          <a:xfrm>
            <a:off x="26607257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1376B67-9904-F545-846C-54A0983FC01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1" name="TextBox 490">
            <a:extLst>
              <a:ext uri="{FF2B5EF4-FFF2-40B4-BE49-F238E27FC236}">
                <a16:creationId xmlns:a16="http://schemas.microsoft.com/office/drawing/2014/main" id="{D9D72127-74D8-47DD-8FEB-0668147780BF}"/>
              </a:ext>
            </a:extLst>
          </xdr:cNvPr>
          <xdr:cNvSpPr txBox="1"/>
        </xdr:nvSpPr>
        <xdr:spPr>
          <a:xfrm>
            <a:off x="2646127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549142</xdr:colOff>
      <xdr:row>20</xdr:row>
      <xdr:rowOff>104985</xdr:rowOff>
    </xdr:from>
    <xdr:to>
      <xdr:col>32</xdr:col>
      <xdr:colOff>362769</xdr:colOff>
      <xdr:row>23</xdr:row>
      <xdr:rowOff>89652</xdr:rowOff>
    </xdr:to>
    <xdr:grpSp>
      <xdr:nvGrpSpPr>
        <xdr:cNvPr id="505" name="Group 504">
          <a:extLst>
            <a:ext uri="{FF2B5EF4-FFF2-40B4-BE49-F238E27FC236}">
              <a16:creationId xmlns:a16="http://schemas.microsoft.com/office/drawing/2014/main" id="{C9C670A0-6752-7144-B8EF-41EF0A8F06AE}"/>
            </a:ext>
          </a:extLst>
        </xdr:cNvPr>
        <xdr:cNvGrpSpPr/>
      </xdr:nvGrpSpPr>
      <xdr:grpSpPr>
        <a:xfrm>
          <a:off x="26467725" y="3533985"/>
          <a:ext cx="649711" cy="492667"/>
          <a:chOff x="27482911" y="3846601"/>
          <a:chExt cx="653781" cy="482898"/>
        </a:xfrm>
      </xdr:grpSpPr>
      <xdr:sp macro="" textlink="Location1ANALYSIS!J13">
        <xdr:nvSpPr>
          <xdr:cNvPr id="481" name="TextBox 480">
            <a:extLst>
              <a:ext uri="{FF2B5EF4-FFF2-40B4-BE49-F238E27FC236}">
                <a16:creationId xmlns:a16="http://schemas.microsoft.com/office/drawing/2014/main" id="{B77B8E94-33BD-4308-8CE1-E544108FE052}"/>
              </a:ext>
            </a:extLst>
          </xdr:cNvPr>
          <xdr:cNvSpPr txBox="1"/>
        </xdr:nvSpPr>
        <xdr:spPr>
          <a:xfrm>
            <a:off x="27482911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770157F-D507-7B47-8BCE-BBAD2974258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3">
        <xdr:nvSpPr>
          <xdr:cNvPr id="482" name="TextBox 481">
            <a:extLst>
              <a:ext uri="{FF2B5EF4-FFF2-40B4-BE49-F238E27FC236}">
                <a16:creationId xmlns:a16="http://schemas.microsoft.com/office/drawing/2014/main" id="{54A3E191-F078-449F-8ECD-F012B2206B4A}"/>
              </a:ext>
            </a:extLst>
          </xdr:cNvPr>
          <xdr:cNvSpPr txBox="1"/>
        </xdr:nvSpPr>
        <xdr:spPr>
          <a:xfrm>
            <a:off x="27825090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1C474A1-E440-4C45-9E72-3504CF06B39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6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2" name="TextBox 491">
            <a:extLst>
              <a:ext uri="{FF2B5EF4-FFF2-40B4-BE49-F238E27FC236}">
                <a16:creationId xmlns:a16="http://schemas.microsoft.com/office/drawing/2014/main" id="{83E92BFF-C23C-458F-97E6-F8678569C625}"/>
              </a:ext>
            </a:extLst>
          </xdr:cNvPr>
          <xdr:cNvSpPr txBox="1"/>
        </xdr:nvSpPr>
        <xdr:spPr>
          <a:xfrm>
            <a:off x="27663348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459712</xdr:colOff>
      <xdr:row>20</xdr:row>
      <xdr:rowOff>104985</xdr:rowOff>
    </xdr:from>
    <xdr:to>
      <xdr:col>33</xdr:col>
      <xdr:colOff>234264</xdr:colOff>
      <xdr:row>23</xdr:row>
      <xdr:rowOff>89652</xdr:rowOff>
    </xdr:to>
    <xdr:grpSp>
      <xdr:nvGrpSpPr>
        <xdr:cNvPr id="503" name="Group 502">
          <a:extLst>
            <a:ext uri="{FF2B5EF4-FFF2-40B4-BE49-F238E27FC236}">
              <a16:creationId xmlns:a16="http://schemas.microsoft.com/office/drawing/2014/main" id="{DFE36D57-1E3E-D24A-B7B0-34AAB14DA8F9}"/>
            </a:ext>
          </a:extLst>
        </xdr:cNvPr>
        <xdr:cNvGrpSpPr/>
      </xdr:nvGrpSpPr>
      <xdr:grpSpPr>
        <a:xfrm>
          <a:off x="27214379" y="3533985"/>
          <a:ext cx="610635" cy="492667"/>
          <a:chOff x="28448558" y="3846601"/>
          <a:chExt cx="614706" cy="482898"/>
        </a:xfrm>
      </xdr:grpSpPr>
      <xdr:sp macro="" textlink="Location1ANALYSIS!J16">
        <xdr:nvSpPr>
          <xdr:cNvPr id="479" name="TextBox 478">
            <a:extLst>
              <a:ext uri="{FF2B5EF4-FFF2-40B4-BE49-F238E27FC236}">
                <a16:creationId xmlns:a16="http://schemas.microsoft.com/office/drawing/2014/main" id="{2FDF8322-2AC7-4371-98BA-67881BF8F51F}"/>
              </a:ext>
            </a:extLst>
          </xdr:cNvPr>
          <xdr:cNvSpPr txBox="1"/>
        </xdr:nvSpPr>
        <xdr:spPr>
          <a:xfrm>
            <a:off x="284485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CDD943A-6807-C944-9C7E-AA2C3532973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6">
        <xdr:nvSpPr>
          <xdr:cNvPr id="480" name="TextBox 479">
            <a:extLst>
              <a:ext uri="{FF2B5EF4-FFF2-40B4-BE49-F238E27FC236}">
                <a16:creationId xmlns:a16="http://schemas.microsoft.com/office/drawing/2014/main" id="{42D1E4C2-F6C9-4F4A-B88A-BB39180B441C}"/>
              </a:ext>
            </a:extLst>
          </xdr:cNvPr>
          <xdr:cNvSpPr txBox="1"/>
        </xdr:nvSpPr>
        <xdr:spPr>
          <a:xfrm>
            <a:off x="28751662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68ECF56-13C8-F24E-8C36-C362FF03B2B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493" name="TextBox 492">
            <a:extLst>
              <a:ext uri="{FF2B5EF4-FFF2-40B4-BE49-F238E27FC236}">
                <a16:creationId xmlns:a16="http://schemas.microsoft.com/office/drawing/2014/main" id="{DC6E2627-16E1-4BFB-9F7F-241E341CF147}"/>
              </a:ext>
            </a:extLst>
          </xdr:cNvPr>
          <xdr:cNvSpPr txBox="1"/>
        </xdr:nvSpPr>
        <xdr:spPr>
          <a:xfrm>
            <a:off x="2860810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483202</xdr:colOff>
      <xdr:row>27</xdr:row>
      <xdr:rowOff>10540</xdr:rowOff>
    </xdr:from>
    <xdr:to>
      <xdr:col>31</xdr:col>
      <xdr:colOff>477456</xdr:colOff>
      <xdr:row>28</xdr:row>
      <xdr:rowOff>122182</xdr:rowOff>
    </xdr:to>
    <xdr:sp macro="" textlink="Location1ANALYSIS!L32">
      <xdr:nvSpPr>
        <xdr:cNvPr id="452" name="Rectangle 451">
          <a:extLst>
            <a:ext uri="{FF2B5EF4-FFF2-40B4-BE49-F238E27FC236}">
              <a16:creationId xmlns:a16="http://schemas.microsoft.com/office/drawing/2014/main" id="{E1A495FB-C3AB-49D4-ABC1-780DED88A39F}"/>
            </a:ext>
          </a:extLst>
        </xdr:cNvPr>
        <xdr:cNvSpPr>
          <a:spLocks noChangeAspect="1"/>
        </xdr:cNvSpPr>
      </xdr:nvSpPr>
      <xdr:spPr>
        <a:xfrm>
          <a:off x="25565702" y="4624873"/>
          <a:ext cx="830337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AF4A83A-B2C5-C843-9CC3-F2534060F3BC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67%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333118</xdr:colOff>
      <xdr:row>27</xdr:row>
      <xdr:rowOff>10540</xdr:rowOff>
    </xdr:from>
    <xdr:to>
      <xdr:col>29</xdr:col>
      <xdr:colOff>327373</xdr:colOff>
      <xdr:row>28</xdr:row>
      <xdr:rowOff>122182</xdr:rowOff>
    </xdr:to>
    <xdr:sp macro="" textlink="Location1ANALYSIS!L30">
      <xdr:nvSpPr>
        <xdr:cNvPr id="453" name="Rectangle 452">
          <a:extLst>
            <a:ext uri="{FF2B5EF4-FFF2-40B4-BE49-F238E27FC236}">
              <a16:creationId xmlns:a16="http://schemas.microsoft.com/office/drawing/2014/main" id="{7029354C-A38A-4C0C-8C11-2D3E74E1FD79}"/>
            </a:ext>
          </a:extLst>
        </xdr:cNvPr>
        <xdr:cNvSpPr>
          <a:spLocks noChangeAspect="1"/>
        </xdr:cNvSpPr>
      </xdr:nvSpPr>
      <xdr:spPr>
        <a:xfrm>
          <a:off x="23743451" y="4624873"/>
          <a:ext cx="830339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9EFDA917-367A-9443-8DE0-C5376BEBD07C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29</xdr:col>
      <xdr:colOff>493119</xdr:colOff>
      <xdr:row>27</xdr:row>
      <xdr:rowOff>10540</xdr:rowOff>
    </xdr:from>
    <xdr:to>
      <xdr:col>30</xdr:col>
      <xdr:colOff>487374</xdr:colOff>
      <xdr:row>28</xdr:row>
      <xdr:rowOff>122182</xdr:rowOff>
    </xdr:to>
    <xdr:sp macro="" textlink="Location1ANALYSIS!L31">
      <xdr:nvSpPr>
        <xdr:cNvPr id="454" name="Rectangle 453">
          <a:extLst>
            <a:ext uri="{FF2B5EF4-FFF2-40B4-BE49-F238E27FC236}">
              <a16:creationId xmlns:a16="http://schemas.microsoft.com/office/drawing/2014/main" id="{E8F39CA2-DA67-4C46-8AD1-B12BA1A454BA}"/>
            </a:ext>
          </a:extLst>
        </xdr:cNvPr>
        <xdr:cNvSpPr>
          <a:spLocks noChangeAspect="1"/>
        </xdr:cNvSpPr>
      </xdr:nvSpPr>
      <xdr:spPr>
        <a:xfrm>
          <a:off x="24739536" y="4624873"/>
          <a:ext cx="830338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7E2C4CA-FD7E-FC40-935B-A82BFA888C2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75%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17724</xdr:colOff>
      <xdr:row>7</xdr:row>
      <xdr:rowOff>68386</xdr:rowOff>
    </xdr:from>
    <xdr:to>
      <xdr:col>32</xdr:col>
      <xdr:colOff>11978</xdr:colOff>
      <xdr:row>9</xdr:row>
      <xdr:rowOff>4182</xdr:rowOff>
    </xdr:to>
    <xdr:sp macro="" textlink="Location1ANALYSIS!C2">
      <xdr:nvSpPr>
        <xdr:cNvPr id="460" name="Rectangle 459">
          <a:extLst>
            <a:ext uri="{FF2B5EF4-FFF2-40B4-BE49-F238E27FC236}">
              <a16:creationId xmlns:a16="http://schemas.microsoft.com/office/drawing/2014/main" id="{D3D1A34A-1A51-4149-9BFF-833CAF6CE266}"/>
            </a:ext>
          </a:extLst>
        </xdr:cNvPr>
        <xdr:cNvSpPr>
          <a:spLocks noChangeAspect="1"/>
        </xdr:cNvSpPr>
      </xdr:nvSpPr>
      <xdr:spPr>
        <a:xfrm>
          <a:off x="26062493" y="1230924"/>
          <a:ext cx="834408" cy="2777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2AF20377-D41E-E64D-9153-B747699CF32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algn="ctr"/>
            <a:t>away</a:t>
          </a:fld>
          <a:endParaRPr lang="en-US" sz="1050" b="1" i="0">
            <a:solidFill>
              <a:srgbClr val="00808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314008</xdr:colOff>
      <xdr:row>27</xdr:row>
      <xdr:rowOff>10540</xdr:rowOff>
    </xdr:from>
    <xdr:to>
      <xdr:col>32</xdr:col>
      <xdr:colOff>308263</xdr:colOff>
      <xdr:row>28</xdr:row>
      <xdr:rowOff>122182</xdr:rowOff>
    </xdr:to>
    <xdr:sp macro="" textlink="Location1ANALYSIS!L33">
      <xdr:nvSpPr>
        <xdr:cNvPr id="477" name="Rectangle 476">
          <a:extLst>
            <a:ext uri="{FF2B5EF4-FFF2-40B4-BE49-F238E27FC236}">
              <a16:creationId xmlns:a16="http://schemas.microsoft.com/office/drawing/2014/main" id="{A894BD54-6457-4EF2-AD5A-BDB9A7180F18}"/>
            </a:ext>
          </a:extLst>
        </xdr:cNvPr>
        <xdr:cNvSpPr>
          <a:spLocks noChangeAspect="1"/>
        </xdr:cNvSpPr>
      </xdr:nvSpPr>
      <xdr:spPr>
        <a:xfrm>
          <a:off x="26232591" y="4624873"/>
          <a:ext cx="830339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712D34F2-5A31-CF46-8292-31BCF190A8E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38%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32</xdr:col>
      <xdr:colOff>290680</xdr:colOff>
      <xdr:row>27</xdr:row>
      <xdr:rowOff>10540</xdr:rowOff>
    </xdr:from>
    <xdr:to>
      <xdr:col>33</xdr:col>
      <xdr:colOff>284934</xdr:colOff>
      <xdr:row>28</xdr:row>
      <xdr:rowOff>122182</xdr:rowOff>
    </xdr:to>
    <xdr:sp macro="" textlink="Location1ANALYSIS!L37">
      <xdr:nvSpPr>
        <xdr:cNvPr id="478" name="Rectangle 477">
          <a:extLst>
            <a:ext uri="{FF2B5EF4-FFF2-40B4-BE49-F238E27FC236}">
              <a16:creationId xmlns:a16="http://schemas.microsoft.com/office/drawing/2014/main" id="{D28E5671-E3CC-4E6B-88DA-A198264CB8A3}"/>
            </a:ext>
          </a:extLst>
        </xdr:cNvPr>
        <xdr:cNvSpPr>
          <a:spLocks noChangeAspect="1"/>
        </xdr:cNvSpPr>
      </xdr:nvSpPr>
      <xdr:spPr>
        <a:xfrm>
          <a:off x="27175603" y="4533694"/>
          <a:ext cx="834408" cy="2874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8940B1CA-2AC6-6E40-8512-4CAF55B20525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40628</xdr:colOff>
      <xdr:row>1</xdr:row>
      <xdr:rowOff>152400</xdr:rowOff>
    </xdr:from>
    <xdr:to>
      <xdr:col>32</xdr:col>
      <xdr:colOff>837836</xdr:colOff>
      <xdr:row>4</xdr:row>
      <xdr:rowOff>46408</xdr:rowOff>
    </xdr:to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751856B9-58F5-458D-B683-07CB16BBE169}"/>
            </a:ext>
          </a:extLst>
        </xdr:cNvPr>
        <xdr:cNvSpPr txBox="1"/>
      </xdr:nvSpPr>
      <xdr:spPr>
        <a:xfrm>
          <a:off x="25245243" y="318477"/>
          <a:ext cx="2477516" cy="392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Scoring locations</a:t>
          </a:r>
        </a:p>
      </xdr:txBody>
    </xdr:sp>
    <xdr:clientData/>
  </xdr:twoCellAnchor>
  <xdr:twoCellAnchor>
    <xdr:from>
      <xdr:col>43</xdr:col>
      <xdr:colOff>487601</xdr:colOff>
      <xdr:row>6</xdr:row>
      <xdr:rowOff>168357</xdr:rowOff>
    </xdr:from>
    <xdr:to>
      <xdr:col>44</xdr:col>
      <xdr:colOff>470407</xdr:colOff>
      <xdr:row>8</xdr:row>
      <xdr:rowOff>97496</xdr:rowOff>
    </xdr:to>
    <xdr:sp macro="" textlink="MatchANALYSIS!H28">
      <xdr:nvSpPr>
        <xdr:cNvPr id="444" name="Rectangle 443">
          <a:extLst>
            <a:ext uri="{FF2B5EF4-FFF2-40B4-BE49-F238E27FC236}">
              <a16:creationId xmlns:a16="http://schemas.microsoft.com/office/drawing/2014/main" id="{F6D7C9D7-AE1F-4843-ACED-E66AEAEE0CAA}"/>
            </a:ext>
          </a:extLst>
        </xdr:cNvPr>
        <xdr:cNvSpPr>
          <a:spLocks noChangeAspect="1"/>
        </xdr:cNvSpPr>
      </xdr:nvSpPr>
      <xdr:spPr>
        <a:xfrm>
          <a:off x="36439184" y="1184357"/>
          <a:ext cx="818890" cy="2678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F2198C5-FE79-C543-893E-DBA7DE2D3B37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6</xdr:row>
      <xdr:rowOff>168357</xdr:rowOff>
    </xdr:from>
    <xdr:to>
      <xdr:col>46</xdr:col>
      <xdr:colOff>396400</xdr:colOff>
      <xdr:row>8</xdr:row>
      <xdr:rowOff>97496</xdr:rowOff>
    </xdr:to>
    <xdr:sp macro="" textlink="MatchANALYSIS!F28">
      <xdr:nvSpPr>
        <xdr:cNvPr id="515" name="Rectangle 514">
          <a:extLst>
            <a:ext uri="{FF2B5EF4-FFF2-40B4-BE49-F238E27FC236}">
              <a16:creationId xmlns:a16="http://schemas.microsoft.com/office/drawing/2014/main" id="{43A835CA-548D-8847-ABD1-1AF580019BD8}"/>
            </a:ext>
          </a:extLst>
        </xdr:cNvPr>
        <xdr:cNvSpPr>
          <a:spLocks/>
        </xdr:cNvSpPr>
      </xdr:nvSpPr>
      <xdr:spPr>
        <a:xfrm>
          <a:off x="37309895" y="1184357"/>
          <a:ext cx="1546338" cy="2678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858A14E-53FD-2A4F-B467-004BB09C6C85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Frees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4</xdr:row>
      <xdr:rowOff>144918</xdr:rowOff>
    </xdr:from>
    <xdr:to>
      <xdr:col>44</xdr:col>
      <xdr:colOff>470407</xdr:colOff>
      <xdr:row>6</xdr:row>
      <xdr:rowOff>83828</xdr:rowOff>
    </xdr:to>
    <xdr:sp macro="" textlink="[1]Match!$C$1">
      <xdr:nvSpPr>
        <xdr:cNvPr id="516" name="Rectangle 515">
          <a:extLst>
            <a:ext uri="{FF2B5EF4-FFF2-40B4-BE49-F238E27FC236}">
              <a16:creationId xmlns:a16="http://schemas.microsoft.com/office/drawing/2014/main" id="{E827E804-8B88-C442-A5AA-4EAB7BD2C776}"/>
            </a:ext>
          </a:extLst>
        </xdr:cNvPr>
        <xdr:cNvSpPr>
          <a:spLocks noChangeAspect="1"/>
        </xdr:cNvSpPr>
      </xdr:nvSpPr>
      <xdr:spPr>
        <a:xfrm>
          <a:off x="36439184" y="822251"/>
          <a:ext cx="818890" cy="27757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8</xdr:row>
      <xdr:rowOff>168635</xdr:rowOff>
    </xdr:from>
    <xdr:to>
      <xdr:col>44</xdr:col>
      <xdr:colOff>470407</xdr:colOff>
      <xdr:row>10</xdr:row>
      <xdr:rowOff>97777</xdr:rowOff>
    </xdr:to>
    <xdr:sp macro="" textlink="MatchANALYSIS!H27">
      <xdr:nvSpPr>
        <xdr:cNvPr id="518" name="Rectangle 517">
          <a:extLst>
            <a:ext uri="{FF2B5EF4-FFF2-40B4-BE49-F238E27FC236}">
              <a16:creationId xmlns:a16="http://schemas.microsoft.com/office/drawing/2014/main" id="{2D762385-8F52-BB4F-B73B-2C53D96159D6}"/>
            </a:ext>
          </a:extLst>
        </xdr:cNvPr>
        <xdr:cNvSpPr>
          <a:spLocks noChangeAspect="1"/>
        </xdr:cNvSpPr>
      </xdr:nvSpPr>
      <xdr:spPr>
        <a:xfrm>
          <a:off x="36439184" y="1523302"/>
          <a:ext cx="818890" cy="26780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87CA79D7-D787-814B-ADB1-3ABB6EF1825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8</xdr:row>
      <xdr:rowOff>168635</xdr:rowOff>
    </xdr:from>
    <xdr:to>
      <xdr:col>46</xdr:col>
      <xdr:colOff>396400</xdr:colOff>
      <xdr:row>10</xdr:row>
      <xdr:rowOff>97777</xdr:rowOff>
    </xdr:to>
    <xdr:sp macro="" textlink="MatchANALYSIS!F27">
      <xdr:nvSpPr>
        <xdr:cNvPr id="520" name="Rectangle 519">
          <a:extLst>
            <a:ext uri="{FF2B5EF4-FFF2-40B4-BE49-F238E27FC236}">
              <a16:creationId xmlns:a16="http://schemas.microsoft.com/office/drawing/2014/main" id="{6DEFDF74-656B-E64C-8C6B-E06A530B5DD9}"/>
            </a:ext>
          </a:extLst>
        </xdr:cNvPr>
        <xdr:cNvSpPr>
          <a:spLocks/>
        </xdr:cNvSpPr>
      </xdr:nvSpPr>
      <xdr:spPr>
        <a:xfrm>
          <a:off x="37309895" y="1523302"/>
          <a:ext cx="1546338" cy="26780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503BEE3-6A54-D94E-AD74-95932FE1DB6B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Black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10</xdr:row>
      <xdr:rowOff>168915</xdr:rowOff>
    </xdr:from>
    <xdr:to>
      <xdr:col>44</xdr:col>
      <xdr:colOff>470407</xdr:colOff>
      <xdr:row>12</xdr:row>
      <xdr:rowOff>98055</xdr:rowOff>
    </xdr:to>
    <xdr:sp macro="" textlink="MatchANALYSIS!H25">
      <xdr:nvSpPr>
        <xdr:cNvPr id="521" name="Rectangle 520">
          <a:extLst>
            <a:ext uri="{FF2B5EF4-FFF2-40B4-BE49-F238E27FC236}">
              <a16:creationId xmlns:a16="http://schemas.microsoft.com/office/drawing/2014/main" id="{E1564F5D-BE3E-8049-A9F8-8F53982BEC28}"/>
            </a:ext>
          </a:extLst>
        </xdr:cNvPr>
        <xdr:cNvSpPr>
          <a:spLocks noChangeAspect="1"/>
        </xdr:cNvSpPr>
      </xdr:nvSpPr>
      <xdr:spPr>
        <a:xfrm>
          <a:off x="36439184" y="1862248"/>
          <a:ext cx="818890" cy="26780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D23E2F04-43E1-974B-A459-264D01309FFF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10</xdr:row>
      <xdr:rowOff>168915</xdr:rowOff>
    </xdr:from>
    <xdr:to>
      <xdr:col>46</xdr:col>
      <xdr:colOff>396400</xdr:colOff>
      <xdr:row>12</xdr:row>
      <xdr:rowOff>98055</xdr:rowOff>
    </xdr:to>
    <xdr:sp macro="" textlink="MatchANALYSIS!F25">
      <xdr:nvSpPr>
        <xdr:cNvPr id="523" name="Rectangle 522">
          <a:extLst>
            <a:ext uri="{FF2B5EF4-FFF2-40B4-BE49-F238E27FC236}">
              <a16:creationId xmlns:a16="http://schemas.microsoft.com/office/drawing/2014/main" id="{3578C32A-D67E-934D-A2F6-B3D07BD0FEC5}"/>
            </a:ext>
          </a:extLst>
        </xdr:cNvPr>
        <xdr:cNvSpPr>
          <a:spLocks/>
        </xdr:cNvSpPr>
      </xdr:nvSpPr>
      <xdr:spPr>
        <a:xfrm>
          <a:off x="37309895" y="1862248"/>
          <a:ext cx="1546338" cy="26780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4359F5D-6211-7942-91B3-70D934145661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Yellow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487601</xdr:colOff>
      <xdr:row>13</xdr:row>
      <xdr:rowOff>10445</xdr:rowOff>
    </xdr:from>
    <xdr:to>
      <xdr:col>44</xdr:col>
      <xdr:colOff>470407</xdr:colOff>
      <xdr:row>14</xdr:row>
      <xdr:rowOff>108919</xdr:rowOff>
    </xdr:to>
    <xdr:sp macro="" textlink="MatchANALYSIS!H26">
      <xdr:nvSpPr>
        <xdr:cNvPr id="524" name="Rectangle 523">
          <a:extLst>
            <a:ext uri="{FF2B5EF4-FFF2-40B4-BE49-F238E27FC236}">
              <a16:creationId xmlns:a16="http://schemas.microsoft.com/office/drawing/2014/main" id="{ECB967D8-E98E-7742-BE1A-70173F296965}"/>
            </a:ext>
          </a:extLst>
        </xdr:cNvPr>
        <xdr:cNvSpPr>
          <a:spLocks noChangeAspect="1"/>
        </xdr:cNvSpPr>
      </xdr:nvSpPr>
      <xdr:spPr>
        <a:xfrm>
          <a:off x="36439184" y="2211778"/>
          <a:ext cx="818890" cy="27839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5D1B2A9-EF0A-5B46-A758-FDFF9179BDA5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44</xdr:col>
      <xdr:colOff>522228</xdr:colOff>
      <xdr:row>13</xdr:row>
      <xdr:rowOff>10445</xdr:rowOff>
    </xdr:from>
    <xdr:to>
      <xdr:col>46</xdr:col>
      <xdr:colOff>396400</xdr:colOff>
      <xdr:row>14</xdr:row>
      <xdr:rowOff>108919</xdr:rowOff>
    </xdr:to>
    <xdr:sp macro="" textlink="MatchANALYSIS!F26">
      <xdr:nvSpPr>
        <xdr:cNvPr id="526" name="Rectangle 525">
          <a:extLst>
            <a:ext uri="{FF2B5EF4-FFF2-40B4-BE49-F238E27FC236}">
              <a16:creationId xmlns:a16="http://schemas.microsoft.com/office/drawing/2014/main" id="{BEF36950-1134-924D-80AD-CE79488FCC76}"/>
            </a:ext>
          </a:extLst>
        </xdr:cNvPr>
        <xdr:cNvSpPr>
          <a:spLocks/>
        </xdr:cNvSpPr>
      </xdr:nvSpPr>
      <xdr:spPr>
        <a:xfrm>
          <a:off x="37309895" y="2211778"/>
          <a:ext cx="1546338" cy="27839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987D9CC-2C7A-1C49-964F-8B3990A21A08}" type="TxLink">
            <a:rPr lang="en-US" sz="1100" b="1" i="0" u="none" strike="noStrike">
              <a:solidFill>
                <a:schemeClr val="tx1"/>
              </a:solidFill>
              <a:latin typeface="Calibri"/>
              <a:ea typeface="Arial" charset="0"/>
              <a:cs typeface="Calibri"/>
            </a:rPr>
            <a:pPr algn="ctr"/>
            <a:t>Red Card</a:t>
          </a:fld>
          <a:endParaRPr lang="en-US" sz="1000" b="1" i="0">
            <a:solidFill>
              <a:schemeClr val="tx1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42</xdr:col>
      <xdr:colOff>810845</xdr:colOff>
      <xdr:row>17</xdr:row>
      <xdr:rowOff>143016</xdr:rowOff>
    </xdr:from>
    <xdr:to>
      <xdr:col>43</xdr:col>
      <xdr:colOff>566616</xdr:colOff>
      <xdr:row>20</xdr:row>
      <xdr:rowOff>72678</xdr:rowOff>
    </xdr:to>
    <xdr:sp macro="" textlink="Location2ANALYSIS!P25">
      <xdr:nvSpPr>
        <xdr:cNvPr id="527" name="Rectangle 526">
          <a:extLst>
            <a:ext uri="{FF2B5EF4-FFF2-40B4-BE49-F238E27FC236}">
              <a16:creationId xmlns:a16="http://schemas.microsoft.com/office/drawing/2014/main" id="{83B0D219-D482-164C-A41D-02F4BD7FEF8A}"/>
            </a:ext>
          </a:extLst>
        </xdr:cNvPr>
        <xdr:cNvSpPr>
          <a:spLocks noChangeAspect="1"/>
        </xdr:cNvSpPr>
      </xdr:nvSpPr>
      <xdr:spPr>
        <a:xfrm>
          <a:off x="36097307" y="3054247"/>
          <a:ext cx="595924" cy="45720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11686DC8-EB6A-8149-8C7B-806AE259646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27%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42</xdr:col>
      <xdr:colOff>516372</xdr:colOff>
      <xdr:row>21</xdr:row>
      <xdr:rowOff>144689</xdr:rowOff>
    </xdr:from>
    <xdr:to>
      <xdr:col>43</xdr:col>
      <xdr:colOff>272143</xdr:colOff>
      <xdr:row>24</xdr:row>
      <xdr:rowOff>103658</xdr:rowOff>
    </xdr:to>
    <xdr:sp macro="" textlink="Location2ANALYSIS!P26">
      <xdr:nvSpPr>
        <xdr:cNvPr id="528" name="Rectangle 527">
          <a:extLst>
            <a:ext uri="{FF2B5EF4-FFF2-40B4-BE49-F238E27FC236}">
              <a16:creationId xmlns:a16="http://schemas.microsoft.com/office/drawing/2014/main" id="{BAF1CC5A-36F0-2A4D-9AC9-0C3081425F22}"/>
            </a:ext>
          </a:extLst>
        </xdr:cNvPr>
        <xdr:cNvSpPr>
          <a:spLocks noChangeAspect="1"/>
        </xdr:cNvSpPr>
      </xdr:nvSpPr>
      <xdr:spPr>
        <a:xfrm>
          <a:off x="35802834" y="3749535"/>
          <a:ext cx="595924" cy="45720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4BF08D40-2233-3D4F-8522-918363E3569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55%</a:t>
          </a:fld>
          <a:endParaRPr lang="en-US" sz="10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42</xdr:col>
      <xdr:colOff>322383</xdr:colOff>
      <xdr:row>26</xdr:row>
      <xdr:rowOff>55647</xdr:rowOff>
    </xdr:from>
    <xdr:to>
      <xdr:col>43</xdr:col>
      <xdr:colOff>78154</xdr:colOff>
      <xdr:row>29</xdr:row>
      <xdr:rowOff>14616</xdr:rowOff>
    </xdr:to>
    <xdr:sp macro="" textlink="Location2ANALYSIS!P27">
      <xdr:nvSpPr>
        <xdr:cNvPr id="529" name="Rectangle 528">
          <a:extLst>
            <a:ext uri="{FF2B5EF4-FFF2-40B4-BE49-F238E27FC236}">
              <a16:creationId xmlns:a16="http://schemas.microsoft.com/office/drawing/2014/main" id="{96CA6416-A7AD-5940-BE8A-894D8E4BF280}"/>
            </a:ext>
          </a:extLst>
        </xdr:cNvPr>
        <xdr:cNvSpPr>
          <a:spLocks noChangeAspect="1"/>
        </xdr:cNvSpPr>
      </xdr:nvSpPr>
      <xdr:spPr>
        <a:xfrm>
          <a:off x="35608845" y="4490878"/>
          <a:ext cx="595924" cy="45720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05802AAE-2E80-B345-B232-27F66D4F661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18%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42</xdr:col>
      <xdr:colOff>679944</xdr:colOff>
      <xdr:row>31</xdr:row>
      <xdr:rowOff>114264</xdr:rowOff>
    </xdr:from>
    <xdr:to>
      <xdr:col>43</xdr:col>
      <xdr:colOff>662751</xdr:colOff>
      <xdr:row>33</xdr:row>
      <xdr:rowOff>56430</xdr:rowOff>
    </xdr:to>
    <xdr:sp macro="" textlink="Location2ANALYSIS!P30">
      <xdr:nvSpPr>
        <xdr:cNvPr id="531" name="Rectangle 530">
          <a:extLst>
            <a:ext uri="{FF2B5EF4-FFF2-40B4-BE49-F238E27FC236}">
              <a16:creationId xmlns:a16="http://schemas.microsoft.com/office/drawing/2014/main" id="{C8E9B4AE-8CBF-F940-A91C-B78D5E4A7909}"/>
            </a:ext>
          </a:extLst>
        </xdr:cNvPr>
        <xdr:cNvSpPr>
          <a:spLocks noChangeAspect="1"/>
        </xdr:cNvSpPr>
      </xdr:nvSpPr>
      <xdr:spPr>
        <a:xfrm>
          <a:off x="35966406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64796E96-B6B7-9D40-9A26-2FF12D70FF6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17%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43</xdr:col>
      <xdr:colOff>676028</xdr:colOff>
      <xdr:row>31</xdr:row>
      <xdr:rowOff>114264</xdr:rowOff>
    </xdr:from>
    <xdr:to>
      <xdr:col>44</xdr:col>
      <xdr:colOff>658834</xdr:colOff>
      <xdr:row>33</xdr:row>
      <xdr:rowOff>56430</xdr:rowOff>
    </xdr:to>
    <xdr:sp macro="" textlink="Location2ANALYSIS!P31">
      <xdr:nvSpPr>
        <xdr:cNvPr id="532" name="Rectangle 531">
          <a:extLst>
            <a:ext uri="{FF2B5EF4-FFF2-40B4-BE49-F238E27FC236}">
              <a16:creationId xmlns:a16="http://schemas.microsoft.com/office/drawing/2014/main" id="{36495CB6-53F5-3449-B7A7-CC0538E89797}"/>
            </a:ext>
          </a:extLst>
        </xdr:cNvPr>
        <xdr:cNvSpPr>
          <a:spLocks noChangeAspect="1"/>
        </xdr:cNvSpPr>
      </xdr:nvSpPr>
      <xdr:spPr>
        <a:xfrm>
          <a:off x="36802643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75CBD39E-8FDE-6743-BF5C-283C1B78DCF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18%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335779</xdr:colOff>
      <xdr:row>31</xdr:row>
      <xdr:rowOff>114264</xdr:rowOff>
    </xdr:from>
    <xdr:to>
      <xdr:col>46</xdr:col>
      <xdr:colOff>318585</xdr:colOff>
      <xdr:row>33</xdr:row>
      <xdr:rowOff>56430</xdr:rowOff>
    </xdr:to>
    <xdr:sp macro="" textlink="Location2ANALYSIS!P33">
      <xdr:nvSpPr>
        <xdr:cNvPr id="533" name="Rectangle 532">
          <a:extLst>
            <a:ext uri="{FF2B5EF4-FFF2-40B4-BE49-F238E27FC236}">
              <a16:creationId xmlns:a16="http://schemas.microsoft.com/office/drawing/2014/main" id="{DDE44994-5FF4-0943-BB48-46B391B614A3}"/>
            </a:ext>
          </a:extLst>
        </xdr:cNvPr>
        <xdr:cNvSpPr>
          <a:spLocks noChangeAspect="1"/>
        </xdr:cNvSpPr>
      </xdr:nvSpPr>
      <xdr:spPr>
        <a:xfrm>
          <a:off x="38142702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46EEE75-8198-1842-9130-0E790B3E7F9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55%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220217</xdr:colOff>
      <xdr:row>31</xdr:row>
      <xdr:rowOff>114264</xdr:rowOff>
    </xdr:from>
    <xdr:to>
      <xdr:col>47</xdr:col>
      <xdr:colOff>203023</xdr:colOff>
      <xdr:row>33</xdr:row>
      <xdr:rowOff>56430</xdr:rowOff>
    </xdr:to>
    <xdr:sp macro="" textlink="Location2ANALYSIS!P34">
      <xdr:nvSpPr>
        <xdr:cNvPr id="534" name="Rectangle 533">
          <a:extLst>
            <a:ext uri="{FF2B5EF4-FFF2-40B4-BE49-F238E27FC236}">
              <a16:creationId xmlns:a16="http://schemas.microsoft.com/office/drawing/2014/main" id="{5D46080B-6168-CF45-B98A-9EF2E90CE64F}"/>
            </a:ext>
          </a:extLst>
        </xdr:cNvPr>
        <xdr:cNvSpPr>
          <a:spLocks noChangeAspect="1"/>
        </xdr:cNvSpPr>
      </xdr:nvSpPr>
      <xdr:spPr>
        <a:xfrm>
          <a:off x="38867294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E4FFD83-10D5-6B40-B656-8007C106560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9%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221883</xdr:colOff>
      <xdr:row>31</xdr:row>
      <xdr:rowOff>114264</xdr:rowOff>
    </xdr:from>
    <xdr:to>
      <xdr:col>48</xdr:col>
      <xdr:colOff>204689</xdr:colOff>
      <xdr:row>33</xdr:row>
      <xdr:rowOff>56430</xdr:rowOff>
    </xdr:to>
    <xdr:sp macro="" textlink="Location2ANALYSIS!P35">
      <xdr:nvSpPr>
        <xdr:cNvPr id="535" name="Rectangle 534">
          <a:extLst>
            <a:ext uri="{FF2B5EF4-FFF2-40B4-BE49-F238E27FC236}">
              <a16:creationId xmlns:a16="http://schemas.microsoft.com/office/drawing/2014/main" id="{F4706A01-C9F1-6C4F-AA9D-06D08EA7C69B}"/>
            </a:ext>
          </a:extLst>
        </xdr:cNvPr>
        <xdr:cNvSpPr>
          <a:spLocks noChangeAspect="1"/>
        </xdr:cNvSpPr>
      </xdr:nvSpPr>
      <xdr:spPr>
        <a:xfrm>
          <a:off x="39709114" y="5379879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07A0D4D-3896-5D41-BABD-7D4385357283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9%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573582</xdr:colOff>
      <xdr:row>17</xdr:row>
      <xdr:rowOff>77875</xdr:rowOff>
    </xdr:from>
    <xdr:to>
      <xdr:col>44</xdr:col>
      <xdr:colOff>41003</xdr:colOff>
      <xdr:row>20</xdr:row>
      <xdr:rowOff>18350</xdr:rowOff>
    </xdr:to>
    <xdr:sp macro="" textlink="Location2ANALYSIS!$O$6">
      <xdr:nvSpPr>
        <xdr:cNvPr id="536" name="TextBox 535">
          <a:extLst>
            <a:ext uri="{FF2B5EF4-FFF2-40B4-BE49-F238E27FC236}">
              <a16:creationId xmlns:a16="http://schemas.microsoft.com/office/drawing/2014/main" id="{2BCBA0A6-E13D-324F-9317-C81925E49C16}"/>
            </a:ext>
          </a:extLst>
        </xdr:cNvPr>
        <xdr:cNvSpPr txBox="1"/>
      </xdr:nvSpPr>
      <xdr:spPr>
        <a:xfrm>
          <a:off x="36700197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C422FF2-3595-4346-A867-3E8B069B32B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500734</xdr:colOff>
      <xdr:row>31</xdr:row>
      <xdr:rowOff>121520</xdr:rowOff>
    </xdr:from>
    <xdr:to>
      <xdr:col>45</xdr:col>
      <xdr:colOff>470840</xdr:colOff>
      <xdr:row>33</xdr:row>
      <xdr:rowOff>63686</xdr:rowOff>
    </xdr:to>
    <xdr:sp macro="" textlink="Location2ANALYSIS!P32">
      <xdr:nvSpPr>
        <xdr:cNvPr id="537" name="Rectangle 536">
          <a:extLst>
            <a:ext uri="{FF2B5EF4-FFF2-40B4-BE49-F238E27FC236}">
              <a16:creationId xmlns:a16="http://schemas.microsoft.com/office/drawing/2014/main" id="{1F357930-5C9E-DD48-B07F-507AFBC3C6FD}"/>
            </a:ext>
          </a:extLst>
        </xdr:cNvPr>
        <xdr:cNvSpPr>
          <a:spLocks noChangeAspect="1"/>
        </xdr:cNvSpPr>
      </xdr:nvSpPr>
      <xdr:spPr>
        <a:xfrm>
          <a:off x="37467503" y="5387135"/>
          <a:ext cx="8102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D2D2AB5B-51FA-654A-9283-87FD0CAEA7E2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9%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368708</xdr:colOff>
      <xdr:row>17</xdr:row>
      <xdr:rowOff>77875</xdr:rowOff>
    </xdr:from>
    <xdr:to>
      <xdr:col>44</xdr:col>
      <xdr:colOff>676283</xdr:colOff>
      <xdr:row>20</xdr:row>
      <xdr:rowOff>18350</xdr:rowOff>
    </xdr:to>
    <xdr:sp macro="" textlink="Location2ANALYSIS!$O$9">
      <xdr:nvSpPr>
        <xdr:cNvPr id="538" name="TextBox 537">
          <a:extLst>
            <a:ext uri="{FF2B5EF4-FFF2-40B4-BE49-F238E27FC236}">
              <a16:creationId xmlns:a16="http://schemas.microsoft.com/office/drawing/2014/main" id="{A6D72CAD-E03A-D04B-B771-A4E298CDED1E}"/>
            </a:ext>
          </a:extLst>
        </xdr:cNvPr>
        <xdr:cNvSpPr txBox="1"/>
      </xdr:nvSpPr>
      <xdr:spPr>
        <a:xfrm>
          <a:off x="37335477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72029D-2E4D-2B43-BAD2-A341A7E02311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56374</xdr:colOff>
      <xdr:row>17</xdr:row>
      <xdr:rowOff>77875</xdr:rowOff>
    </xdr:from>
    <xdr:to>
      <xdr:col>45</xdr:col>
      <xdr:colOff>363949</xdr:colOff>
      <xdr:row>20</xdr:row>
      <xdr:rowOff>18350</xdr:rowOff>
    </xdr:to>
    <xdr:sp macro="" textlink="Location2ANALYSIS!$O$12">
      <xdr:nvSpPr>
        <xdr:cNvPr id="539" name="TextBox 538">
          <a:extLst>
            <a:ext uri="{FF2B5EF4-FFF2-40B4-BE49-F238E27FC236}">
              <a16:creationId xmlns:a16="http://schemas.microsoft.com/office/drawing/2014/main" id="{5048EC3D-F69F-A149-AD4B-B98E2F5EABBB}"/>
            </a:ext>
          </a:extLst>
        </xdr:cNvPr>
        <xdr:cNvSpPr txBox="1"/>
      </xdr:nvSpPr>
      <xdr:spPr>
        <a:xfrm>
          <a:off x="37863297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AA8DFE6-CA8F-704C-9235-377BE592DAE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476732</xdr:colOff>
      <xdr:row>17</xdr:row>
      <xdr:rowOff>77875</xdr:rowOff>
    </xdr:from>
    <xdr:to>
      <xdr:col>45</xdr:col>
      <xdr:colOff>784307</xdr:colOff>
      <xdr:row>20</xdr:row>
      <xdr:rowOff>18350</xdr:rowOff>
    </xdr:to>
    <xdr:sp macro="" textlink="Location2ANALYSIS!$O$15">
      <xdr:nvSpPr>
        <xdr:cNvPr id="540" name="TextBox 539">
          <a:extLst>
            <a:ext uri="{FF2B5EF4-FFF2-40B4-BE49-F238E27FC236}">
              <a16:creationId xmlns:a16="http://schemas.microsoft.com/office/drawing/2014/main" id="{9D898C73-2BDF-F741-8789-B64925AD4E97}"/>
            </a:ext>
          </a:extLst>
        </xdr:cNvPr>
        <xdr:cNvSpPr txBox="1"/>
      </xdr:nvSpPr>
      <xdr:spPr>
        <a:xfrm>
          <a:off x="38283655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0C6D832-F080-B444-A4AA-D133D80DF67F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3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160208</xdr:colOff>
      <xdr:row>17</xdr:row>
      <xdr:rowOff>77875</xdr:rowOff>
    </xdr:from>
    <xdr:to>
      <xdr:col>46</xdr:col>
      <xdr:colOff>467783</xdr:colOff>
      <xdr:row>20</xdr:row>
      <xdr:rowOff>18350</xdr:rowOff>
    </xdr:to>
    <xdr:sp macro="" textlink="Location2ANALYSIS!$O$18">
      <xdr:nvSpPr>
        <xdr:cNvPr id="541" name="TextBox 540">
          <a:extLst>
            <a:ext uri="{FF2B5EF4-FFF2-40B4-BE49-F238E27FC236}">
              <a16:creationId xmlns:a16="http://schemas.microsoft.com/office/drawing/2014/main" id="{07655D66-FCEB-994B-8E73-038C08442A2B}"/>
            </a:ext>
          </a:extLst>
        </xdr:cNvPr>
        <xdr:cNvSpPr txBox="1"/>
      </xdr:nvSpPr>
      <xdr:spPr>
        <a:xfrm>
          <a:off x="38807285" y="2940260"/>
          <a:ext cx="307575" cy="4387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FCF8B64-97F7-F745-8A6C-2FF8900EF9AD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248683</xdr:colOff>
      <xdr:row>26</xdr:row>
      <xdr:rowOff>10</xdr:rowOff>
    </xdr:from>
    <xdr:to>
      <xdr:col>43</xdr:col>
      <xdr:colOff>556258</xdr:colOff>
      <xdr:row>28</xdr:row>
      <xdr:rowOff>135869</xdr:rowOff>
    </xdr:to>
    <xdr:sp macro="" textlink="Location2ANALYSIS!$O$4">
      <xdr:nvSpPr>
        <xdr:cNvPr id="542" name="TextBox 541">
          <a:extLst>
            <a:ext uri="{FF2B5EF4-FFF2-40B4-BE49-F238E27FC236}">
              <a16:creationId xmlns:a16="http://schemas.microsoft.com/office/drawing/2014/main" id="{E531166E-7561-9B48-8387-9D0EE73C5C97}"/>
            </a:ext>
          </a:extLst>
        </xdr:cNvPr>
        <xdr:cNvSpPr txBox="1"/>
      </xdr:nvSpPr>
      <xdr:spPr>
        <a:xfrm>
          <a:off x="36375298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4451769-AB00-E741-99E4-1ED50E5F69A3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219655</xdr:colOff>
      <xdr:row>26</xdr:row>
      <xdr:rowOff>10</xdr:rowOff>
    </xdr:from>
    <xdr:to>
      <xdr:col>44</xdr:col>
      <xdr:colOff>527230</xdr:colOff>
      <xdr:row>28</xdr:row>
      <xdr:rowOff>135869</xdr:rowOff>
    </xdr:to>
    <xdr:sp macro="" textlink="Location2ANALYSIS!$O$7">
      <xdr:nvSpPr>
        <xdr:cNvPr id="543" name="TextBox 542">
          <a:extLst>
            <a:ext uri="{FF2B5EF4-FFF2-40B4-BE49-F238E27FC236}">
              <a16:creationId xmlns:a16="http://schemas.microsoft.com/office/drawing/2014/main" id="{FD418A0F-DE93-0744-99DB-85DDE060C70C}"/>
            </a:ext>
          </a:extLst>
        </xdr:cNvPr>
        <xdr:cNvSpPr txBox="1"/>
      </xdr:nvSpPr>
      <xdr:spPr>
        <a:xfrm>
          <a:off x="37186424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4EB1618-8D5B-1E4C-A8BC-7698C46ED029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825631</xdr:colOff>
      <xdr:row>26</xdr:row>
      <xdr:rowOff>10</xdr:rowOff>
    </xdr:from>
    <xdr:to>
      <xdr:col>45</xdr:col>
      <xdr:colOff>293052</xdr:colOff>
      <xdr:row>28</xdr:row>
      <xdr:rowOff>135869</xdr:rowOff>
    </xdr:to>
    <xdr:sp macro="" textlink="Location2ANALYSIS!$O$10">
      <xdr:nvSpPr>
        <xdr:cNvPr id="544" name="TextBox 543">
          <a:extLst>
            <a:ext uri="{FF2B5EF4-FFF2-40B4-BE49-F238E27FC236}">
              <a16:creationId xmlns:a16="http://schemas.microsoft.com/office/drawing/2014/main" id="{96ADDBCA-BD1D-F246-9D6F-F37B097B891F}"/>
            </a:ext>
          </a:extLst>
        </xdr:cNvPr>
        <xdr:cNvSpPr txBox="1"/>
      </xdr:nvSpPr>
      <xdr:spPr>
        <a:xfrm>
          <a:off x="37792400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C0CAD8D-2643-0246-9F5B-85990F78372B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511900</xdr:colOff>
      <xdr:row>26</xdr:row>
      <xdr:rowOff>10</xdr:rowOff>
    </xdr:from>
    <xdr:to>
      <xdr:col>45</xdr:col>
      <xdr:colOff>819475</xdr:colOff>
      <xdr:row>28</xdr:row>
      <xdr:rowOff>135869</xdr:rowOff>
    </xdr:to>
    <xdr:sp macro="" textlink="Location2ANALYSIS!$O$13">
      <xdr:nvSpPr>
        <xdr:cNvPr id="545" name="TextBox 544">
          <a:extLst>
            <a:ext uri="{FF2B5EF4-FFF2-40B4-BE49-F238E27FC236}">
              <a16:creationId xmlns:a16="http://schemas.microsoft.com/office/drawing/2014/main" id="{446D521B-EFE0-8949-8A34-4FF718C2089F}"/>
            </a:ext>
          </a:extLst>
        </xdr:cNvPr>
        <xdr:cNvSpPr txBox="1"/>
      </xdr:nvSpPr>
      <xdr:spPr>
        <a:xfrm>
          <a:off x="38318823" y="4357087"/>
          <a:ext cx="3075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01D6C71-A93C-2B43-B24A-6A7487FB6CF0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320841</xdr:colOff>
      <xdr:row>26</xdr:row>
      <xdr:rowOff>10</xdr:rowOff>
    </xdr:from>
    <xdr:to>
      <xdr:col>46</xdr:col>
      <xdr:colOff>641116</xdr:colOff>
      <xdr:row>28</xdr:row>
      <xdr:rowOff>135869</xdr:rowOff>
    </xdr:to>
    <xdr:sp macro="" textlink="Location2ANALYSIS!$O$16">
      <xdr:nvSpPr>
        <xdr:cNvPr id="546" name="TextBox 545">
          <a:extLst>
            <a:ext uri="{FF2B5EF4-FFF2-40B4-BE49-F238E27FC236}">
              <a16:creationId xmlns:a16="http://schemas.microsoft.com/office/drawing/2014/main" id="{14C79686-0B12-A449-8613-739D6CB6BE6B}"/>
            </a:ext>
          </a:extLst>
        </xdr:cNvPr>
        <xdr:cNvSpPr txBox="1"/>
      </xdr:nvSpPr>
      <xdr:spPr>
        <a:xfrm>
          <a:off x="38967918" y="4357087"/>
          <a:ext cx="320275" cy="477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9F1E1D58-CA9C-A141-AE63-556F41C0F3D1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43</xdr:col>
      <xdr:colOff>427043</xdr:colOff>
      <xdr:row>21</xdr:row>
      <xdr:rowOff>31827</xdr:rowOff>
    </xdr:from>
    <xdr:to>
      <xdr:col>43</xdr:col>
      <xdr:colOff>734618</xdr:colOff>
      <xdr:row>24</xdr:row>
      <xdr:rowOff>1609</xdr:rowOff>
    </xdr:to>
    <xdr:sp macro="" textlink="Location2ANALYSIS!$O$5">
      <xdr:nvSpPr>
        <xdr:cNvPr id="547" name="TextBox 546">
          <a:extLst>
            <a:ext uri="{FF2B5EF4-FFF2-40B4-BE49-F238E27FC236}">
              <a16:creationId xmlns:a16="http://schemas.microsoft.com/office/drawing/2014/main" id="{AF69712A-5CBE-4A40-B466-C6B0C5A64CAD}"/>
            </a:ext>
          </a:extLst>
        </xdr:cNvPr>
        <xdr:cNvSpPr txBox="1"/>
      </xdr:nvSpPr>
      <xdr:spPr>
        <a:xfrm>
          <a:off x="36553658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8504FA2-9254-AC47-8ADB-D5BD1417F45B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44</xdr:col>
      <xdr:colOff>300323</xdr:colOff>
      <xdr:row>21</xdr:row>
      <xdr:rowOff>31827</xdr:rowOff>
    </xdr:from>
    <xdr:to>
      <xdr:col>44</xdr:col>
      <xdr:colOff>607898</xdr:colOff>
      <xdr:row>24</xdr:row>
      <xdr:rowOff>1609</xdr:rowOff>
    </xdr:to>
    <xdr:sp macro="" textlink="Location2ANALYSIS!$O$8">
      <xdr:nvSpPr>
        <xdr:cNvPr id="548" name="TextBox 547">
          <a:extLst>
            <a:ext uri="{FF2B5EF4-FFF2-40B4-BE49-F238E27FC236}">
              <a16:creationId xmlns:a16="http://schemas.microsoft.com/office/drawing/2014/main" id="{18AA4C88-FD7B-D243-8FAC-6691DA7E97E9}"/>
            </a:ext>
          </a:extLst>
        </xdr:cNvPr>
        <xdr:cNvSpPr txBox="1"/>
      </xdr:nvSpPr>
      <xdr:spPr>
        <a:xfrm>
          <a:off x="37267092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D0F0F7DD-D081-EE47-963C-EF8FAD5847F4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2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27066</xdr:colOff>
      <xdr:row>21</xdr:row>
      <xdr:rowOff>31827</xdr:rowOff>
    </xdr:from>
    <xdr:to>
      <xdr:col>45</xdr:col>
      <xdr:colOff>334641</xdr:colOff>
      <xdr:row>24</xdr:row>
      <xdr:rowOff>1609</xdr:rowOff>
    </xdr:to>
    <xdr:sp macro="" textlink="Location2ANALYSIS!$O$11">
      <xdr:nvSpPr>
        <xdr:cNvPr id="549" name="TextBox 548">
          <a:extLst>
            <a:ext uri="{FF2B5EF4-FFF2-40B4-BE49-F238E27FC236}">
              <a16:creationId xmlns:a16="http://schemas.microsoft.com/office/drawing/2014/main" id="{8DEFCA79-14E8-A042-9967-7FA38BCA1897}"/>
            </a:ext>
          </a:extLst>
        </xdr:cNvPr>
        <xdr:cNvSpPr txBox="1"/>
      </xdr:nvSpPr>
      <xdr:spPr>
        <a:xfrm>
          <a:off x="37833989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BF68536-072C-3E44-80F6-5B5D9D3114EC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45</xdr:col>
      <xdr:colOff>486502</xdr:colOff>
      <xdr:row>21</xdr:row>
      <xdr:rowOff>31827</xdr:rowOff>
    </xdr:from>
    <xdr:to>
      <xdr:col>45</xdr:col>
      <xdr:colOff>794077</xdr:colOff>
      <xdr:row>24</xdr:row>
      <xdr:rowOff>1609</xdr:rowOff>
    </xdr:to>
    <xdr:sp macro="" textlink="Location2ANALYSIS!$O$14">
      <xdr:nvSpPr>
        <xdr:cNvPr id="550" name="TextBox 549">
          <a:extLst>
            <a:ext uri="{FF2B5EF4-FFF2-40B4-BE49-F238E27FC236}">
              <a16:creationId xmlns:a16="http://schemas.microsoft.com/office/drawing/2014/main" id="{C79DDDAA-C586-6B42-9585-0CA56F5B54CB}"/>
            </a:ext>
          </a:extLst>
        </xdr:cNvPr>
        <xdr:cNvSpPr txBox="1"/>
      </xdr:nvSpPr>
      <xdr:spPr>
        <a:xfrm>
          <a:off x="38293425" y="3558519"/>
          <a:ext cx="3075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2207F6C-DD6C-3C4B-958B-DB392289C96A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222730</xdr:colOff>
      <xdr:row>21</xdr:row>
      <xdr:rowOff>31827</xdr:rowOff>
    </xdr:from>
    <xdr:to>
      <xdr:col>46</xdr:col>
      <xdr:colOff>555705</xdr:colOff>
      <xdr:row>24</xdr:row>
      <xdr:rowOff>1609</xdr:rowOff>
    </xdr:to>
    <xdr:sp macro="" textlink="Location2ANALYSIS!$O$17">
      <xdr:nvSpPr>
        <xdr:cNvPr id="551" name="TextBox 550">
          <a:extLst>
            <a:ext uri="{FF2B5EF4-FFF2-40B4-BE49-F238E27FC236}">
              <a16:creationId xmlns:a16="http://schemas.microsoft.com/office/drawing/2014/main" id="{F75EC24B-C117-1041-8F36-EC762BAD4496}"/>
            </a:ext>
          </a:extLst>
        </xdr:cNvPr>
        <xdr:cNvSpPr txBox="1"/>
      </xdr:nvSpPr>
      <xdr:spPr>
        <a:xfrm>
          <a:off x="38869807" y="3558519"/>
          <a:ext cx="33297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A1CBA59B-676B-BB47-9902-BAB9688C55A9}" type="TxLink">
            <a:rPr lang="en-US" sz="2400" b="1" i="0" u="none" strike="noStrike">
              <a:solidFill>
                <a:schemeClr val="tx1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</xdr:col>
      <xdr:colOff>263769</xdr:colOff>
      <xdr:row>25</xdr:row>
      <xdr:rowOff>39076</xdr:rowOff>
    </xdr:from>
    <xdr:to>
      <xdr:col>5</xdr:col>
      <xdr:colOff>803980</xdr:colOff>
      <xdr:row>27</xdr:row>
      <xdr:rowOff>106804</xdr:rowOff>
    </xdr:to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A247569-68A8-364A-993D-A15D9E8C4FAA}"/>
            </a:ext>
          </a:extLst>
        </xdr:cNvPr>
        <xdr:cNvSpPr txBox="1"/>
      </xdr:nvSpPr>
      <xdr:spPr>
        <a:xfrm>
          <a:off x="1103923" y="4230076"/>
          <a:ext cx="3900826" cy="3998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pPr algn="ctr"/>
          <a:r>
            <a:rPr lang="en-US" sz="2000" b="1" i="0" u="none" cap="small">
              <a:latin typeface="Arial" charset="0"/>
              <a:ea typeface="Arial" charset="0"/>
              <a:cs typeface="Arial" charset="0"/>
            </a:rPr>
            <a:t>Summary &amp; Scorecard</a:t>
          </a:r>
        </a:p>
      </xdr:txBody>
    </xdr:sp>
    <xdr:clientData/>
  </xdr:twoCellAnchor>
  <xdr:twoCellAnchor>
    <xdr:from>
      <xdr:col>33</xdr:col>
      <xdr:colOff>312139</xdr:colOff>
      <xdr:row>15</xdr:row>
      <xdr:rowOff>65401</xdr:rowOff>
    </xdr:from>
    <xdr:to>
      <xdr:col>34</xdr:col>
      <xdr:colOff>63697</xdr:colOff>
      <xdr:row>18</xdr:row>
      <xdr:rowOff>23176</xdr:rowOff>
    </xdr:to>
    <xdr:grpSp>
      <xdr:nvGrpSpPr>
        <xdr:cNvPr id="559" name="Group 558">
          <a:extLst>
            <a:ext uri="{FF2B5EF4-FFF2-40B4-BE49-F238E27FC236}">
              <a16:creationId xmlns:a16="http://schemas.microsoft.com/office/drawing/2014/main" id="{D4A252A1-6393-AB44-9271-4DC352815970}"/>
            </a:ext>
          </a:extLst>
        </xdr:cNvPr>
        <xdr:cNvGrpSpPr/>
      </xdr:nvGrpSpPr>
      <xdr:grpSpPr>
        <a:xfrm>
          <a:off x="27902889" y="2626568"/>
          <a:ext cx="587641" cy="486941"/>
          <a:chOff x="28412355" y="2804694"/>
          <a:chExt cx="591712" cy="485314"/>
        </a:xfrm>
      </xdr:grpSpPr>
      <xdr:sp macro="" textlink="Location1ANALYSIS!J20">
        <xdr:nvSpPr>
          <xdr:cNvPr id="560" name="TextBox 559">
            <a:extLst>
              <a:ext uri="{FF2B5EF4-FFF2-40B4-BE49-F238E27FC236}">
                <a16:creationId xmlns:a16="http://schemas.microsoft.com/office/drawing/2014/main" id="{AA0F8373-829F-0B44-B5DD-7A087B1A1300}"/>
              </a:ext>
            </a:extLst>
          </xdr:cNvPr>
          <xdr:cNvSpPr txBox="1"/>
        </xdr:nvSpPr>
        <xdr:spPr>
          <a:xfrm>
            <a:off x="28412355" y="280469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0411BCA-2842-A54E-BE35-F398A5EE4B3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20">
        <xdr:nvSpPr>
          <xdr:cNvPr id="561" name="TextBox 560">
            <a:extLst>
              <a:ext uri="{FF2B5EF4-FFF2-40B4-BE49-F238E27FC236}">
                <a16:creationId xmlns:a16="http://schemas.microsoft.com/office/drawing/2014/main" id="{AF552860-481D-324F-9FD0-A55DE9BF8F00}"/>
              </a:ext>
            </a:extLst>
          </xdr:cNvPr>
          <xdr:cNvSpPr txBox="1"/>
        </xdr:nvSpPr>
        <xdr:spPr>
          <a:xfrm>
            <a:off x="28711559" y="280469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97ECB93-112A-204E-8980-D6575739920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62" name="TextBox 561">
            <a:extLst>
              <a:ext uri="{FF2B5EF4-FFF2-40B4-BE49-F238E27FC236}">
                <a16:creationId xmlns:a16="http://schemas.microsoft.com/office/drawing/2014/main" id="{68EB5253-2045-B845-B5DA-F9BC088D3E4E}"/>
              </a:ext>
            </a:extLst>
          </xdr:cNvPr>
          <xdr:cNvSpPr txBox="1"/>
        </xdr:nvSpPr>
        <xdr:spPr>
          <a:xfrm>
            <a:off x="28580919" y="280469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143193</xdr:colOff>
      <xdr:row>10</xdr:row>
      <xdr:rowOff>154869</xdr:rowOff>
    </xdr:from>
    <xdr:to>
      <xdr:col>33</xdr:col>
      <xdr:colOff>725136</xdr:colOff>
      <xdr:row>13</xdr:row>
      <xdr:rowOff>112645</xdr:rowOff>
    </xdr:to>
    <xdr:grpSp>
      <xdr:nvGrpSpPr>
        <xdr:cNvPr id="563" name="Group 562">
          <a:extLst>
            <a:ext uri="{FF2B5EF4-FFF2-40B4-BE49-F238E27FC236}">
              <a16:creationId xmlns:a16="http://schemas.microsoft.com/office/drawing/2014/main" id="{655022B0-54DE-0746-9133-F2BF01466BCA}"/>
            </a:ext>
          </a:extLst>
        </xdr:cNvPr>
        <xdr:cNvGrpSpPr/>
      </xdr:nvGrpSpPr>
      <xdr:grpSpPr>
        <a:xfrm>
          <a:off x="27733943" y="1848202"/>
          <a:ext cx="581943" cy="465776"/>
          <a:chOff x="28438794" y="1682778"/>
          <a:chExt cx="581943" cy="485314"/>
        </a:xfrm>
      </xdr:grpSpPr>
      <xdr:sp macro="" textlink="#REF!">
        <xdr:nvSpPr>
          <xdr:cNvPr id="564" name="TextBox 563">
            <a:extLst>
              <a:ext uri="{FF2B5EF4-FFF2-40B4-BE49-F238E27FC236}">
                <a16:creationId xmlns:a16="http://schemas.microsoft.com/office/drawing/2014/main" id="{1A2358FC-DB14-C245-A237-57D9E0A1F13B}"/>
              </a:ext>
            </a:extLst>
          </xdr:cNvPr>
          <xdr:cNvSpPr txBox="1"/>
        </xdr:nvSpPr>
        <xdr:spPr>
          <a:xfrm>
            <a:off x="28591272" y="1682778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J21">
        <xdr:nvSpPr>
          <xdr:cNvPr id="565" name="TextBox 564">
            <a:extLst>
              <a:ext uri="{FF2B5EF4-FFF2-40B4-BE49-F238E27FC236}">
                <a16:creationId xmlns:a16="http://schemas.microsoft.com/office/drawing/2014/main" id="{0EDB7D66-418E-1346-82B4-0FA54C6EC039}"/>
              </a:ext>
            </a:extLst>
          </xdr:cNvPr>
          <xdr:cNvSpPr txBox="1"/>
        </xdr:nvSpPr>
        <xdr:spPr>
          <a:xfrm>
            <a:off x="28438794" y="1682778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16E2647-76EE-EA4D-9856-902A26A6389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21">
        <xdr:nvSpPr>
          <xdr:cNvPr id="566" name="TextBox 565">
            <a:extLst>
              <a:ext uri="{FF2B5EF4-FFF2-40B4-BE49-F238E27FC236}">
                <a16:creationId xmlns:a16="http://schemas.microsoft.com/office/drawing/2014/main" id="{F9CD48F2-2BEB-3141-80FD-86E4D0D322C7}"/>
              </a:ext>
            </a:extLst>
          </xdr:cNvPr>
          <xdr:cNvSpPr txBox="1"/>
        </xdr:nvSpPr>
        <xdr:spPr>
          <a:xfrm>
            <a:off x="28728229" y="1682778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9B090A6-5A7A-E741-9965-8AF030588EC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524186</xdr:colOff>
      <xdr:row>20</xdr:row>
      <xdr:rowOff>120615</xdr:rowOff>
    </xdr:from>
    <xdr:to>
      <xdr:col>34</xdr:col>
      <xdr:colOff>298738</xdr:colOff>
      <xdr:row>23</xdr:row>
      <xdr:rowOff>105282</xdr:rowOff>
    </xdr:to>
    <xdr:grpSp>
      <xdr:nvGrpSpPr>
        <xdr:cNvPr id="567" name="Group 566">
          <a:extLst>
            <a:ext uri="{FF2B5EF4-FFF2-40B4-BE49-F238E27FC236}">
              <a16:creationId xmlns:a16="http://schemas.microsoft.com/office/drawing/2014/main" id="{014F1CAC-B21E-CC40-8EE8-E644CD4343A7}"/>
            </a:ext>
          </a:extLst>
        </xdr:cNvPr>
        <xdr:cNvGrpSpPr/>
      </xdr:nvGrpSpPr>
      <xdr:grpSpPr>
        <a:xfrm>
          <a:off x="28114936" y="3549615"/>
          <a:ext cx="610635" cy="492667"/>
          <a:chOff x="28448558" y="3846601"/>
          <a:chExt cx="614706" cy="482898"/>
        </a:xfrm>
      </xdr:grpSpPr>
      <xdr:sp macro="" textlink="Location1ANALYSIS!J19">
        <xdr:nvSpPr>
          <xdr:cNvPr id="568" name="TextBox 567">
            <a:extLst>
              <a:ext uri="{FF2B5EF4-FFF2-40B4-BE49-F238E27FC236}">
                <a16:creationId xmlns:a16="http://schemas.microsoft.com/office/drawing/2014/main" id="{73D416AD-748B-C642-A2E0-08182E71EE7F}"/>
              </a:ext>
            </a:extLst>
          </xdr:cNvPr>
          <xdr:cNvSpPr txBox="1"/>
        </xdr:nvSpPr>
        <xdr:spPr>
          <a:xfrm>
            <a:off x="28448558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D7ADA16-EF00-5444-8BF0-5C54A82285E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K19">
        <xdr:nvSpPr>
          <xdr:cNvPr id="569" name="TextBox 568">
            <a:extLst>
              <a:ext uri="{FF2B5EF4-FFF2-40B4-BE49-F238E27FC236}">
                <a16:creationId xmlns:a16="http://schemas.microsoft.com/office/drawing/2014/main" id="{976DF9D9-6CD2-174C-93F1-5AE89BB97B7B}"/>
              </a:ext>
            </a:extLst>
          </xdr:cNvPr>
          <xdr:cNvSpPr txBox="1"/>
        </xdr:nvSpPr>
        <xdr:spPr>
          <a:xfrm>
            <a:off x="28751662" y="3846601"/>
            <a:ext cx="311602" cy="48289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F0EEF23-3C32-5949-A7BD-736606B3119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70" name="TextBox 569">
            <a:extLst>
              <a:ext uri="{FF2B5EF4-FFF2-40B4-BE49-F238E27FC236}">
                <a16:creationId xmlns:a16="http://schemas.microsoft.com/office/drawing/2014/main" id="{177A7471-C24B-8445-8D8C-00488A0DB3CB}"/>
              </a:ext>
            </a:extLst>
          </xdr:cNvPr>
          <xdr:cNvSpPr txBox="1"/>
        </xdr:nvSpPr>
        <xdr:spPr>
          <a:xfrm>
            <a:off x="28608100" y="3846601"/>
            <a:ext cx="311602" cy="478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99391</xdr:colOff>
      <xdr:row>8</xdr:row>
      <xdr:rowOff>141574</xdr:rowOff>
    </xdr:from>
    <xdr:to>
      <xdr:col>19</xdr:col>
      <xdr:colOff>648991</xdr:colOff>
      <xdr:row>11</xdr:row>
      <xdr:rowOff>99417</xdr:rowOff>
    </xdr:to>
    <xdr:grpSp>
      <xdr:nvGrpSpPr>
        <xdr:cNvPr id="583" name="Group 582">
          <a:extLst>
            <a:ext uri="{FF2B5EF4-FFF2-40B4-BE49-F238E27FC236}">
              <a16:creationId xmlns:a16="http://schemas.microsoft.com/office/drawing/2014/main" id="{87046CBE-5801-944D-B55D-2A371EB816F4}"/>
            </a:ext>
          </a:extLst>
        </xdr:cNvPr>
        <xdr:cNvGrpSpPr/>
      </xdr:nvGrpSpPr>
      <xdr:grpSpPr>
        <a:xfrm>
          <a:off x="15984974" y="1496241"/>
          <a:ext cx="549600" cy="465843"/>
          <a:chOff x="16740299" y="1298251"/>
          <a:chExt cx="549600" cy="485382"/>
        </a:xfrm>
      </xdr:grpSpPr>
      <xdr:sp macro="" textlink="Location1ANALYSIS!D21">
        <xdr:nvSpPr>
          <xdr:cNvPr id="584" name="TextBox 583">
            <a:extLst>
              <a:ext uri="{FF2B5EF4-FFF2-40B4-BE49-F238E27FC236}">
                <a16:creationId xmlns:a16="http://schemas.microsoft.com/office/drawing/2014/main" id="{EAB53E33-BC05-0441-AB09-7909F965EBE1}"/>
              </a:ext>
            </a:extLst>
          </xdr:cNvPr>
          <xdr:cNvSpPr txBox="1"/>
        </xdr:nvSpPr>
        <xdr:spPr>
          <a:xfrm>
            <a:off x="16740299" y="1298251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53244F2-12C2-E14D-9358-103F08E4BED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21">
        <xdr:nvSpPr>
          <xdr:cNvPr id="585" name="TextBox 584">
            <a:extLst>
              <a:ext uri="{FF2B5EF4-FFF2-40B4-BE49-F238E27FC236}">
                <a16:creationId xmlns:a16="http://schemas.microsoft.com/office/drawing/2014/main" id="{FFB6EBCD-3C1F-1D4F-BBAD-2CCCB66833D2}"/>
              </a:ext>
            </a:extLst>
          </xdr:cNvPr>
          <xdr:cNvSpPr txBox="1"/>
        </xdr:nvSpPr>
        <xdr:spPr>
          <a:xfrm>
            <a:off x="17009746" y="1298251"/>
            <a:ext cx="280153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367EDAD-CECB-AC47-B3F1-5215296C43E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86" name="TextBox 585">
            <a:extLst>
              <a:ext uri="{FF2B5EF4-FFF2-40B4-BE49-F238E27FC236}">
                <a16:creationId xmlns:a16="http://schemas.microsoft.com/office/drawing/2014/main" id="{3D81508D-FD25-3240-9050-7F3FDF8AEE8D}"/>
              </a:ext>
            </a:extLst>
          </xdr:cNvPr>
          <xdr:cNvSpPr txBox="1"/>
        </xdr:nvSpPr>
        <xdr:spPr>
          <a:xfrm>
            <a:off x="16894262" y="1298251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274664</xdr:colOff>
      <xdr:row>13</xdr:row>
      <xdr:rowOff>101046</xdr:rowOff>
    </xdr:from>
    <xdr:to>
      <xdr:col>19</xdr:col>
      <xdr:colOff>836331</xdr:colOff>
      <xdr:row>16</xdr:row>
      <xdr:rowOff>58889</xdr:rowOff>
    </xdr:to>
    <xdr:grpSp>
      <xdr:nvGrpSpPr>
        <xdr:cNvPr id="587" name="Group 586">
          <a:extLst>
            <a:ext uri="{FF2B5EF4-FFF2-40B4-BE49-F238E27FC236}">
              <a16:creationId xmlns:a16="http://schemas.microsoft.com/office/drawing/2014/main" id="{A421536F-84E4-BA4F-AC27-5BA71F3915DF}"/>
            </a:ext>
          </a:extLst>
        </xdr:cNvPr>
        <xdr:cNvGrpSpPr/>
      </xdr:nvGrpSpPr>
      <xdr:grpSpPr>
        <a:xfrm>
          <a:off x="16160247" y="2302379"/>
          <a:ext cx="561667" cy="497593"/>
          <a:chOff x="16729956" y="2381185"/>
          <a:chExt cx="561667" cy="485382"/>
        </a:xfrm>
      </xdr:grpSpPr>
      <xdr:sp macro="" textlink="Location1ANALYSIS!D20">
        <xdr:nvSpPr>
          <xdr:cNvPr id="588" name="TextBox 587">
            <a:extLst>
              <a:ext uri="{FF2B5EF4-FFF2-40B4-BE49-F238E27FC236}">
                <a16:creationId xmlns:a16="http://schemas.microsoft.com/office/drawing/2014/main" id="{D7592C53-7873-3B46-A6F4-E81A5AFBF39E}"/>
              </a:ext>
            </a:extLst>
          </xdr:cNvPr>
          <xdr:cNvSpPr txBox="1"/>
        </xdr:nvSpPr>
        <xdr:spPr>
          <a:xfrm>
            <a:off x="16729956" y="2381185"/>
            <a:ext cx="331864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10A64F2-CA72-274E-843C-810A6A85E6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20">
        <xdr:nvSpPr>
          <xdr:cNvPr id="589" name="TextBox 588">
            <a:extLst>
              <a:ext uri="{FF2B5EF4-FFF2-40B4-BE49-F238E27FC236}">
                <a16:creationId xmlns:a16="http://schemas.microsoft.com/office/drawing/2014/main" id="{00EBF04A-1923-F546-87B2-AFDB0B86D838}"/>
              </a:ext>
            </a:extLst>
          </xdr:cNvPr>
          <xdr:cNvSpPr txBox="1"/>
        </xdr:nvSpPr>
        <xdr:spPr>
          <a:xfrm>
            <a:off x="16999404" y="2381185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8FD9B86-DF32-D04A-98D6-8AE4E5BD137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90" name="TextBox 589">
            <a:extLst>
              <a:ext uri="{FF2B5EF4-FFF2-40B4-BE49-F238E27FC236}">
                <a16:creationId xmlns:a16="http://schemas.microsoft.com/office/drawing/2014/main" id="{E98FC452-7337-9745-B353-21617B7ACB2A}"/>
              </a:ext>
            </a:extLst>
          </xdr:cNvPr>
          <xdr:cNvSpPr txBox="1"/>
        </xdr:nvSpPr>
        <xdr:spPr>
          <a:xfrm>
            <a:off x="16883919" y="2381185"/>
            <a:ext cx="280153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19</xdr:col>
      <xdr:colOff>486713</xdr:colOff>
      <xdr:row>18</xdr:row>
      <xdr:rowOff>147562</xdr:rowOff>
    </xdr:from>
    <xdr:to>
      <xdr:col>20</xdr:col>
      <xdr:colOff>208225</xdr:colOff>
      <xdr:row>21</xdr:row>
      <xdr:rowOff>115175</xdr:rowOff>
    </xdr:to>
    <xdr:grpSp>
      <xdr:nvGrpSpPr>
        <xdr:cNvPr id="591" name="Group 590">
          <a:extLst>
            <a:ext uri="{FF2B5EF4-FFF2-40B4-BE49-F238E27FC236}">
              <a16:creationId xmlns:a16="http://schemas.microsoft.com/office/drawing/2014/main" id="{FA5B16C3-E582-0342-9EDF-91EF13B64B12}"/>
            </a:ext>
          </a:extLst>
        </xdr:cNvPr>
        <xdr:cNvGrpSpPr/>
      </xdr:nvGrpSpPr>
      <xdr:grpSpPr>
        <a:xfrm>
          <a:off x="16372296" y="3237895"/>
          <a:ext cx="557596" cy="475613"/>
          <a:chOff x="16736851" y="3473009"/>
          <a:chExt cx="561666" cy="485382"/>
        </a:xfrm>
      </xdr:grpSpPr>
      <xdr:sp macro="" textlink="Location1ANALYSIS!D19">
        <xdr:nvSpPr>
          <xdr:cNvPr id="592" name="TextBox 591">
            <a:extLst>
              <a:ext uri="{FF2B5EF4-FFF2-40B4-BE49-F238E27FC236}">
                <a16:creationId xmlns:a16="http://schemas.microsoft.com/office/drawing/2014/main" id="{19EA0318-0885-7743-B88F-CE1B3B4485B9}"/>
              </a:ext>
            </a:extLst>
          </xdr:cNvPr>
          <xdr:cNvSpPr txBox="1"/>
        </xdr:nvSpPr>
        <xdr:spPr>
          <a:xfrm>
            <a:off x="16736851" y="3473009"/>
            <a:ext cx="343930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AEC03D3-4023-C44A-B380-18FCC2C60E1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1ANALYSIS!F19">
        <xdr:nvSpPr>
          <xdr:cNvPr id="593" name="TextBox 592">
            <a:extLst>
              <a:ext uri="{FF2B5EF4-FFF2-40B4-BE49-F238E27FC236}">
                <a16:creationId xmlns:a16="http://schemas.microsoft.com/office/drawing/2014/main" id="{E50AF97B-855D-564A-91E0-0B1B7080C101}"/>
              </a:ext>
            </a:extLst>
          </xdr:cNvPr>
          <xdr:cNvSpPr txBox="1"/>
        </xdr:nvSpPr>
        <xdr:spPr>
          <a:xfrm>
            <a:off x="17006298" y="3473009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342BBC4-91ED-2E49-A7C1-15E175E126D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594" name="TextBox 593">
            <a:extLst>
              <a:ext uri="{FF2B5EF4-FFF2-40B4-BE49-F238E27FC236}">
                <a16:creationId xmlns:a16="http://schemas.microsoft.com/office/drawing/2014/main" id="{F32E3F2A-91DA-ED49-8BDB-20E1FFF56144}"/>
              </a:ext>
            </a:extLst>
          </xdr:cNvPr>
          <xdr:cNvSpPr txBox="1"/>
        </xdr:nvSpPr>
        <xdr:spPr>
          <a:xfrm>
            <a:off x="16890814" y="3473009"/>
            <a:ext cx="292219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15</xdr:col>
      <xdr:colOff>114996</xdr:colOff>
      <xdr:row>31</xdr:row>
      <xdr:rowOff>161928</xdr:rowOff>
    </xdr:from>
    <xdr:to>
      <xdr:col>15</xdr:col>
      <xdr:colOff>717467</xdr:colOff>
      <xdr:row>34</xdr:row>
      <xdr:rowOff>149079</xdr:rowOff>
    </xdr:to>
    <xdr:grpSp>
      <xdr:nvGrpSpPr>
        <xdr:cNvPr id="595" name="Group 594">
          <a:extLst>
            <a:ext uri="{FF2B5EF4-FFF2-40B4-BE49-F238E27FC236}">
              <a16:creationId xmlns:a16="http://schemas.microsoft.com/office/drawing/2014/main" id="{1FDEFDC9-ABAA-AD4F-B856-AB918A17B7F6}"/>
            </a:ext>
          </a:extLst>
        </xdr:cNvPr>
        <xdr:cNvGrpSpPr/>
      </xdr:nvGrpSpPr>
      <xdr:grpSpPr>
        <a:xfrm>
          <a:off x="12656246" y="5495928"/>
          <a:ext cx="602471" cy="526901"/>
          <a:chOff x="12301153" y="5353296"/>
          <a:chExt cx="602471" cy="485382"/>
        </a:xfrm>
      </xdr:grpSpPr>
      <xdr:sp macro="" textlink="Location2ANALYSIS!D6">
        <xdr:nvSpPr>
          <xdr:cNvPr id="596" name="TextBox 595">
            <a:extLst>
              <a:ext uri="{FF2B5EF4-FFF2-40B4-BE49-F238E27FC236}">
                <a16:creationId xmlns:a16="http://schemas.microsoft.com/office/drawing/2014/main" id="{3389A11F-DD67-2143-82B6-C44AD5066AE0}"/>
              </a:ext>
            </a:extLst>
          </xdr:cNvPr>
          <xdr:cNvSpPr txBox="1"/>
        </xdr:nvSpPr>
        <xdr:spPr>
          <a:xfrm>
            <a:off x="12301153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CF2AFE4-588C-1B40-B47C-D117F5ECFEF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6">
        <xdr:nvSpPr>
          <xdr:cNvPr id="597" name="TextBox 596">
            <a:extLst>
              <a:ext uri="{FF2B5EF4-FFF2-40B4-BE49-F238E27FC236}">
                <a16:creationId xmlns:a16="http://schemas.microsoft.com/office/drawing/2014/main" id="{819A064E-E3D0-9046-ABB0-169AC292C819}"/>
              </a:ext>
            </a:extLst>
          </xdr:cNvPr>
          <xdr:cNvSpPr txBox="1"/>
        </xdr:nvSpPr>
        <xdr:spPr>
          <a:xfrm>
            <a:off x="12611405" y="5353296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0652551-367A-A04E-8F4A-8E52A5C26F9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598" name="TextBox 597">
            <a:extLst>
              <a:ext uri="{FF2B5EF4-FFF2-40B4-BE49-F238E27FC236}">
                <a16:creationId xmlns:a16="http://schemas.microsoft.com/office/drawing/2014/main" id="{72AE1EA4-BCD2-084F-A499-9C027C19D997}"/>
              </a:ext>
            </a:extLst>
          </xdr:cNvPr>
          <xdr:cNvSpPr txBox="1"/>
        </xdr:nvSpPr>
        <xdr:spPr>
          <a:xfrm>
            <a:off x="12466116" y="5353296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</xdr:grpSp>
    <xdr:clientData/>
  </xdr:twoCellAnchor>
  <xdr:twoCellAnchor>
    <xdr:from>
      <xdr:col>14</xdr:col>
      <xdr:colOff>749996</xdr:colOff>
      <xdr:row>36</xdr:row>
      <xdr:rowOff>131168</xdr:rowOff>
    </xdr:from>
    <xdr:to>
      <xdr:col>15</xdr:col>
      <xdr:colOff>501971</xdr:colOff>
      <xdr:row>39</xdr:row>
      <xdr:rowOff>118319</xdr:rowOff>
    </xdr:to>
    <xdr:grpSp>
      <xdr:nvGrpSpPr>
        <xdr:cNvPr id="599" name="Group 598">
          <a:extLst>
            <a:ext uri="{FF2B5EF4-FFF2-40B4-BE49-F238E27FC236}">
              <a16:creationId xmlns:a16="http://schemas.microsoft.com/office/drawing/2014/main" id="{38A82AAA-9A6B-8D48-9888-F01595126BC4}"/>
            </a:ext>
          </a:extLst>
        </xdr:cNvPr>
        <xdr:cNvGrpSpPr/>
      </xdr:nvGrpSpPr>
      <xdr:grpSpPr>
        <a:xfrm>
          <a:off x="12455163" y="6364751"/>
          <a:ext cx="588058" cy="526901"/>
          <a:chOff x="12301153" y="6436230"/>
          <a:chExt cx="592129" cy="485382"/>
        </a:xfrm>
      </xdr:grpSpPr>
      <xdr:sp macro="" textlink="Location2ANALYSIS!D5">
        <xdr:nvSpPr>
          <xdr:cNvPr id="600" name="TextBox 599">
            <a:extLst>
              <a:ext uri="{FF2B5EF4-FFF2-40B4-BE49-F238E27FC236}">
                <a16:creationId xmlns:a16="http://schemas.microsoft.com/office/drawing/2014/main" id="{8F2007ED-BBAA-104D-971C-622A8A48881E}"/>
              </a:ext>
            </a:extLst>
          </xdr:cNvPr>
          <xdr:cNvSpPr txBox="1"/>
        </xdr:nvSpPr>
        <xdr:spPr>
          <a:xfrm>
            <a:off x="1230115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1C723B0-6111-3349-8B52-919A869BCE5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5">
        <xdr:nvSpPr>
          <xdr:cNvPr id="601" name="TextBox 600">
            <a:extLst>
              <a:ext uri="{FF2B5EF4-FFF2-40B4-BE49-F238E27FC236}">
                <a16:creationId xmlns:a16="http://schemas.microsoft.com/office/drawing/2014/main" id="{D5DB7CB9-CBED-3F45-986D-7CB4ADA9D5BE}"/>
              </a:ext>
            </a:extLst>
          </xdr:cNvPr>
          <xdr:cNvSpPr txBox="1"/>
        </xdr:nvSpPr>
        <xdr:spPr>
          <a:xfrm>
            <a:off x="12601063" y="6436230"/>
            <a:ext cx="292219" cy="4853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0362AB9-2261-D244-AB2B-E24637FBAA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602" name="TextBox 601">
            <a:extLst>
              <a:ext uri="{FF2B5EF4-FFF2-40B4-BE49-F238E27FC236}">
                <a16:creationId xmlns:a16="http://schemas.microsoft.com/office/drawing/2014/main" id="{16F80926-C044-1442-B9CF-5ADB30D236D2}"/>
              </a:ext>
            </a:extLst>
          </xdr:cNvPr>
          <xdr:cNvSpPr txBox="1"/>
        </xdr:nvSpPr>
        <xdr:spPr>
          <a:xfrm>
            <a:off x="12455773" y="6436230"/>
            <a:ext cx="343931" cy="4813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14</xdr:col>
      <xdr:colOff>535069</xdr:colOff>
      <xdr:row>42</xdr:row>
      <xdr:rowOff>1838</xdr:rowOff>
    </xdr:from>
    <xdr:to>
      <xdr:col>15</xdr:col>
      <xdr:colOff>293938</xdr:colOff>
      <xdr:row>44</xdr:row>
      <xdr:rowOff>164837</xdr:rowOff>
    </xdr:to>
    <xdr:grpSp>
      <xdr:nvGrpSpPr>
        <xdr:cNvPr id="603" name="Group 602">
          <a:extLst>
            <a:ext uri="{FF2B5EF4-FFF2-40B4-BE49-F238E27FC236}">
              <a16:creationId xmlns:a16="http://schemas.microsoft.com/office/drawing/2014/main" id="{0FD6BACA-AEE6-4A48-ACB9-E60906E2C5E0}"/>
            </a:ext>
          </a:extLst>
        </xdr:cNvPr>
        <xdr:cNvGrpSpPr/>
      </xdr:nvGrpSpPr>
      <xdr:grpSpPr>
        <a:xfrm>
          <a:off x="12240236" y="7304338"/>
          <a:ext cx="594952" cy="522832"/>
          <a:chOff x="12301153" y="7528054"/>
          <a:chExt cx="599023" cy="485383"/>
        </a:xfrm>
      </xdr:grpSpPr>
      <xdr:sp macro="" textlink="Location2ANALYSIS!D4">
        <xdr:nvSpPr>
          <xdr:cNvPr id="604" name="TextBox 603">
            <a:extLst>
              <a:ext uri="{FF2B5EF4-FFF2-40B4-BE49-F238E27FC236}">
                <a16:creationId xmlns:a16="http://schemas.microsoft.com/office/drawing/2014/main" id="{65331E32-AED3-DD46-8C2C-4CB6E3B61453}"/>
              </a:ext>
            </a:extLst>
          </xdr:cNvPr>
          <xdr:cNvSpPr txBox="1"/>
        </xdr:nvSpPr>
        <xdr:spPr>
          <a:xfrm>
            <a:off x="12301153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98A36E4-FCB9-0F41-963D-C0439DE576A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F4">
        <xdr:nvSpPr>
          <xdr:cNvPr id="605" name="TextBox 604">
            <a:extLst>
              <a:ext uri="{FF2B5EF4-FFF2-40B4-BE49-F238E27FC236}">
                <a16:creationId xmlns:a16="http://schemas.microsoft.com/office/drawing/2014/main" id="{9936262D-416D-1341-A7B6-792E82246282}"/>
              </a:ext>
            </a:extLst>
          </xdr:cNvPr>
          <xdr:cNvSpPr txBox="1"/>
        </xdr:nvSpPr>
        <xdr:spPr>
          <a:xfrm>
            <a:off x="12607957" y="7528054"/>
            <a:ext cx="292219" cy="48538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E0AB6D9-C3EA-EA45-8A17-5911EFD5013D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606" name="TextBox 605">
            <a:extLst>
              <a:ext uri="{FF2B5EF4-FFF2-40B4-BE49-F238E27FC236}">
                <a16:creationId xmlns:a16="http://schemas.microsoft.com/office/drawing/2014/main" id="{A37D571A-BFC9-5247-A29C-F0AC7FE9D096}"/>
              </a:ext>
            </a:extLst>
          </xdr:cNvPr>
          <xdr:cNvSpPr txBox="1"/>
        </xdr:nvSpPr>
        <xdr:spPr>
          <a:xfrm>
            <a:off x="12462668" y="7528054"/>
            <a:ext cx="343931" cy="481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12</xdr:col>
      <xdr:colOff>798286</xdr:colOff>
      <xdr:row>10</xdr:row>
      <xdr:rowOff>108857</xdr:rowOff>
    </xdr:from>
    <xdr:to>
      <xdr:col>13</xdr:col>
      <xdr:colOff>786674</xdr:colOff>
      <xdr:row>12</xdr:row>
      <xdr:rowOff>56605</xdr:rowOff>
    </xdr:to>
    <xdr:sp macro="" textlink="MatchANALYSIS!C3">
      <xdr:nvSpPr>
        <xdr:cNvPr id="530" name="Rectangle 529">
          <a:extLst>
            <a:ext uri="{FF2B5EF4-FFF2-40B4-BE49-F238E27FC236}">
              <a16:creationId xmlns:a16="http://schemas.microsoft.com/office/drawing/2014/main" id="{CA88F564-7A5D-B745-BC4F-50C17B511593}"/>
            </a:ext>
          </a:extLst>
        </xdr:cNvPr>
        <xdr:cNvSpPr>
          <a:spLocks noChangeAspect="1"/>
        </xdr:cNvSpPr>
      </xdr:nvSpPr>
      <xdr:spPr>
        <a:xfrm>
          <a:off x="10813143" y="1741714"/>
          <a:ext cx="822960" cy="2743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BF186-72DB-1845-94AF-BC6EF312529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12</xdr:row>
      <xdr:rowOff>134256</xdr:rowOff>
    </xdr:from>
    <xdr:to>
      <xdr:col>13</xdr:col>
      <xdr:colOff>786674</xdr:colOff>
      <xdr:row>14</xdr:row>
      <xdr:rowOff>82005</xdr:rowOff>
    </xdr:to>
    <xdr:sp macro="" textlink="MatchANALYSIS!$C12">
      <xdr:nvSpPr>
        <xdr:cNvPr id="552" name="Rectangle 551">
          <a:extLst>
            <a:ext uri="{FF2B5EF4-FFF2-40B4-BE49-F238E27FC236}">
              <a16:creationId xmlns:a16="http://schemas.microsoft.com/office/drawing/2014/main" id="{352D5347-91AC-404E-B91E-6BCA55278EE8}"/>
            </a:ext>
          </a:extLst>
        </xdr:cNvPr>
        <xdr:cNvSpPr>
          <a:spLocks noChangeAspect="1"/>
        </xdr:cNvSpPr>
      </xdr:nvSpPr>
      <xdr:spPr>
        <a:xfrm>
          <a:off x="10813143" y="2093685"/>
          <a:ext cx="822960" cy="29246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2749C92-EBAC-DC40-A0C6-A593B4769C74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23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14</xdr:row>
      <xdr:rowOff>159657</xdr:rowOff>
    </xdr:from>
    <xdr:to>
      <xdr:col>13</xdr:col>
      <xdr:colOff>786674</xdr:colOff>
      <xdr:row>16</xdr:row>
      <xdr:rowOff>107406</xdr:rowOff>
    </xdr:to>
    <xdr:sp macro="" textlink="MatchANALYSIS!$C13">
      <xdr:nvSpPr>
        <xdr:cNvPr id="554" name="Rectangle 553">
          <a:extLst>
            <a:ext uri="{FF2B5EF4-FFF2-40B4-BE49-F238E27FC236}">
              <a16:creationId xmlns:a16="http://schemas.microsoft.com/office/drawing/2014/main" id="{FC01D65D-BD37-AA4C-8BEB-8CF0FB935813}"/>
            </a:ext>
          </a:extLst>
        </xdr:cNvPr>
        <xdr:cNvSpPr>
          <a:spLocks noChangeAspect="1"/>
        </xdr:cNvSpPr>
      </xdr:nvSpPr>
      <xdr:spPr>
        <a:xfrm>
          <a:off x="10813143" y="2463800"/>
          <a:ext cx="822960" cy="3106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776D8DD-FA6E-654A-B47F-353C8CE9B356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13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17</xdr:row>
      <xdr:rowOff>10887</xdr:rowOff>
    </xdr:from>
    <xdr:to>
      <xdr:col>13</xdr:col>
      <xdr:colOff>786674</xdr:colOff>
      <xdr:row>18</xdr:row>
      <xdr:rowOff>121921</xdr:rowOff>
    </xdr:to>
    <xdr:sp macro="" textlink="MatchANALYSIS!$C14">
      <xdr:nvSpPr>
        <xdr:cNvPr id="607" name="Rectangle 606">
          <a:extLst>
            <a:ext uri="{FF2B5EF4-FFF2-40B4-BE49-F238E27FC236}">
              <a16:creationId xmlns:a16="http://schemas.microsoft.com/office/drawing/2014/main" id="{59AB6662-47AC-4740-86A5-71981313C7B0}"/>
            </a:ext>
          </a:extLst>
        </xdr:cNvPr>
        <xdr:cNvSpPr>
          <a:spLocks noChangeAspect="1"/>
        </xdr:cNvSpPr>
      </xdr:nvSpPr>
      <xdr:spPr>
        <a:xfrm>
          <a:off x="10813143" y="2859316"/>
          <a:ext cx="822960" cy="27431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4E1EFAE3-6DAA-AF4A-A4E6-701757040E72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12</xdr:col>
      <xdr:colOff>798286</xdr:colOff>
      <xdr:row>19</xdr:row>
      <xdr:rowOff>29029</xdr:rowOff>
    </xdr:from>
    <xdr:to>
      <xdr:col>13</xdr:col>
      <xdr:colOff>786674</xdr:colOff>
      <xdr:row>20</xdr:row>
      <xdr:rowOff>140064</xdr:rowOff>
    </xdr:to>
    <xdr:sp macro="" textlink="MatchANALYSIS!$C15">
      <xdr:nvSpPr>
        <xdr:cNvPr id="608" name="Rectangle 607">
          <a:extLst>
            <a:ext uri="{FF2B5EF4-FFF2-40B4-BE49-F238E27FC236}">
              <a16:creationId xmlns:a16="http://schemas.microsoft.com/office/drawing/2014/main" id="{A1B5BA88-76DB-B640-B988-3EA19CD145F6}"/>
            </a:ext>
          </a:extLst>
        </xdr:cNvPr>
        <xdr:cNvSpPr>
          <a:spLocks noChangeAspect="1"/>
        </xdr:cNvSpPr>
      </xdr:nvSpPr>
      <xdr:spPr>
        <a:xfrm>
          <a:off x="10813143" y="3204029"/>
          <a:ext cx="822960" cy="27432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435BBC1-747C-8B47-BB86-45ECC6CD61D8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51%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21</xdr:col>
      <xdr:colOff>707704</xdr:colOff>
      <xdr:row>11</xdr:row>
      <xdr:rowOff>28246</xdr:rowOff>
    </xdr:from>
    <xdr:to>
      <xdr:col>22</xdr:col>
      <xdr:colOff>495582</xdr:colOff>
      <xdr:row>15</xdr:row>
      <xdr:rowOff>20361</xdr:rowOff>
    </xdr:to>
    <xdr:sp macro="" textlink="MatchANALYSIS!$H$16">
      <xdr:nvSpPr>
        <xdr:cNvPr id="609" name="TextBox 608">
          <a:extLst>
            <a:ext uri="{FF2B5EF4-FFF2-40B4-BE49-F238E27FC236}">
              <a16:creationId xmlns:a16="http://schemas.microsoft.com/office/drawing/2014/main" id="{BC7DF69E-D0A0-A242-A881-69B36FB28DCA}"/>
            </a:ext>
          </a:extLst>
        </xdr:cNvPr>
        <xdr:cNvSpPr txBox="1"/>
      </xdr:nvSpPr>
      <xdr:spPr>
        <a:xfrm>
          <a:off x="18191371" y="1890913"/>
          <a:ext cx="620433" cy="6976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7B7B8DB3-DF41-8F4B-82B2-6E9F96C1C01E}" type="TxLink">
            <a:rPr lang="en-US" sz="44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32</a:t>
          </a:fld>
          <a:endParaRPr lang="en-US" sz="44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758718</xdr:colOff>
      <xdr:row>14</xdr:row>
      <xdr:rowOff>172619</xdr:rowOff>
    </xdr:from>
    <xdr:to>
      <xdr:col>22</xdr:col>
      <xdr:colOff>444568</xdr:colOff>
      <xdr:row>18</xdr:row>
      <xdr:rowOff>59333</xdr:rowOff>
    </xdr:to>
    <xdr:sp macro="" textlink="MatchANALYSIS!$H$17">
      <xdr:nvSpPr>
        <xdr:cNvPr id="610" name="TextBox 609">
          <a:extLst>
            <a:ext uri="{FF2B5EF4-FFF2-40B4-BE49-F238E27FC236}">
              <a16:creationId xmlns:a16="http://schemas.microsoft.com/office/drawing/2014/main" id="{A69D7A1B-10C4-2F46-AB2C-9D4598A1FADA}"/>
            </a:ext>
          </a:extLst>
        </xdr:cNvPr>
        <xdr:cNvSpPr txBox="1"/>
      </xdr:nvSpPr>
      <xdr:spPr>
        <a:xfrm>
          <a:off x="18242385" y="2557397"/>
          <a:ext cx="518405" cy="606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3E781A9D-C49E-8B4C-962C-354D03C054C1}" type="TxLink">
            <a:rPr lang="en-US" sz="3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24</a:t>
          </a:fld>
          <a:endParaRPr lang="en-US" sz="32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606779</xdr:colOff>
      <xdr:row>6</xdr:row>
      <xdr:rowOff>50937</xdr:rowOff>
    </xdr:from>
    <xdr:to>
      <xdr:col>22</xdr:col>
      <xdr:colOff>596508</xdr:colOff>
      <xdr:row>11</xdr:row>
      <xdr:rowOff>129341</xdr:rowOff>
    </xdr:to>
    <xdr:sp macro="" textlink="MatchANALYSIS!$H$15">
      <xdr:nvSpPr>
        <xdr:cNvPr id="611" name="TextBox 610">
          <a:extLst>
            <a:ext uri="{FF2B5EF4-FFF2-40B4-BE49-F238E27FC236}">
              <a16:creationId xmlns:a16="http://schemas.microsoft.com/office/drawing/2014/main" id="{18C8C911-E5DA-F24F-8B1B-C470E3A45D75}"/>
            </a:ext>
          </a:extLst>
        </xdr:cNvPr>
        <xdr:cNvSpPr txBox="1"/>
      </xdr:nvSpPr>
      <xdr:spPr>
        <a:xfrm>
          <a:off x="18090446" y="1066937"/>
          <a:ext cx="822284" cy="9250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ctr">
          <a:noAutofit/>
        </a:bodyPr>
        <a:lstStyle/>
        <a:p>
          <a:pPr algn="ctr"/>
          <a:fld id="{3B0C6836-6562-C146-B026-943D22882075}" type="TxLink">
            <a:rPr lang="en-US" sz="54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40</a:t>
          </a:fld>
          <a:endParaRPr lang="en-US" sz="54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21</xdr:col>
      <xdr:colOff>636015</xdr:colOff>
      <xdr:row>4</xdr:row>
      <xdr:rowOff>0</xdr:rowOff>
    </xdr:from>
    <xdr:to>
      <xdr:col>22</xdr:col>
      <xdr:colOff>621160</xdr:colOff>
      <xdr:row>5</xdr:row>
      <xdr:rowOff>120442</xdr:rowOff>
    </xdr:to>
    <xdr:sp macro="" textlink="MatchANALYSIS!D3">
      <xdr:nvSpPr>
        <xdr:cNvPr id="612" name="Rectangle 611">
          <a:extLst>
            <a:ext uri="{FF2B5EF4-FFF2-40B4-BE49-F238E27FC236}">
              <a16:creationId xmlns:a16="http://schemas.microsoft.com/office/drawing/2014/main" id="{94BCA142-95B5-904F-BC60-A78DEADDF782}"/>
            </a:ext>
          </a:extLst>
        </xdr:cNvPr>
        <xdr:cNvSpPr>
          <a:spLocks noChangeAspect="1"/>
        </xdr:cNvSpPr>
      </xdr:nvSpPr>
      <xdr:spPr>
        <a:xfrm>
          <a:off x="18119682" y="677333"/>
          <a:ext cx="817700" cy="28977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4F1994FA-FC0F-FA46-998A-FF7F88E08654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22</xdr:col>
      <xdr:colOff>457091</xdr:colOff>
      <xdr:row>27</xdr:row>
      <xdr:rowOff>1214</xdr:rowOff>
    </xdr:from>
    <xdr:to>
      <xdr:col>23</xdr:col>
      <xdr:colOff>444263</xdr:colOff>
      <xdr:row>28</xdr:row>
      <xdr:rowOff>112166</xdr:rowOff>
    </xdr:to>
    <xdr:sp macro="" textlink="MatchANALYSIS!H16">
      <xdr:nvSpPr>
        <xdr:cNvPr id="625" name="Rectangle 624">
          <a:extLst>
            <a:ext uri="{FF2B5EF4-FFF2-40B4-BE49-F238E27FC236}">
              <a16:creationId xmlns:a16="http://schemas.microsoft.com/office/drawing/2014/main" id="{959F08B2-8E70-0B4A-9EE3-F2A79F3DF453}"/>
            </a:ext>
          </a:extLst>
        </xdr:cNvPr>
        <xdr:cNvSpPr>
          <a:spLocks noChangeAspect="1"/>
        </xdr:cNvSpPr>
      </xdr:nvSpPr>
      <xdr:spPr>
        <a:xfrm>
          <a:off x="18897491" y="4509714"/>
          <a:ext cx="825372" cy="28875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90F563D-F11B-D843-9567-8ED16686022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32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24</xdr:row>
      <xdr:rowOff>127001</xdr:rowOff>
    </xdr:from>
    <xdr:to>
      <xdr:col>23</xdr:col>
      <xdr:colOff>444263</xdr:colOff>
      <xdr:row>26</xdr:row>
      <xdr:rowOff>71876</xdr:rowOff>
    </xdr:to>
    <xdr:sp macro="" textlink="[1]Match!$C$1">
      <xdr:nvSpPr>
        <xdr:cNvPr id="626" name="Rectangle 625">
          <a:extLst>
            <a:ext uri="{FF2B5EF4-FFF2-40B4-BE49-F238E27FC236}">
              <a16:creationId xmlns:a16="http://schemas.microsoft.com/office/drawing/2014/main" id="{28D65450-0E98-BF47-8A9D-BF6BEF9B2F06}"/>
            </a:ext>
          </a:extLst>
        </xdr:cNvPr>
        <xdr:cNvSpPr>
          <a:spLocks noChangeAspect="1"/>
        </xdr:cNvSpPr>
      </xdr:nvSpPr>
      <xdr:spPr>
        <a:xfrm>
          <a:off x="18897491" y="4140201"/>
          <a:ext cx="825372" cy="2750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09626DC-D717-D74C-886F-5DC9658247A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home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29</xdr:row>
      <xdr:rowOff>30864</xdr:rowOff>
    </xdr:from>
    <xdr:to>
      <xdr:col>23</xdr:col>
      <xdr:colOff>444263</xdr:colOff>
      <xdr:row>30</xdr:row>
      <xdr:rowOff>150684</xdr:rowOff>
    </xdr:to>
    <xdr:sp macro="" textlink="MatchANALYSIS!H18">
      <xdr:nvSpPr>
        <xdr:cNvPr id="627" name="Rectangle 626">
          <a:extLst>
            <a:ext uri="{FF2B5EF4-FFF2-40B4-BE49-F238E27FC236}">
              <a16:creationId xmlns:a16="http://schemas.microsoft.com/office/drawing/2014/main" id="{1E4EBA9A-4663-1F4A-A1EF-F67805E6D92A}"/>
            </a:ext>
          </a:extLst>
        </xdr:cNvPr>
        <xdr:cNvSpPr>
          <a:spLocks noChangeAspect="1"/>
        </xdr:cNvSpPr>
      </xdr:nvSpPr>
      <xdr:spPr>
        <a:xfrm>
          <a:off x="18897491" y="4894964"/>
          <a:ext cx="825372" cy="297620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D551061-9D9C-7B41-A053-B584BFD753E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17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31</xdr:row>
      <xdr:rowOff>60514</xdr:rowOff>
    </xdr:from>
    <xdr:to>
      <xdr:col>23</xdr:col>
      <xdr:colOff>444263</xdr:colOff>
      <xdr:row>33</xdr:row>
      <xdr:rowOff>14256</xdr:rowOff>
    </xdr:to>
    <xdr:sp macro="" textlink="MatchANALYSIS!H19">
      <xdr:nvSpPr>
        <xdr:cNvPr id="628" name="Rectangle 627">
          <a:extLst>
            <a:ext uri="{FF2B5EF4-FFF2-40B4-BE49-F238E27FC236}">
              <a16:creationId xmlns:a16="http://schemas.microsoft.com/office/drawing/2014/main" id="{3E5931C7-FC6E-4544-87D0-4C13B4A5540B}"/>
            </a:ext>
          </a:extLst>
        </xdr:cNvPr>
        <xdr:cNvSpPr>
          <a:spLocks noChangeAspect="1"/>
        </xdr:cNvSpPr>
      </xdr:nvSpPr>
      <xdr:spPr>
        <a:xfrm>
          <a:off x="18897491" y="5280214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645D74F-6FBE-3C41-99B3-B4720FB1B329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33</xdr:row>
      <xdr:rowOff>90165</xdr:rowOff>
    </xdr:from>
    <xdr:to>
      <xdr:col>23</xdr:col>
      <xdr:colOff>444263</xdr:colOff>
      <xdr:row>35</xdr:row>
      <xdr:rowOff>43907</xdr:rowOff>
    </xdr:to>
    <xdr:sp macro="" textlink="MatchANALYSIS!H13">
      <xdr:nvSpPr>
        <xdr:cNvPr id="629" name="Rectangle 628">
          <a:extLst>
            <a:ext uri="{FF2B5EF4-FFF2-40B4-BE49-F238E27FC236}">
              <a16:creationId xmlns:a16="http://schemas.microsoft.com/office/drawing/2014/main" id="{2DC73774-CE87-934F-8B80-92A77769170D}"/>
            </a:ext>
          </a:extLst>
        </xdr:cNvPr>
        <xdr:cNvSpPr>
          <a:spLocks noChangeAspect="1"/>
        </xdr:cNvSpPr>
      </xdr:nvSpPr>
      <xdr:spPr>
        <a:xfrm>
          <a:off x="18897491" y="5665465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6FC7C11-2AFE-E741-B943-7CB0AD688E3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15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468944</xdr:colOff>
      <xdr:row>35</xdr:row>
      <xdr:rowOff>102080</xdr:rowOff>
    </xdr:from>
    <xdr:to>
      <xdr:col>23</xdr:col>
      <xdr:colOff>444263</xdr:colOff>
      <xdr:row>37</xdr:row>
      <xdr:rowOff>55821</xdr:rowOff>
    </xdr:to>
    <xdr:sp macro="" textlink="MatchANALYSIS!H14">
      <xdr:nvSpPr>
        <xdr:cNvPr id="630" name="Rectangle 629">
          <a:extLst>
            <a:ext uri="{FF2B5EF4-FFF2-40B4-BE49-F238E27FC236}">
              <a16:creationId xmlns:a16="http://schemas.microsoft.com/office/drawing/2014/main" id="{FFC1E8ED-EC8A-3E45-B3AC-99562E2A557F}"/>
            </a:ext>
          </a:extLst>
        </xdr:cNvPr>
        <xdr:cNvSpPr>
          <a:spLocks noChangeAspect="1"/>
        </xdr:cNvSpPr>
      </xdr:nvSpPr>
      <xdr:spPr>
        <a:xfrm>
          <a:off x="18909344" y="6032980"/>
          <a:ext cx="813519" cy="30934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C66B78A2-4E76-814A-BFAF-4964E43EA9F8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7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37</xdr:row>
      <xdr:rowOff>158333</xdr:rowOff>
    </xdr:from>
    <xdr:to>
      <xdr:col>23</xdr:col>
      <xdr:colOff>444263</xdr:colOff>
      <xdr:row>39</xdr:row>
      <xdr:rowOff>103207</xdr:rowOff>
    </xdr:to>
    <xdr:sp macro="" textlink="MatchANALYSIS!H9">
      <xdr:nvSpPr>
        <xdr:cNvPr id="631" name="Rectangle 630">
          <a:extLst>
            <a:ext uri="{FF2B5EF4-FFF2-40B4-BE49-F238E27FC236}">
              <a16:creationId xmlns:a16="http://schemas.microsoft.com/office/drawing/2014/main" id="{EE042BEA-09B4-B145-B978-EA75673F8AC0}"/>
            </a:ext>
          </a:extLst>
        </xdr:cNvPr>
        <xdr:cNvSpPr>
          <a:spLocks noChangeAspect="1"/>
        </xdr:cNvSpPr>
      </xdr:nvSpPr>
      <xdr:spPr>
        <a:xfrm>
          <a:off x="18897491" y="6444833"/>
          <a:ext cx="825372" cy="300474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04019CB8-CE98-4D4A-AC18-CC9EBD01546D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457091</xdr:colOff>
      <xdr:row>40</xdr:row>
      <xdr:rowOff>21906</xdr:rowOff>
    </xdr:from>
    <xdr:to>
      <xdr:col>23</xdr:col>
      <xdr:colOff>444263</xdr:colOff>
      <xdr:row>41</xdr:row>
      <xdr:rowOff>132857</xdr:rowOff>
    </xdr:to>
    <xdr:sp macro="" textlink="MatchANALYSIS!H4">
      <xdr:nvSpPr>
        <xdr:cNvPr id="632" name="Rectangle 631">
          <a:extLst>
            <a:ext uri="{FF2B5EF4-FFF2-40B4-BE49-F238E27FC236}">
              <a16:creationId xmlns:a16="http://schemas.microsoft.com/office/drawing/2014/main" id="{ED8C5CB8-C494-8446-A66D-D83032E21C6D}"/>
            </a:ext>
          </a:extLst>
        </xdr:cNvPr>
        <xdr:cNvSpPr>
          <a:spLocks noChangeAspect="1"/>
        </xdr:cNvSpPr>
      </xdr:nvSpPr>
      <xdr:spPr>
        <a:xfrm>
          <a:off x="18897491" y="6829106"/>
          <a:ext cx="825372" cy="28875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6860D54E-1373-7C4F-9ED8-2762B27AADBA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4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42</xdr:row>
      <xdr:rowOff>71094</xdr:rowOff>
    </xdr:from>
    <xdr:to>
      <xdr:col>23</xdr:col>
      <xdr:colOff>434494</xdr:colOff>
      <xdr:row>44</xdr:row>
      <xdr:rowOff>15969</xdr:rowOff>
    </xdr:to>
    <xdr:sp macro="" textlink="MatchANALYSIS!H5">
      <xdr:nvSpPr>
        <xdr:cNvPr id="633" name="Rectangle 632">
          <a:extLst>
            <a:ext uri="{FF2B5EF4-FFF2-40B4-BE49-F238E27FC236}">
              <a16:creationId xmlns:a16="http://schemas.microsoft.com/office/drawing/2014/main" id="{65F238C3-2927-054B-9076-DB0E6BE60719}"/>
            </a:ext>
          </a:extLst>
        </xdr:cNvPr>
        <xdr:cNvSpPr>
          <a:spLocks noChangeAspect="1"/>
        </xdr:cNvSpPr>
      </xdr:nvSpPr>
      <xdr:spPr>
        <a:xfrm>
          <a:off x="18887722" y="7233894"/>
          <a:ext cx="825372" cy="300475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FB6AF725-88E6-724C-9818-A24BD002862E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44</xdr:row>
      <xdr:rowOff>100743</xdr:rowOff>
    </xdr:from>
    <xdr:to>
      <xdr:col>23</xdr:col>
      <xdr:colOff>434494</xdr:colOff>
      <xdr:row>46</xdr:row>
      <xdr:rowOff>54485</xdr:rowOff>
    </xdr:to>
    <xdr:sp macro="" textlink="MatchANALYSIS!H6">
      <xdr:nvSpPr>
        <xdr:cNvPr id="634" name="Rectangle 633">
          <a:extLst>
            <a:ext uri="{FF2B5EF4-FFF2-40B4-BE49-F238E27FC236}">
              <a16:creationId xmlns:a16="http://schemas.microsoft.com/office/drawing/2014/main" id="{EA9E07AE-F58C-234A-BC77-FCC52D02AA00}"/>
            </a:ext>
          </a:extLst>
        </xdr:cNvPr>
        <xdr:cNvSpPr>
          <a:spLocks noChangeAspect="1"/>
        </xdr:cNvSpPr>
      </xdr:nvSpPr>
      <xdr:spPr>
        <a:xfrm>
          <a:off x="18887722" y="7619143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B94575E4-3711-2F4B-BCAD-EC969B5DE807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2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459175</xdr:colOff>
      <xdr:row>46</xdr:row>
      <xdr:rowOff>112657</xdr:rowOff>
    </xdr:from>
    <xdr:to>
      <xdr:col>23</xdr:col>
      <xdr:colOff>434494</xdr:colOff>
      <xdr:row>48</xdr:row>
      <xdr:rowOff>66399</xdr:rowOff>
    </xdr:to>
    <xdr:sp macro="" textlink="MatchANALYSIS!H7">
      <xdr:nvSpPr>
        <xdr:cNvPr id="635" name="Rectangle 634">
          <a:extLst>
            <a:ext uri="{FF2B5EF4-FFF2-40B4-BE49-F238E27FC236}">
              <a16:creationId xmlns:a16="http://schemas.microsoft.com/office/drawing/2014/main" id="{B8A3F6E1-B8BC-9D4E-9561-C29D75900223}"/>
            </a:ext>
          </a:extLst>
        </xdr:cNvPr>
        <xdr:cNvSpPr>
          <a:spLocks noChangeAspect="1"/>
        </xdr:cNvSpPr>
      </xdr:nvSpPr>
      <xdr:spPr>
        <a:xfrm>
          <a:off x="18899575" y="7986657"/>
          <a:ext cx="813519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9A0C8B36-54C6-9C49-8A1F-1B0C9F321F3C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22</xdr:col>
      <xdr:colOff>447322</xdr:colOff>
      <xdr:row>48</xdr:row>
      <xdr:rowOff>142307</xdr:rowOff>
    </xdr:from>
    <xdr:to>
      <xdr:col>23</xdr:col>
      <xdr:colOff>434494</xdr:colOff>
      <xdr:row>50</xdr:row>
      <xdr:rowOff>96049</xdr:rowOff>
    </xdr:to>
    <xdr:sp macro="" textlink="MatchANALYSIS!H8">
      <xdr:nvSpPr>
        <xdr:cNvPr id="636" name="Rectangle 635">
          <a:extLst>
            <a:ext uri="{FF2B5EF4-FFF2-40B4-BE49-F238E27FC236}">
              <a16:creationId xmlns:a16="http://schemas.microsoft.com/office/drawing/2014/main" id="{2939C440-6E46-8640-B21B-5420712E9085}"/>
            </a:ext>
          </a:extLst>
        </xdr:cNvPr>
        <xdr:cNvSpPr>
          <a:spLocks noChangeAspect="1"/>
        </xdr:cNvSpPr>
      </xdr:nvSpPr>
      <xdr:spPr>
        <a:xfrm>
          <a:off x="18887722" y="8371907"/>
          <a:ext cx="825372" cy="3093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3CA802ED-A452-244C-89E6-8ADAC515DE7B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80000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6</xdr:row>
      <xdr:rowOff>129280</xdr:rowOff>
    </xdr:from>
    <xdr:to>
      <xdr:col>47</xdr:col>
      <xdr:colOff>351106</xdr:colOff>
      <xdr:row>8</xdr:row>
      <xdr:rowOff>58419</xdr:rowOff>
    </xdr:to>
    <xdr:sp macro="" textlink="MatchANALYSIS!G28">
      <xdr:nvSpPr>
        <xdr:cNvPr id="623" name="Rectangle 622">
          <a:extLst>
            <a:ext uri="{FF2B5EF4-FFF2-40B4-BE49-F238E27FC236}">
              <a16:creationId xmlns:a16="http://schemas.microsoft.com/office/drawing/2014/main" id="{775225EA-FC4E-244D-9100-0894D2C4E2DC}"/>
            </a:ext>
          </a:extLst>
        </xdr:cNvPr>
        <xdr:cNvSpPr>
          <a:spLocks noChangeAspect="1"/>
        </xdr:cNvSpPr>
      </xdr:nvSpPr>
      <xdr:spPr>
        <a:xfrm>
          <a:off x="38828133" y="1145280"/>
          <a:ext cx="818890" cy="267806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7E6F15-383D-A846-A7E1-642AB7D1159D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14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4</xdr:row>
      <xdr:rowOff>105841</xdr:rowOff>
    </xdr:from>
    <xdr:to>
      <xdr:col>47</xdr:col>
      <xdr:colOff>351106</xdr:colOff>
      <xdr:row>6</xdr:row>
      <xdr:rowOff>44751</xdr:rowOff>
    </xdr:to>
    <xdr:sp macro="" textlink="[1]Match!$B$1">
      <xdr:nvSpPr>
        <xdr:cNvPr id="624" name="Rectangle 623">
          <a:extLst>
            <a:ext uri="{FF2B5EF4-FFF2-40B4-BE49-F238E27FC236}">
              <a16:creationId xmlns:a16="http://schemas.microsoft.com/office/drawing/2014/main" id="{8C4DC2BA-7D76-0A4D-9570-CDBEEF7C11EE}"/>
            </a:ext>
          </a:extLst>
        </xdr:cNvPr>
        <xdr:cNvSpPr>
          <a:spLocks noChangeAspect="1"/>
        </xdr:cNvSpPr>
      </xdr:nvSpPr>
      <xdr:spPr>
        <a:xfrm>
          <a:off x="38828133" y="783174"/>
          <a:ext cx="818890" cy="27757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E0E281C8-F1DF-A54C-B970-C4CDC433194F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away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8</xdr:row>
      <xdr:rowOff>129558</xdr:rowOff>
    </xdr:from>
    <xdr:to>
      <xdr:col>47</xdr:col>
      <xdr:colOff>351106</xdr:colOff>
      <xdr:row>10</xdr:row>
      <xdr:rowOff>58700</xdr:rowOff>
    </xdr:to>
    <xdr:sp macro="" textlink="MatchANALYSIS!G27">
      <xdr:nvSpPr>
        <xdr:cNvPr id="637" name="Rectangle 636">
          <a:extLst>
            <a:ext uri="{FF2B5EF4-FFF2-40B4-BE49-F238E27FC236}">
              <a16:creationId xmlns:a16="http://schemas.microsoft.com/office/drawing/2014/main" id="{475AF5B4-A912-D541-B019-37757C98B4C0}"/>
            </a:ext>
          </a:extLst>
        </xdr:cNvPr>
        <xdr:cNvSpPr>
          <a:spLocks noChangeAspect="1"/>
        </xdr:cNvSpPr>
      </xdr:nvSpPr>
      <xdr:spPr>
        <a:xfrm>
          <a:off x="38828133" y="1484225"/>
          <a:ext cx="818890" cy="26780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1516343B-769E-0047-9E8A-616A25033B5B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10</xdr:row>
      <xdr:rowOff>129838</xdr:rowOff>
    </xdr:from>
    <xdr:to>
      <xdr:col>47</xdr:col>
      <xdr:colOff>351106</xdr:colOff>
      <xdr:row>12</xdr:row>
      <xdr:rowOff>58978</xdr:rowOff>
    </xdr:to>
    <xdr:sp macro="" textlink="MatchANALYSIS!G25">
      <xdr:nvSpPr>
        <xdr:cNvPr id="638" name="Rectangle 637">
          <a:extLst>
            <a:ext uri="{FF2B5EF4-FFF2-40B4-BE49-F238E27FC236}">
              <a16:creationId xmlns:a16="http://schemas.microsoft.com/office/drawing/2014/main" id="{9E32045C-0940-824F-95D2-B22B3BEA166C}"/>
            </a:ext>
          </a:extLst>
        </xdr:cNvPr>
        <xdr:cNvSpPr>
          <a:spLocks noChangeAspect="1"/>
        </xdr:cNvSpPr>
      </xdr:nvSpPr>
      <xdr:spPr>
        <a:xfrm>
          <a:off x="38828133" y="1823171"/>
          <a:ext cx="818890" cy="26780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234BE88-12EB-B24E-98E1-02253C6BD693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46</xdr:col>
      <xdr:colOff>368300</xdr:colOff>
      <xdr:row>12</xdr:row>
      <xdr:rowOff>140701</xdr:rowOff>
    </xdr:from>
    <xdr:to>
      <xdr:col>47</xdr:col>
      <xdr:colOff>351106</xdr:colOff>
      <xdr:row>14</xdr:row>
      <xdr:rowOff>69842</xdr:rowOff>
    </xdr:to>
    <xdr:sp macro="" textlink="MatchANALYSIS!G26">
      <xdr:nvSpPr>
        <xdr:cNvPr id="639" name="Rectangle 638">
          <a:extLst>
            <a:ext uri="{FF2B5EF4-FFF2-40B4-BE49-F238E27FC236}">
              <a16:creationId xmlns:a16="http://schemas.microsoft.com/office/drawing/2014/main" id="{A02743FB-83B4-C440-B32F-7799ED84D1AA}"/>
            </a:ext>
          </a:extLst>
        </xdr:cNvPr>
        <xdr:cNvSpPr>
          <a:spLocks noChangeAspect="1"/>
        </xdr:cNvSpPr>
      </xdr:nvSpPr>
      <xdr:spPr>
        <a:xfrm>
          <a:off x="38828133" y="2172701"/>
          <a:ext cx="818890" cy="278391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753E8B2C-BA43-3A45-A03D-1AD054ACDE00}" type="TxLink">
            <a:rPr lang="en-US" sz="1200" b="1" i="0" u="none" strike="noStrike">
              <a:solidFill>
                <a:srgbClr val="008080"/>
              </a:solidFill>
              <a:latin typeface="Calibri"/>
              <a:ea typeface="Arial" charset="0"/>
              <a:cs typeface="Calibri"/>
            </a:rPr>
            <a:pPr marL="0" indent="0" algn="ctr"/>
            <a:t>0</a:t>
          </a:fld>
          <a:endParaRPr lang="en-US" sz="1200" b="1" i="0" u="none" strike="noStrike">
            <a:solidFill>
              <a:srgbClr val="008080"/>
            </a:solidFill>
            <a:latin typeface="Calibri"/>
            <a:ea typeface="Arial" charset="0"/>
            <a:cs typeface="Calibri"/>
          </a:endParaRPr>
        </a:p>
      </xdr:txBody>
    </xdr:sp>
    <xdr:clientData/>
  </xdr:twoCellAnchor>
  <xdr:twoCellAnchor>
    <xdr:from>
      <xdr:col>47</xdr:col>
      <xdr:colOff>271018</xdr:colOff>
      <xdr:row>26</xdr:row>
      <xdr:rowOff>13687</xdr:rowOff>
    </xdr:from>
    <xdr:to>
      <xdr:col>47</xdr:col>
      <xdr:colOff>591293</xdr:colOff>
      <xdr:row>28</xdr:row>
      <xdr:rowOff>149546</xdr:rowOff>
    </xdr:to>
    <xdr:sp macro="" textlink="Location2ANALYSIS!$O$19">
      <xdr:nvSpPr>
        <xdr:cNvPr id="517" name="TextBox 516">
          <a:extLst>
            <a:ext uri="{FF2B5EF4-FFF2-40B4-BE49-F238E27FC236}">
              <a16:creationId xmlns:a16="http://schemas.microsoft.com/office/drawing/2014/main" id="{858EDAE0-0318-E94F-9806-E14F00CF94D2}"/>
            </a:ext>
          </a:extLst>
        </xdr:cNvPr>
        <xdr:cNvSpPr txBox="1"/>
      </xdr:nvSpPr>
      <xdr:spPr>
        <a:xfrm>
          <a:off x="39666418" y="43570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2F6768BA-215C-2D47-B204-E20EDE1526BF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46</xdr:col>
      <xdr:colOff>779018</xdr:colOff>
      <xdr:row>17</xdr:row>
      <xdr:rowOff>89887</xdr:rowOff>
    </xdr:from>
    <xdr:to>
      <xdr:col>47</xdr:col>
      <xdr:colOff>261093</xdr:colOff>
      <xdr:row>20</xdr:row>
      <xdr:rowOff>73346</xdr:rowOff>
    </xdr:to>
    <xdr:sp macro="" textlink="Location2ANALYSIS!$O$21">
      <xdr:nvSpPr>
        <xdr:cNvPr id="519" name="TextBox 518">
          <a:extLst>
            <a:ext uri="{FF2B5EF4-FFF2-40B4-BE49-F238E27FC236}">
              <a16:creationId xmlns:a16="http://schemas.microsoft.com/office/drawing/2014/main" id="{43805556-5A5C-F34A-859A-E0D3C44EE341}"/>
            </a:ext>
          </a:extLst>
        </xdr:cNvPr>
        <xdr:cNvSpPr txBox="1"/>
      </xdr:nvSpPr>
      <xdr:spPr>
        <a:xfrm>
          <a:off x="39336218" y="29473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774F6FE6-0BBA-7042-B3EB-193410877C5A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1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47</xdr:col>
      <xdr:colOff>93218</xdr:colOff>
      <xdr:row>21</xdr:row>
      <xdr:rowOff>39087</xdr:rowOff>
    </xdr:from>
    <xdr:to>
      <xdr:col>47</xdr:col>
      <xdr:colOff>413493</xdr:colOff>
      <xdr:row>24</xdr:row>
      <xdr:rowOff>22546</xdr:rowOff>
    </xdr:to>
    <xdr:sp macro="" textlink="Location2ANALYSIS!$O$20">
      <xdr:nvSpPr>
        <xdr:cNvPr id="522" name="TextBox 521">
          <a:extLst>
            <a:ext uri="{FF2B5EF4-FFF2-40B4-BE49-F238E27FC236}">
              <a16:creationId xmlns:a16="http://schemas.microsoft.com/office/drawing/2014/main" id="{591DB898-C2F6-C24C-9912-A29B7573000E}"/>
            </a:ext>
          </a:extLst>
        </xdr:cNvPr>
        <xdr:cNvSpPr txBox="1"/>
      </xdr:nvSpPr>
      <xdr:spPr>
        <a:xfrm>
          <a:off x="39488618" y="3556987"/>
          <a:ext cx="320275" cy="4787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BC17C742-C74F-7446-9BB7-038EADD879C7}" type="TxLink">
            <a:rPr lang="en-US" sz="24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/>
            <a:t>0</a:t>
          </a:fld>
          <a:endParaRPr lang="en-US" sz="24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543703</xdr:colOff>
      <xdr:row>27</xdr:row>
      <xdr:rowOff>12494</xdr:rowOff>
    </xdr:from>
    <xdr:to>
      <xdr:col>34</xdr:col>
      <xdr:colOff>537957</xdr:colOff>
      <xdr:row>28</xdr:row>
      <xdr:rowOff>124136</xdr:rowOff>
    </xdr:to>
    <xdr:sp macro="" textlink="Location1ANALYSIS!L38">
      <xdr:nvSpPr>
        <xdr:cNvPr id="613" name="Rectangle 612">
          <a:extLst>
            <a:ext uri="{FF2B5EF4-FFF2-40B4-BE49-F238E27FC236}">
              <a16:creationId xmlns:a16="http://schemas.microsoft.com/office/drawing/2014/main" id="{E9A527CA-B759-DC42-8D3A-61D3F1DC9B38}"/>
            </a:ext>
          </a:extLst>
        </xdr:cNvPr>
        <xdr:cNvSpPr>
          <a:spLocks noChangeAspect="1"/>
        </xdr:cNvSpPr>
      </xdr:nvSpPr>
      <xdr:spPr>
        <a:xfrm>
          <a:off x="28204303" y="4520994"/>
          <a:ext cx="832454" cy="289442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E76B344-0E3D-4243-8970-D098E269F10F}" type="TxLink">
            <a:rPr lang="en-US" sz="1000" b="0" i="0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 </a:t>
          </a:fld>
          <a:endParaRPr lang="en-US" sz="11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14</xdr:col>
      <xdr:colOff>422623</xdr:colOff>
      <xdr:row>47</xdr:row>
      <xdr:rowOff>47086</xdr:rowOff>
    </xdr:from>
    <xdr:to>
      <xdr:col>15</xdr:col>
      <xdr:colOff>416054</xdr:colOff>
      <xdr:row>48</xdr:row>
      <xdr:rowOff>168535</xdr:rowOff>
    </xdr:to>
    <xdr:sp macro="" textlink="Location2ANALYSIS!F30">
      <xdr:nvSpPr>
        <xdr:cNvPr id="614" name="Rectangle 613">
          <a:extLst>
            <a:ext uri="{FF2B5EF4-FFF2-40B4-BE49-F238E27FC236}">
              <a16:creationId xmlns:a16="http://schemas.microsoft.com/office/drawing/2014/main" id="{C9D9DD9C-CF61-D241-BC48-C9B133A8D7A7}"/>
            </a:ext>
          </a:extLst>
        </xdr:cNvPr>
        <xdr:cNvSpPr>
          <a:spLocks noChangeAspect="1"/>
        </xdr:cNvSpPr>
      </xdr:nvSpPr>
      <xdr:spPr>
        <a:xfrm>
          <a:off x="12157423" y="8098886"/>
          <a:ext cx="831631" cy="29924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583B223-BB9F-5944-BB9E-D8DF9EC28CB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49</xdr:col>
      <xdr:colOff>469900</xdr:colOff>
      <xdr:row>2</xdr:row>
      <xdr:rowOff>12700</xdr:rowOff>
    </xdr:from>
    <xdr:to>
      <xdr:col>55</xdr:col>
      <xdr:colOff>444500</xdr:colOff>
      <xdr:row>51</xdr:row>
      <xdr:rowOff>127000</xdr:rowOff>
    </xdr:to>
    <xdr:graphicFrame macro="">
      <xdr:nvGraphicFramePr>
        <xdr:cNvPr id="558" name="Chart 557">
          <a:extLst>
            <a:ext uri="{FF2B5EF4-FFF2-40B4-BE49-F238E27FC236}">
              <a16:creationId xmlns:a16="http://schemas.microsoft.com/office/drawing/2014/main" id="{A6E117E4-9C3E-9D44-AB3E-3ADC9D93D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28</xdr:col>
      <xdr:colOff>144099</xdr:colOff>
      <xdr:row>28</xdr:row>
      <xdr:rowOff>61057</xdr:rowOff>
    </xdr:from>
    <xdr:to>
      <xdr:col>35</xdr:col>
      <xdr:colOff>129160</xdr:colOff>
      <xdr:row>52</xdr:row>
      <xdr:rowOff>80595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8E6C12FF-D55B-164C-BDC2-D8E91F803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54432" y="4855307"/>
          <a:ext cx="5837645" cy="4326955"/>
        </a:xfrm>
        <a:prstGeom prst="rect">
          <a:avLst/>
        </a:prstGeom>
      </xdr:spPr>
    </xdr:pic>
    <xdr:clientData/>
  </xdr:twoCellAnchor>
  <xdr:twoCellAnchor>
    <xdr:from>
      <xdr:col>28</xdr:col>
      <xdr:colOff>638255</xdr:colOff>
      <xdr:row>33</xdr:row>
      <xdr:rowOff>108864</xdr:rowOff>
    </xdr:from>
    <xdr:to>
      <xdr:col>29</xdr:col>
      <xdr:colOff>281810</xdr:colOff>
      <xdr:row>36</xdr:row>
      <xdr:rowOff>14067</xdr:rowOff>
    </xdr:to>
    <xdr:sp macro="" textlink="Location2ANALYSIS!L25">
      <xdr:nvSpPr>
        <xdr:cNvPr id="724" name="Rectangle 723">
          <a:extLst>
            <a:ext uri="{FF2B5EF4-FFF2-40B4-BE49-F238E27FC236}">
              <a16:creationId xmlns:a16="http://schemas.microsoft.com/office/drawing/2014/main" id="{0702614C-4B89-F540-9BB0-904A5F3EF6C1}"/>
            </a:ext>
          </a:extLst>
        </xdr:cNvPr>
        <xdr:cNvSpPr>
          <a:spLocks noChangeAspect="1"/>
        </xdr:cNvSpPr>
      </xdr:nvSpPr>
      <xdr:spPr>
        <a:xfrm>
          <a:off x="24048588" y="5802697"/>
          <a:ext cx="479639" cy="44495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89A5A9CB-091F-5A45-BB88-D695DD1E4E17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67%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28</xdr:col>
      <xdr:colOff>394023</xdr:colOff>
      <xdr:row>37</xdr:row>
      <xdr:rowOff>161676</xdr:rowOff>
    </xdr:from>
    <xdr:to>
      <xdr:col>29</xdr:col>
      <xdr:colOff>100264</xdr:colOff>
      <xdr:row>40</xdr:row>
      <xdr:rowOff>138162</xdr:rowOff>
    </xdr:to>
    <xdr:sp macro="" textlink="Location2ANALYSIS!L26">
      <xdr:nvSpPr>
        <xdr:cNvPr id="725" name="Rectangle 724">
          <a:extLst>
            <a:ext uri="{FF2B5EF4-FFF2-40B4-BE49-F238E27FC236}">
              <a16:creationId xmlns:a16="http://schemas.microsoft.com/office/drawing/2014/main" id="{419D146B-D55F-7A46-9439-07972FDEAA9F}"/>
            </a:ext>
          </a:extLst>
        </xdr:cNvPr>
        <xdr:cNvSpPr>
          <a:spLocks noChangeAspect="1"/>
        </xdr:cNvSpPr>
      </xdr:nvSpPr>
      <xdr:spPr>
        <a:xfrm>
          <a:off x="23804356" y="6575176"/>
          <a:ext cx="542325" cy="50565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F66D48C0-073E-B449-8484-BA418E0869C9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79%</a:t>
          </a:fld>
          <a:endParaRPr lang="en-US" sz="1000" b="1" i="0" u="none" strike="noStrike">
            <a:solidFill>
              <a:srgbClr val="000000"/>
            </a:solidFill>
            <a:latin typeface="+mn-lt"/>
            <a:ea typeface="Verdana"/>
            <a:cs typeface="Verdana"/>
          </a:endParaRPr>
        </a:p>
      </xdr:txBody>
    </xdr:sp>
    <xdr:clientData/>
  </xdr:twoCellAnchor>
  <xdr:twoCellAnchor>
    <xdr:from>
      <xdr:col>28</xdr:col>
      <xdr:colOff>95251</xdr:colOff>
      <xdr:row>43</xdr:row>
      <xdr:rowOff>83681</xdr:rowOff>
    </xdr:from>
    <xdr:to>
      <xdr:col>28</xdr:col>
      <xdr:colOff>604197</xdr:colOff>
      <xdr:row>46</xdr:row>
      <xdr:rowOff>37439</xdr:rowOff>
    </xdr:to>
    <xdr:sp macro="" textlink="Location2ANALYSIS!L27">
      <xdr:nvSpPr>
        <xdr:cNvPr id="726" name="Rectangle 725">
          <a:extLst>
            <a:ext uri="{FF2B5EF4-FFF2-40B4-BE49-F238E27FC236}">
              <a16:creationId xmlns:a16="http://schemas.microsoft.com/office/drawing/2014/main" id="{93A12CE6-5D1F-3647-8123-F61DA366F8E1}"/>
            </a:ext>
          </a:extLst>
        </xdr:cNvPr>
        <xdr:cNvSpPr>
          <a:spLocks noChangeAspect="1"/>
        </xdr:cNvSpPr>
      </xdr:nvSpPr>
      <xdr:spPr>
        <a:xfrm>
          <a:off x="23505584" y="7566098"/>
          <a:ext cx="508946" cy="49350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l"/>
          <a:fld id="{9251201D-C1B5-2846-A74C-690028F01776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l"/>
            <a:t>73%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32</xdr:col>
      <xdr:colOff>345126</xdr:colOff>
      <xdr:row>33</xdr:row>
      <xdr:rowOff>102971</xdr:rowOff>
    </xdr:from>
    <xdr:to>
      <xdr:col>32</xdr:col>
      <xdr:colOff>637634</xdr:colOff>
      <xdr:row>36</xdr:row>
      <xdr:rowOff>81165</xdr:rowOff>
    </xdr:to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B7486AED-0CA6-614C-98A8-F4012DE653E9}"/>
            </a:ext>
          </a:extLst>
        </xdr:cNvPr>
        <xdr:cNvSpPr txBox="1"/>
      </xdr:nvSpPr>
      <xdr:spPr>
        <a:xfrm>
          <a:off x="27099793" y="5796804"/>
          <a:ext cx="292508" cy="5179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C7E16266-A6DD-634E-BF3C-43EC7D8D20D7}" type="TxLink">
            <a:rPr lang="en-US" sz="2400" b="1" i="0" u="none" strike="noStrike">
              <a:solidFill>
                <a:srgbClr val="000000"/>
              </a:solidFill>
              <a:latin typeface="+mn-lt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334773</xdr:colOff>
      <xdr:row>40</xdr:row>
      <xdr:rowOff>30699</xdr:rowOff>
    </xdr:from>
    <xdr:to>
      <xdr:col>32</xdr:col>
      <xdr:colOff>627281</xdr:colOff>
      <xdr:row>43</xdr:row>
      <xdr:rowOff>17784</xdr:rowOff>
    </xdr:to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B1074F82-F46E-134A-BA15-CBFB1349C39A}"/>
            </a:ext>
          </a:extLst>
        </xdr:cNvPr>
        <xdr:cNvSpPr txBox="1"/>
      </xdr:nvSpPr>
      <xdr:spPr>
        <a:xfrm>
          <a:off x="27089440" y="6973366"/>
          <a:ext cx="292508" cy="5268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09BDD5C5-DB97-FC44-8643-9A5ECF7057B6}" type="TxLink">
            <a:rPr lang="en-US" sz="2400" b="1" i="0" u="none" strike="noStrike">
              <a:solidFill>
                <a:srgbClr val="000000"/>
              </a:solidFill>
              <a:latin typeface="+mn-lt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341674</xdr:colOff>
      <xdr:row>46</xdr:row>
      <xdr:rowOff>107793</xdr:rowOff>
    </xdr:from>
    <xdr:to>
      <xdr:col>31</xdr:col>
      <xdr:colOff>634182</xdr:colOff>
      <xdr:row>49</xdr:row>
      <xdr:rowOff>94876</xdr:rowOff>
    </xdr:to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74BCC3FD-A4E8-944B-8C36-795A8D692336}"/>
            </a:ext>
          </a:extLst>
        </xdr:cNvPr>
        <xdr:cNvSpPr txBox="1"/>
      </xdr:nvSpPr>
      <xdr:spPr>
        <a:xfrm>
          <a:off x="26260257" y="8129960"/>
          <a:ext cx="292508" cy="5268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EBBEA346-42A2-4E48-A843-327D3217195A}" type="TxLink">
            <a:rPr lang="en-US" sz="2400" b="1" i="0" u="none" strike="noStrike">
              <a:solidFill>
                <a:srgbClr val="000000"/>
              </a:solidFill>
              <a:latin typeface="+mn-lt"/>
              <a:ea typeface="Arial" charset="0"/>
              <a:cs typeface="Calibri"/>
            </a:rPr>
            <a:pPr/>
            <a:t> 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535651</xdr:colOff>
      <xdr:row>48</xdr:row>
      <xdr:rowOff>128118</xdr:rowOff>
    </xdr:from>
    <xdr:to>
      <xdr:col>29</xdr:col>
      <xdr:colOff>529906</xdr:colOff>
      <xdr:row>50</xdr:row>
      <xdr:rowOff>82573</xdr:rowOff>
    </xdr:to>
    <xdr:sp macro="" textlink="Location2ANALYSIS!L30">
      <xdr:nvSpPr>
        <xdr:cNvPr id="730" name="Rectangle 729">
          <a:extLst>
            <a:ext uri="{FF2B5EF4-FFF2-40B4-BE49-F238E27FC236}">
              <a16:creationId xmlns:a16="http://schemas.microsoft.com/office/drawing/2014/main" id="{81F34D8C-5943-5A4B-876D-03510EB874F7}"/>
            </a:ext>
          </a:extLst>
        </xdr:cNvPr>
        <xdr:cNvSpPr>
          <a:spLocks noChangeAspect="1"/>
        </xdr:cNvSpPr>
      </xdr:nvSpPr>
      <xdr:spPr>
        <a:xfrm>
          <a:off x="23945984" y="8510118"/>
          <a:ext cx="830339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D37C7C86-0337-2C41-9715-B5498DEA74DC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29</xdr:col>
      <xdr:colOff>639322</xdr:colOff>
      <xdr:row>48</xdr:row>
      <xdr:rowOff>128118</xdr:rowOff>
    </xdr:from>
    <xdr:to>
      <xdr:col>30</xdr:col>
      <xdr:colOff>633577</xdr:colOff>
      <xdr:row>50</xdr:row>
      <xdr:rowOff>82573</xdr:rowOff>
    </xdr:to>
    <xdr:sp macro="" textlink="Location2ANALYSIS!L31">
      <xdr:nvSpPr>
        <xdr:cNvPr id="731" name="Rectangle 730">
          <a:extLst>
            <a:ext uri="{FF2B5EF4-FFF2-40B4-BE49-F238E27FC236}">
              <a16:creationId xmlns:a16="http://schemas.microsoft.com/office/drawing/2014/main" id="{1284875C-0C60-CA4B-9CA6-ADD9E1C2086A}"/>
            </a:ext>
          </a:extLst>
        </xdr:cNvPr>
        <xdr:cNvSpPr>
          <a:spLocks noChangeAspect="1"/>
        </xdr:cNvSpPr>
      </xdr:nvSpPr>
      <xdr:spPr>
        <a:xfrm>
          <a:off x="24885739" y="8510118"/>
          <a:ext cx="830338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A8781BB-ECE2-354D-891B-4E7FD45CD555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30</xdr:col>
      <xdr:colOff>606469</xdr:colOff>
      <xdr:row>48</xdr:row>
      <xdr:rowOff>128118</xdr:rowOff>
    </xdr:from>
    <xdr:to>
      <xdr:col>31</xdr:col>
      <xdr:colOff>600723</xdr:colOff>
      <xdr:row>50</xdr:row>
      <xdr:rowOff>82573</xdr:rowOff>
    </xdr:to>
    <xdr:sp macro="" textlink="Location2ANALYSIS!L32">
      <xdr:nvSpPr>
        <xdr:cNvPr id="732" name="Rectangle 731">
          <a:extLst>
            <a:ext uri="{FF2B5EF4-FFF2-40B4-BE49-F238E27FC236}">
              <a16:creationId xmlns:a16="http://schemas.microsoft.com/office/drawing/2014/main" id="{99443B96-8975-DF4D-B0BE-8EE446EA710A}"/>
            </a:ext>
          </a:extLst>
        </xdr:cNvPr>
        <xdr:cNvSpPr>
          <a:spLocks noChangeAspect="1"/>
        </xdr:cNvSpPr>
      </xdr:nvSpPr>
      <xdr:spPr>
        <a:xfrm>
          <a:off x="25688969" y="8510118"/>
          <a:ext cx="830337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593C6F0F-9582-8844-B00A-9D95E0703CAB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40%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428728</xdr:colOff>
      <xdr:row>48</xdr:row>
      <xdr:rowOff>128118</xdr:rowOff>
    </xdr:from>
    <xdr:to>
      <xdr:col>32</xdr:col>
      <xdr:colOff>422983</xdr:colOff>
      <xdr:row>50</xdr:row>
      <xdr:rowOff>82573</xdr:rowOff>
    </xdr:to>
    <xdr:sp macro="" textlink="Location2ANALYSIS!L33">
      <xdr:nvSpPr>
        <xdr:cNvPr id="733" name="Rectangle 732">
          <a:extLst>
            <a:ext uri="{FF2B5EF4-FFF2-40B4-BE49-F238E27FC236}">
              <a16:creationId xmlns:a16="http://schemas.microsoft.com/office/drawing/2014/main" id="{053DFEFA-1D5B-6644-908D-EF11E79F636C}"/>
            </a:ext>
          </a:extLst>
        </xdr:cNvPr>
        <xdr:cNvSpPr>
          <a:spLocks noChangeAspect="1"/>
        </xdr:cNvSpPr>
      </xdr:nvSpPr>
      <xdr:spPr>
        <a:xfrm>
          <a:off x="26347311" y="8510118"/>
          <a:ext cx="830339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1F41F17B-7A61-C34B-B522-C158C9C7FD26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60%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412882</xdr:colOff>
      <xdr:row>48</xdr:row>
      <xdr:rowOff>128118</xdr:rowOff>
    </xdr:from>
    <xdr:to>
      <xdr:col>33</xdr:col>
      <xdr:colOff>407136</xdr:colOff>
      <xdr:row>50</xdr:row>
      <xdr:rowOff>82573</xdr:rowOff>
    </xdr:to>
    <xdr:sp macro="" textlink="Location2ANALYSIS!L34">
      <xdr:nvSpPr>
        <xdr:cNvPr id="734" name="Rectangle 733">
          <a:extLst>
            <a:ext uri="{FF2B5EF4-FFF2-40B4-BE49-F238E27FC236}">
              <a16:creationId xmlns:a16="http://schemas.microsoft.com/office/drawing/2014/main" id="{D38BE5C4-C7BB-CE4C-AC95-A1208FFBC70A}"/>
            </a:ext>
          </a:extLst>
        </xdr:cNvPr>
        <xdr:cNvSpPr>
          <a:spLocks noChangeAspect="1"/>
        </xdr:cNvSpPr>
      </xdr:nvSpPr>
      <xdr:spPr>
        <a:xfrm>
          <a:off x="27167549" y="8510118"/>
          <a:ext cx="830337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D06AC53-DD6C-4B48-B291-4447DC44B431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75%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31</xdr:col>
      <xdr:colOff>152106</xdr:colOff>
      <xdr:row>29</xdr:row>
      <xdr:rowOff>116416</xdr:rowOff>
    </xdr:from>
    <xdr:to>
      <xdr:col>32</xdr:col>
      <xdr:colOff>150430</xdr:colOff>
      <xdr:row>31</xdr:row>
      <xdr:rowOff>70871</xdr:rowOff>
    </xdr:to>
    <xdr:sp macro="" textlink="">
      <xdr:nvSpPr>
        <xdr:cNvPr id="735" name="Rectangle 734">
          <a:extLst>
            <a:ext uri="{FF2B5EF4-FFF2-40B4-BE49-F238E27FC236}">
              <a16:creationId xmlns:a16="http://schemas.microsoft.com/office/drawing/2014/main" id="{863C5B9C-1709-404F-AE6F-D54826B957D0}"/>
            </a:ext>
          </a:extLst>
        </xdr:cNvPr>
        <xdr:cNvSpPr>
          <a:spLocks noChangeAspect="1"/>
        </xdr:cNvSpPr>
      </xdr:nvSpPr>
      <xdr:spPr>
        <a:xfrm>
          <a:off x="26070689" y="5090583"/>
          <a:ext cx="834408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FFFA9363-44F0-1542-AC2B-29CDC86B3C41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28</xdr:col>
      <xdr:colOff>621369</xdr:colOff>
      <xdr:row>43</xdr:row>
      <xdr:rowOff>78484</xdr:rowOff>
    </xdr:from>
    <xdr:to>
      <xdr:col>29</xdr:col>
      <xdr:colOff>477438</xdr:colOff>
      <xdr:row>46</xdr:row>
      <xdr:rowOff>51728</xdr:rowOff>
    </xdr:to>
    <xdr:grpSp>
      <xdr:nvGrpSpPr>
        <xdr:cNvPr id="736" name="Group 735">
          <a:extLst>
            <a:ext uri="{FF2B5EF4-FFF2-40B4-BE49-F238E27FC236}">
              <a16:creationId xmlns:a16="http://schemas.microsoft.com/office/drawing/2014/main" id="{97A00944-19F5-0646-9ADE-75392C01A4E2}"/>
            </a:ext>
          </a:extLst>
        </xdr:cNvPr>
        <xdr:cNvGrpSpPr/>
      </xdr:nvGrpSpPr>
      <xdr:grpSpPr>
        <a:xfrm>
          <a:off x="24031702" y="7560901"/>
          <a:ext cx="692153" cy="512994"/>
          <a:chOff x="24098328" y="7960854"/>
          <a:chExt cx="696223" cy="485314"/>
        </a:xfrm>
      </xdr:grpSpPr>
      <xdr:sp macro="" textlink="Location2ANALYSIS!J4">
        <xdr:nvSpPr>
          <xdr:cNvPr id="737" name="TextBox 736">
            <a:extLst>
              <a:ext uri="{FF2B5EF4-FFF2-40B4-BE49-F238E27FC236}">
                <a16:creationId xmlns:a16="http://schemas.microsoft.com/office/drawing/2014/main" id="{767B2859-CBAD-A34A-BB49-00352E3BDBF9}"/>
              </a:ext>
            </a:extLst>
          </xdr:cNvPr>
          <xdr:cNvSpPr txBox="1"/>
        </xdr:nvSpPr>
        <xdr:spPr>
          <a:xfrm>
            <a:off x="24098328" y="7960854"/>
            <a:ext cx="28043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B07BF62-3ABE-EF4D-AAB1-87DD56ED2D1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38" name="TextBox 737">
            <a:extLst>
              <a:ext uri="{FF2B5EF4-FFF2-40B4-BE49-F238E27FC236}">
                <a16:creationId xmlns:a16="http://schemas.microsoft.com/office/drawing/2014/main" id="{276335C4-7985-7943-B23F-11B3E361A782}"/>
              </a:ext>
            </a:extLst>
          </xdr:cNvPr>
          <xdr:cNvSpPr txBox="1"/>
        </xdr:nvSpPr>
        <xdr:spPr>
          <a:xfrm>
            <a:off x="24502043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ACE1CA3-64BB-1B42-8CBF-1AD4FC8DB61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39" name="TextBox 738">
            <a:extLst>
              <a:ext uri="{FF2B5EF4-FFF2-40B4-BE49-F238E27FC236}">
                <a16:creationId xmlns:a16="http://schemas.microsoft.com/office/drawing/2014/main" id="{B8DB31E9-3211-CA49-B327-29023E991827}"/>
              </a:ext>
            </a:extLst>
          </xdr:cNvPr>
          <xdr:cNvSpPr txBox="1"/>
        </xdr:nvSpPr>
        <xdr:spPr>
          <a:xfrm>
            <a:off x="24270837" y="796085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4">
        <xdr:nvSpPr>
          <xdr:cNvPr id="740" name="TextBox 739">
            <a:extLst>
              <a:ext uri="{FF2B5EF4-FFF2-40B4-BE49-F238E27FC236}">
                <a16:creationId xmlns:a16="http://schemas.microsoft.com/office/drawing/2014/main" id="{6967EEBD-5511-F543-A2AD-7FC27E647CD1}"/>
              </a:ext>
            </a:extLst>
          </xdr:cNvPr>
          <xdr:cNvSpPr txBox="1"/>
        </xdr:nvSpPr>
        <xdr:spPr>
          <a:xfrm>
            <a:off x="24405551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5C2906B-BD65-844D-8E7A-A2BA8E76E4A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746199</xdr:colOff>
      <xdr:row>43</xdr:row>
      <xdr:rowOff>78484</xdr:rowOff>
    </xdr:from>
    <xdr:to>
      <xdr:col>30</xdr:col>
      <xdr:colOff>481671</xdr:colOff>
      <xdr:row>46</xdr:row>
      <xdr:rowOff>51728</xdr:rowOff>
    </xdr:to>
    <xdr:grpSp>
      <xdr:nvGrpSpPr>
        <xdr:cNvPr id="741" name="Group 740">
          <a:extLst>
            <a:ext uri="{FF2B5EF4-FFF2-40B4-BE49-F238E27FC236}">
              <a16:creationId xmlns:a16="http://schemas.microsoft.com/office/drawing/2014/main" id="{84C32637-256B-8E40-BCD7-9FFD0A9BFEE1}"/>
            </a:ext>
          </a:extLst>
        </xdr:cNvPr>
        <xdr:cNvGrpSpPr/>
      </xdr:nvGrpSpPr>
      <xdr:grpSpPr>
        <a:xfrm>
          <a:off x="24992616" y="7560901"/>
          <a:ext cx="571555" cy="512994"/>
          <a:chOff x="25053542" y="7960854"/>
          <a:chExt cx="575624" cy="485314"/>
        </a:xfrm>
      </xdr:grpSpPr>
      <xdr:sp macro="" textlink="Location2ANALYSIS!J7">
        <xdr:nvSpPr>
          <xdr:cNvPr id="742" name="TextBox 741">
            <a:extLst>
              <a:ext uri="{FF2B5EF4-FFF2-40B4-BE49-F238E27FC236}">
                <a16:creationId xmlns:a16="http://schemas.microsoft.com/office/drawing/2014/main" id="{936B51EE-9951-DB40-8831-03E4911F9253}"/>
              </a:ext>
            </a:extLst>
          </xdr:cNvPr>
          <xdr:cNvSpPr txBox="1"/>
        </xdr:nvSpPr>
        <xdr:spPr>
          <a:xfrm>
            <a:off x="25053542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BBC2FFA-5E31-C743-AD70-377B90C636E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43" name="TextBox 742">
            <a:extLst>
              <a:ext uri="{FF2B5EF4-FFF2-40B4-BE49-F238E27FC236}">
                <a16:creationId xmlns:a16="http://schemas.microsoft.com/office/drawing/2014/main" id="{B52A470D-C718-0D4B-BF34-F5A77600A3F7}"/>
              </a:ext>
            </a:extLst>
          </xdr:cNvPr>
          <xdr:cNvSpPr txBox="1"/>
        </xdr:nvSpPr>
        <xdr:spPr>
          <a:xfrm>
            <a:off x="25216363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C54B79E-3A77-7B4B-8ACA-BA1C9B5931B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44" name="TextBox 743">
            <a:extLst>
              <a:ext uri="{FF2B5EF4-FFF2-40B4-BE49-F238E27FC236}">
                <a16:creationId xmlns:a16="http://schemas.microsoft.com/office/drawing/2014/main" id="{87BA294E-9E7C-AA46-8F8A-5331BC61EB3E}"/>
              </a:ext>
            </a:extLst>
          </xdr:cNvPr>
          <xdr:cNvSpPr txBox="1"/>
        </xdr:nvSpPr>
        <xdr:spPr>
          <a:xfrm>
            <a:off x="25209463" y="796085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7">
        <xdr:nvSpPr>
          <xdr:cNvPr id="745" name="TextBox 744">
            <a:extLst>
              <a:ext uri="{FF2B5EF4-FFF2-40B4-BE49-F238E27FC236}">
                <a16:creationId xmlns:a16="http://schemas.microsoft.com/office/drawing/2014/main" id="{ADB9737E-0C8F-3D43-A59E-3BD7D313A7D7}"/>
              </a:ext>
            </a:extLst>
          </xdr:cNvPr>
          <xdr:cNvSpPr txBox="1"/>
        </xdr:nvSpPr>
        <xdr:spPr>
          <a:xfrm>
            <a:off x="25336658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DD8CDAF-4B20-2D49-A91C-5061CF73DA0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637478</xdr:colOff>
      <xdr:row>43</xdr:row>
      <xdr:rowOff>78484</xdr:rowOff>
    </xdr:from>
    <xdr:to>
      <xdr:col>31</xdr:col>
      <xdr:colOff>391852</xdr:colOff>
      <xdr:row>46</xdr:row>
      <xdr:rowOff>51728</xdr:rowOff>
    </xdr:to>
    <xdr:grpSp>
      <xdr:nvGrpSpPr>
        <xdr:cNvPr id="746" name="Group 745">
          <a:extLst>
            <a:ext uri="{FF2B5EF4-FFF2-40B4-BE49-F238E27FC236}">
              <a16:creationId xmlns:a16="http://schemas.microsoft.com/office/drawing/2014/main" id="{D0EEFFA0-A4AB-F740-811D-318BC3B667CD}"/>
            </a:ext>
          </a:extLst>
        </xdr:cNvPr>
        <xdr:cNvGrpSpPr/>
      </xdr:nvGrpSpPr>
      <xdr:grpSpPr>
        <a:xfrm>
          <a:off x="25719978" y="7560901"/>
          <a:ext cx="590457" cy="512994"/>
          <a:chOff x="26283204" y="7960854"/>
          <a:chExt cx="594529" cy="485314"/>
        </a:xfrm>
      </xdr:grpSpPr>
      <xdr:sp macro="" textlink="Location2ANALYSIS!J10">
        <xdr:nvSpPr>
          <xdr:cNvPr id="747" name="TextBox 746">
            <a:extLst>
              <a:ext uri="{FF2B5EF4-FFF2-40B4-BE49-F238E27FC236}">
                <a16:creationId xmlns:a16="http://schemas.microsoft.com/office/drawing/2014/main" id="{F87B3A4F-0F9D-DD49-B878-F6593EA47872}"/>
              </a:ext>
            </a:extLst>
          </xdr:cNvPr>
          <xdr:cNvSpPr txBox="1"/>
        </xdr:nvSpPr>
        <xdr:spPr>
          <a:xfrm>
            <a:off x="26283204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4845835-E6FE-3C40-AD1F-CDB0C49913E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48" name="TextBox 747">
            <a:extLst>
              <a:ext uri="{FF2B5EF4-FFF2-40B4-BE49-F238E27FC236}">
                <a16:creationId xmlns:a16="http://schemas.microsoft.com/office/drawing/2014/main" id="{D516C943-EA1C-1C4A-8936-238EFDB8EB3B}"/>
              </a:ext>
            </a:extLst>
          </xdr:cNvPr>
          <xdr:cNvSpPr txBox="1"/>
        </xdr:nvSpPr>
        <xdr:spPr>
          <a:xfrm>
            <a:off x="26458662" y="7960854"/>
            <a:ext cx="292508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0">
        <xdr:nvSpPr>
          <xdr:cNvPr id="749" name="TextBox 748">
            <a:extLst>
              <a:ext uri="{FF2B5EF4-FFF2-40B4-BE49-F238E27FC236}">
                <a16:creationId xmlns:a16="http://schemas.microsoft.com/office/drawing/2014/main" id="{CE20BF3F-CEB8-4449-BE28-B89F9F866785}"/>
              </a:ext>
            </a:extLst>
          </xdr:cNvPr>
          <xdr:cNvSpPr txBox="1"/>
        </xdr:nvSpPr>
        <xdr:spPr>
          <a:xfrm>
            <a:off x="26585225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3901E95-43DA-774B-8C6B-81B3F3608E4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664888</xdr:colOff>
      <xdr:row>43</xdr:row>
      <xdr:rowOff>78484</xdr:rowOff>
    </xdr:from>
    <xdr:to>
      <xdr:col>32</xdr:col>
      <xdr:colOff>639528</xdr:colOff>
      <xdr:row>46</xdr:row>
      <xdr:rowOff>51728</xdr:rowOff>
    </xdr:to>
    <xdr:grpSp>
      <xdr:nvGrpSpPr>
        <xdr:cNvPr id="750" name="Group 749">
          <a:extLst>
            <a:ext uri="{FF2B5EF4-FFF2-40B4-BE49-F238E27FC236}">
              <a16:creationId xmlns:a16="http://schemas.microsoft.com/office/drawing/2014/main" id="{0D3D6D15-825F-F24A-B916-ADCBA4DA4066}"/>
            </a:ext>
          </a:extLst>
        </xdr:cNvPr>
        <xdr:cNvGrpSpPr/>
      </xdr:nvGrpSpPr>
      <xdr:grpSpPr>
        <a:xfrm>
          <a:off x="26583471" y="7560901"/>
          <a:ext cx="810724" cy="512994"/>
          <a:chOff x="27492693" y="7960854"/>
          <a:chExt cx="814794" cy="485314"/>
        </a:xfrm>
      </xdr:grpSpPr>
      <xdr:sp macro="" textlink="Location2ANALYSIS!J13">
        <xdr:nvSpPr>
          <xdr:cNvPr id="751" name="TextBox 750">
            <a:extLst>
              <a:ext uri="{FF2B5EF4-FFF2-40B4-BE49-F238E27FC236}">
                <a16:creationId xmlns:a16="http://schemas.microsoft.com/office/drawing/2014/main" id="{90B114D1-C5D2-C94D-BA41-F77C321279B7}"/>
              </a:ext>
            </a:extLst>
          </xdr:cNvPr>
          <xdr:cNvSpPr txBox="1"/>
        </xdr:nvSpPr>
        <xdr:spPr>
          <a:xfrm>
            <a:off x="27492693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7F8216D-F18C-7441-B606-3D376C5611C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52" name="TextBox 751">
            <a:extLst>
              <a:ext uri="{FF2B5EF4-FFF2-40B4-BE49-F238E27FC236}">
                <a16:creationId xmlns:a16="http://schemas.microsoft.com/office/drawing/2014/main" id="{36D8BBCF-C152-D148-93C6-548AD4FE0384}"/>
              </a:ext>
            </a:extLst>
          </xdr:cNvPr>
          <xdr:cNvSpPr txBox="1"/>
        </xdr:nvSpPr>
        <xdr:spPr>
          <a:xfrm>
            <a:off x="27638844" y="7960854"/>
            <a:ext cx="344271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53" name="TextBox 752">
            <a:extLst>
              <a:ext uri="{FF2B5EF4-FFF2-40B4-BE49-F238E27FC236}">
                <a16:creationId xmlns:a16="http://schemas.microsoft.com/office/drawing/2014/main" id="{7D335154-B6A9-D14E-9D27-A8EF812DCFBF}"/>
              </a:ext>
            </a:extLst>
          </xdr:cNvPr>
          <xdr:cNvSpPr txBox="1"/>
        </xdr:nvSpPr>
        <xdr:spPr>
          <a:xfrm>
            <a:off x="28014979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8C6E0148-BEAB-744A-AE32-00A18F009C1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3">
        <xdr:nvSpPr>
          <xdr:cNvPr id="754" name="TextBox 753">
            <a:extLst>
              <a:ext uri="{FF2B5EF4-FFF2-40B4-BE49-F238E27FC236}">
                <a16:creationId xmlns:a16="http://schemas.microsoft.com/office/drawing/2014/main" id="{D16AE470-B056-304F-BBD4-A5C91EE63B04}"/>
              </a:ext>
            </a:extLst>
          </xdr:cNvPr>
          <xdr:cNvSpPr txBox="1"/>
        </xdr:nvSpPr>
        <xdr:spPr>
          <a:xfrm>
            <a:off x="27765407" y="7960854"/>
            <a:ext cx="344271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05126FA-4FBF-B24F-94C0-7FC006B53C3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3077</xdr:colOff>
      <xdr:row>38</xdr:row>
      <xdr:rowOff>1392</xdr:rowOff>
    </xdr:from>
    <xdr:to>
      <xdr:col>29</xdr:col>
      <xdr:colOff>695229</xdr:colOff>
      <xdr:row>40</xdr:row>
      <xdr:rowOff>168392</xdr:rowOff>
    </xdr:to>
    <xdr:grpSp>
      <xdr:nvGrpSpPr>
        <xdr:cNvPr id="755" name="Group 754">
          <a:extLst>
            <a:ext uri="{FF2B5EF4-FFF2-40B4-BE49-F238E27FC236}">
              <a16:creationId xmlns:a16="http://schemas.microsoft.com/office/drawing/2014/main" id="{6086CD9B-0844-764A-A42A-D4C4AE27ABA9}"/>
            </a:ext>
          </a:extLst>
        </xdr:cNvPr>
        <xdr:cNvGrpSpPr/>
      </xdr:nvGrpSpPr>
      <xdr:grpSpPr>
        <a:xfrm>
          <a:off x="24249494" y="6594809"/>
          <a:ext cx="692152" cy="516250"/>
          <a:chOff x="24091427" y="6901138"/>
          <a:chExt cx="696222" cy="485315"/>
        </a:xfrm>
      </xdr:grpSpPr>
      <xdr:sp macro="" textlink="Location2ANALYSIS!J5">
        <xdr:nvSpPr>
          <xdr:cNvPr id="756" name="TextBox 755">
            <a:extLst>
              <a:ext uri="{FF2B5EF4-FFF2-40B4-BE49-F238E27FC236}">
                <a16:creationId xmlns:a16="http://schemas.microsoft.com/office/drawing/2014/main" id="{D18AAC49-C8F0-C54D-A987-3000076D1EA7}"/>
              </a:ext>
            </a:extLst>
          </xdr:cNvPr>
          <xdr:cNvSpPr txBox="1"/>
        </xdr:nvSpPr>
        <xdr:spPr>
          <a:xfrm>
            <a:off x="24091427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F562B20-A9F3-494E-AE80-9AE3358C45D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57" name="TextBox 756">
            <a:extLst>
              <a:ext uri="{FF2B5EF4-FFF2-40B4-BE49-F238E27FC236}">
                <a16:creationId xmlns:a16="http://schemas.microsoft.com/office/drawing/2014/main" id="{33423CBB-597F-F943-B6F7-C13B2C7700F5}"/>
              </a:ext>
            </a:extLst>
          </xdr:cNvPr>
          <xdr:cNvSpPr txBox="1"/>
        </xdr:nvSpPr>
        <xdr:spPr>
          <a:xfrm>
            <a:off x="24495141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5242CDC-70B0-3540-9922-50CE455DA44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58" name="TextBox 757">
            <a:extLst>
              <a:ext uri="{FF2B5EF4-FFF2-40B4-BE49-F238E27FC236}">
                <a16:creationId xmlns:a16="http://schemas.microsoft.com/office/drawing/2014/main" id="{D9AD66FC-17AA-AB47-94D4-E3F1BC42CF6E}"/>
              </a:ext>
            </a:extLst>
          </xdr:cNvPr>
          <xdr:cNvSpPr txBox="1"/>
        </xdr:nvSpPr>
        <xdr:spPr>
          <a:xfrm>
            <a:off x="24263936" y="6901138"/>
            <a:ext cx="344271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5">
        <xdr:nvSpPr>
          <xdr:cNvPr id="759" name="TextBox 758">
            <a:extLst>
              <a:ext uri="{FF2B5EF4-FFF2-40B4-BE49-F238E27FC236}">
                <a16:creationId xmlns:a16="http://schemas.microsoft.com/office/drawing/2014/main" id="{AE28B40E-D81A-D34B-BDD7-A3D72B8BE2E5}"/>
              </a:ext>
            </a:extLst>
          </xdr:cNvPr>
          <xdr:cNvSpPr txBox="1"/>
        </xdr:nvSpPr>
        <xdr:spPr>
          <a:xfrm>
            <a:off x="24402658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54DCB78-E136-5B47-8AAE-BF7FC11F557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Verdana"/>
                <a:cs typeface="Verdana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59522</xdr:colOff>
      <xdr:row>38</xdr:row>
      <xdr:rowOff>1392</xdr:rowOff>
    </xdr:from>
    <xdr:to>
      <xdr:col>30</xdr:col>
      <xdr:colOff>608087</xdr:colOff>
      <xdr:row>40</xdr:row>
      <xdr:rowOff>168392</xdr:rowOff>
    </xdr:to>
    <xdr:grpSp>
      <xdr:nvGrpSpPr>
        <xdr:cNvPr id="760" name="Group 759">
          <a:extLst>
            <a:ext uri="{FF2B5EF4-FFF2-40B4-BE49-F238E27FC236}">
              <a16:creationId xmlns:a16="http://schemas.microsoft.com/office/drawing/2014/main" id="{50565355-E9A3-6341-9CF5-84B1B24EA8AA}"/>
            </a:ext>
          </a:extLst>
        </xdr:cNvPr>
        <xdr:cNvGrpSpPr/>
      </xdr:nvGrpSpPr>
      <xdr:grpSpPr>
        <a:xfrm>
          <a:off x="25142022" y="6594809"/>
          <a:ext cx="548565" cy="516250"/>
          <a:chOff x="25075948" y="6901138"/>
          <a:chExt cx="552635" cy="485315"/>
        </a:xfrm>
      </xdr:grpSpPr>
      <xdr:sp macro="" textlink="Location2ANALYSIS!J8">
        <xdr:nvSpPr>
          <xdr:cNvPr id="761" name="TextBox 760">
            <a:extLst>
              <a:ext uri="{FF2B5EF4-FFF2-40B4-BE49-F238E27FC236}">
                <a16:creationId xmlns:a16="http://schemas.microsoft.com/office/drawing/2014/main" id="{093DD62E-FECA-2D48-B8E9-FF3FD7C6F4AC}"/>
              </a:ext>
            </a:extLst>
          </xdr:cNvPr>
          <xdr:cNvSpPr txBox="1"/>
        </xdr:nvSpPr>
        <xdr:spPr>
          <a:xfrm>
            <a:off x="25075948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6AA57B2-D19B-D149-9414-1FB4BF02B18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62" name="TextBox 761">
            <a:extLst>
              <a:ext uri="{FF2B5EF4-FFF2-40B4-BE49-F238E27FC236}">
                <a16:creationId xmlns:a16="http://schemas.microsoft.com/office/drawing/2014/main" id="{95FAB101-6767-E14D-BEE5-198621F1C516}"/>
              </a:ext>
            </a:extLst>
          </xdr:cNvPr>
          <xdr:cNvSpPr txBox="1"/>
        </xdr:nvSpPr>
        <xdr:spPr>
          <a:xfrm>
            <a:off x="25209462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B7BF618-6AB7-F44C-A0D0-3E70A767825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63" name="TextBox 762">
            <a:extLst>
              <a:ext uri="{FF2B5EF4-FFF2-40B4-BE49-F238E27FC236}">
                <a16:creationId xmlns:a16="http://schemas.microsoft.com/office/drawing/2014/main" id="{DF531D7A-13F5-5B49-BC0E-94BD391752C9}"/>
              </a:ext>
            </a:extLst>
          </xdr:cNvPr>
          <xdr:cNvSpPr txBox="1"/>
        </xdr:nvSpPr>
        <xdr:spPr>
          <a:xfrm>
            <a:off x="25202561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8">
        <xdr:nvSpPr>
          <xdr:cNvPr id="764" name="TextBox 763">
            <a:extLst>
              <a:ext uri="{FF2B5EF4-FFF2-40B4-BE49-F238E27FC236}">
                <a16:creationId xmlns:a16="http://schemas.microsoft.com/office/drawing/2014/main" id="{BF6E22A1-0CCD-DC42-9ED9-7D866B805FE1}"/>
              </a:ext>
            </a:extLst>
          </xdr:cNvPr>
          <xdr:cNvSpPr txBox="1"/>
        </xdr:nvSpPr>
        <xdr:spPr>
          <a:xfrm>
            <a:off x="25336075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9D74D17-3383-6B4D-A73C-716F06D6743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669652</xdr:colOff>
      <xdr:row>38</xdr:row>
      <xdr:rowOff>1392</xdr:rowOff>
    </xdr:from>
    <xdr:to>
      <xdr:col>31</xdr:col>
      <xdr:colOff>420576</xdr:colOff>
      <xdr:row>40</xdr:row>
      <xdr:rowOff>168392</xdr:rowOff>
    </xdr:to>
    <xdr:grpSp>
      <xdr:nvGrpSpPr>
        <xdr:cNvPr id="765" name="Group 764">
          <a:extLst>
            <a:ext uri="{FF2B5EF4-FFF2-40B4-BE49-F238E27FC236}">
              <a16:creationId xmlns:a16="http://schemas.microsoft.com/office/drawing/2014/main" id="{C5113BB8-AD27-AD48-B8AE-7BC68AC1551D}"/>
            </a:ext>
          </a:extLst>
        </xdr:cNvPr>
        <xdr:cNvGrpSpPr/>
      </xdr:nvGrpSpPr>
      <xdr:grpSpPr>
        <a:xfrm>
          <a:off x="25752152" y="6594809"/>
          <a:ext cx="587007" cy="516250"/>
          <a:chOff x="26286072" y="6901138"/>
          <a:chExt cx="591078" cy="485315"/>
        </a:xfrm>
      </xdr:grpSpPr>
      <xdr:sp macro="" textlink="Location2ANALYSIS!J11">
        <xdr:nvSpPr>
          <xdr:cNvPr id="766" name="TextBox 765">
            <a:extLst>
              <a:ext uri="{FF2B5EF4-FFF2-40B4-BE49-F238E27FC236}">
                <a16:creationId xmlns:a16="http://schemas.microsoft.com/office/drawing/2014/main" id="{DF9FEE5B-DCFF-7445-8462-518E80C12A3E}"/>
              </a:ext>
            </a:extLst>
          </xdr:cNvPr>
          <xdr:cNvSpPr txBox="1"/>
        </xdr:nvSpPr>
        <xdr:spPr>
          <a:xfrm>
            <a:off x="2628607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95E5F6F-2C95-B245-86ED-6FFB3CB9D34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67" name="TextBox 766">
            <a:extLst>
              <a:ext uri="{FF2B5EF4-FFF2-40B4-BE49-F238E27FC236}">
                <a16:creationId xmlns:a16="http://schemas.microsoft.com/office/drawing/2014/main" id="{ADC80DC7-B875-6545-ADEC-407F4F13DFFB}"/>
              </a:ext>
            </a:extLst>
          </xdr:cNvPr>
          <xdr:cNvSpPr txBox="1"/>
        </xdr:nvSpPr>
        <xdr:spPr>
          <a:xfrm>
            <a:off x="26451761" y="6901138"/>
            <a:ext cx="292508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1">
        <xdr:nvSpPr>
          <xdr:cNvPr id="768" name="TextBox 767">
            <a:extLst>
              <a:ext uri="{FF2B5EF4-FFF2-40B4-BE49-F238E27FC236}">
                <a16:creationId xmlns:a16="http://schemas.microsoft.com/office/drawing/2014/main" id="{2FF1A093-ED4E-EE4D-B188-72268732F878}"/>
              </a:ext>
            </a:extLst>
          </xdr:cNvPr>
          <xdr:cNvSpPr txBox="1"/>
        </xdr:nvSpPr>
        <xdr:spPr>
          <a:xfrm>
            <a:off x="2658464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1B1044A-4D82-B04A-8E15-C4451B32D86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648219</xdr:colOff>
      <xdr:row>38</xdr:row>
      <xdr:rowOff>1392</xdr:rowOff>
    </xdr:from>
    <xdr:to>
      <xdr:col>32</xdr:col>
      <xdr:colOff>652165</xdr:colOff>
      <xdr:row>40</xdr:row>
      <xdr:rowOff>168392</xdr:rowOff>
    </xdr:to>
    <xdr:grpSp>
      <xdr:nvGrpSpPr>
        <xdr:cNvPr id="769" name="Group 768">
          <a:extLst>
            <a:ext uri="{FF2B5EF4-FFF2-40B4-BE49-F238E27FC236}">
              <a16:creationId xmlns:a16="http://schemas.microsoft.com/office/drawing/2014/main" id="{571CC00E-B5AF-1D4B-9792-55F4D8CB6560}"/>
            </a:ext>
          </a:extLst>
        </xdr:cNvPr>
        <xdr:cNvGrpSpPr/>
      </xdr:nvGrpSpPr>
      <xdr:grpSpPr>
        <a:xfrm>
          <a:off x="26566802" y="6594809"/>
          <a:ext cx="840030" cy="516250"/>
          <a:chOff x="27456485" y="6901138"/>
          <a:chExt cx="844100" cy="485315"/>
        </a:xfrm>
      </xdr:grpSpPr>
      <xdr:sp macro="" textlink="Location2ANALYSIS!J14">
        <xdr:nvSpPr>
          <xdr:cNvPr id="770" name="TextBox 769">
            <a:extLst>
              <a:ext uri="{FF2B5EF4-FFF2-40B4-BE49-F238E27FC236}">
                <a16:creationId xmlns:a16="http://schemas.microsoft.com/office/drawing/2014/main" id="{30AD58CD-78E3-BD48-9265-9D11EFE2C32B}"/>
              </a:ext>
            </a:extLst>
          </xdr:cNvPr>
          <xdr:cNvSpPr txBox="1"/>
        </xdr:nvSpPr>
        <xdr:spPr>
          <a:xfrm>
            <a:off x="27456485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ADBBF15-6C50-664E-88DE-84AFB8FF7CA3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71" name="TextBox 770">
            <a:extLst>
              <a:ext uri="{FF2B5EF4-FFF2-40B4-BE49-F238E27FC236}">
                <a16:creationId xmlns:a16="http://schemas.microsoft.com/office/drawing/2014/main" id="{C5C042CD-D2FF-0D46-96A8-D99EC2C601D3}"/>
              </a:ext>
            </a:extLst>
          </xdr:cNvPr>
          <xdr:cNvSpPr txBox="1"/>
        </xdr:nvSpPr>
        <xdr:spPr>
          <a:xfrm>
            <a:off x="27631943" y="6901138"/>
            <a:ext cx="344271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72" name="TextBox 771">
            <a:extLst>
              <a:ext uri="{FF2B5EF4-FFF2-40B4-BE49-F238E27FC236}">
                <a16:creationId xmlns:a16="http://schemas.microsoft.com/office/drawing/2014/main" id="{42996112-267C-964C-A2E2-323C9B4A21A0}"/>
              </a:ext>
            </a:extLst>
          </xdr:cNvPr>
          <xdr:cNvSpPr txBox="1"/>
        </xdr:nvSpPr>
        <xdr:spPr>
          <a:xfrm>
            <a:off x="28008077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CADD17-E7E9-5047-9B0D-E8C73F16E93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4">
        <xdr:nvSpPr>
          <xdr:cNvPr id="773" name="TextBox 772">
            <a:extLst>
              <a:ext uri="{FF2B5EF4-FFF2-40B4-BE49-F238E27FC236}">
                <a16:creationId xmlns:a16="http://schemas.microsoft.com/office/drawing/2014/main" id="{04E4C55C-4CDB-C34C-8F7E-C63396B528D8}"/>
              </a:ext>
            </a:extLst>
          </xdr:cNvPr>
          <xdr:cNvSpPr txBox="1"/>
        </xdr:nvSpPr>
        <xdr:spPr>
          <a:xfrm>
            <a:off x="27764823" y="6901138"/>
            <a:ext cx="344271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28F6A0B-3E22-0742-A7B4-56596266234C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461096</xdr:colOff>
      <xdr:row>38</xdr:row>
      <xdr:rowOff>1392</xdr:rowOff>
    </xdr:from>
    <xdr:to>
      <xdr:col>33</xdr:col>
      <xdr:colOff>217221</xdr:colOff>
      <xdr:row>40</xdr:row>
      <xdr:rowOff>168392</xdr:rowOff>
    </xdr:to>
    <xdr:grpSp>
      <xdr:nvGrpSpPr>
        <xdr:cNvPr id="774" name="Group 773">
          <a:extLst>
            <a:ext uri="{FF2B5EF4-FFF2-40B4-BE49-F238E27FC236}">
              <a16:creationId xmlns:a16="http://schemas.microsoft.com/office/drawing/2014/main" id="{F889B708-C394-CE40-B683-0CF419F580C4}"/>
            </a:ext>
          </a:extLst>
        </xdr:cNvPr>
        <xdr:cNvGrpSpPr/>
      </xdr:nvGrpSpPr>
      <xdr:grpSpPr>
        <a:xfrm>
          <a:off x="27215763" y="6594809"/>
          <a:ext cx="592208" cy="516250"/>
          <a:chOff x="28422131" y="6901138"/>
          <a:chExt cx="596279" cy="485315"/>
        </a:xfrm>
      </xdr:grpSpPr>
      <xdr:sp macro="" textlink="Location2ANALYSIS!J17">
        <xdr:nvSpPr>
          <xdr:cNvPr id="775" name="TextBox 774">
            <a:extLst>
              <a:ext uri="{FF2B5EF4-FFF2-40B4-BE49-F238E27FC236}">
                <a16:creationId xmlns:a16="http://schemas.microsoft.com/office/drawing/2014/main" id="{6BBE454A-710C-4F4A-B214-91A715AB8F60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4322A8C-E247-3045-85E6-544EE6398BDB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76" name="TextBox 775">
            <a:extLst>
              <a:ext uri="{FF2B5EF4-FFF2-40B4-BE49-F238E27FC236}">
                <a16:creationId xmlns:a16="http://schemas.microsoft.com/office/drawing/2014/main" id="{1315BDD8-0CF0-A442-9933-436FB03B492C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7">
        <xdr:nvSpPr>
          <xdr:cNvPr id="777" name="TextBox 776">
            <a:extLst>
              <a:ext uri="{FF2B5EF4-FFF2-40B4-BE49-F238E27FC236}">
                <a16:creationId xmlns:a16="http://schemas.microsoft.com/office/drawing/2014/main" id="{8448273D-5717-2243-B64F-60F42DD3BCAB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0472436B-4387-964D-8FD3-4E16BC7B7F2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29</xdr:col>
      <xdr:colOff>155897</xdr:colOff>
      <xdr:row>33</xdr:row>
      <xdr:rowOff>122509</xdr:rowOff>
    </xdr:from>
    <xdr:to>
      <xdr:col>30</xdr:col>
      <xdr:colOff>16037</xdr:colOff>
      <xdr:row>36</xdr:row>
      <xdr:rowOff>109593</xdr:rowOff>
    </xdr:to>
    <xdr:grpSp>
      <xdr:nvGrpSpPr>
        <xdr:cNvPr id="778" name="Group 777">
          <a:extLst>
            <a:ext uri="{FF2B5EF4-FFF2-40B4-BE49-F238E27FC236}">
              <a16:creationId xmlns:a16="http://schemas.microsoft.com/office/drawing/2014/main" id="{60690785-BA60-D445-8F4B-719B3A130B52}"/>
            </a:ext>
          </a:extLst>
        </xdr:cNvPr>
        <xdr:cNvGrpSpPr/>
      </xdr:nvGrpSpPr>
      <xdr:grpSpPr>
        <a:xfrm>
          <a:off x="24402314" y="5816342"/>
          <a:ext cx="696223" cy="526834"/>
          <a:chOff x="24101779" y="5797031"/>
          <a:chExt cx="696223" cy="485315"/>
        </a:xfrm>
      </xdr:grpSpPr>
      <xdr:sp macro="" textlink="Location2ANALYSIS!J6">
        <xdr:nvSpPr>
          <xdr:cNvPr id="779" name="TextBox 778">
            <a:extLst>
              <a:ext uri="{FF2B5EF4-FFF2-40B4-BE49-F238E27FC236}">
                <a16:creationId xmlns:a16="http://schemas.microsoft.com/office/drawing/2014/main" id="{63873D79-A3EA-2B4D-A5E4-A87B5D4C590E}"/>
              </a:ext>
            </a:extLst>
          </xdr:cNvPr>
          <xdr:cNvSpPr txBox="1"/>
        </xdr:nvSpPr>
        <xdr:spPr>
          <a:xfrm>
            <a:off x="24101779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EE7537DC-ADAC-AB48-88B5-3D36A0CDE09F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80" name="TextBox 779">
            <a:extLst>
              <a:ext uri="{FF2B5EF4-FFF2-40B4-BE49-F238E27FC236}">
                <a16:creationId xmlns:a16="http://schemas.microsoft.com/office/drawing/2014/main" id="{6CEE25F4-E501-7F45-94F4-6E83B1B87E35}"/>
              </a:ext>
            </a:extLst>
          </xdr:cNvPr>
          <xdr:cNvSpPr txBox="1"/>
        </xdr:nvSpPr>
        <xdr:spPr>
          <a:xfrm>
            <a:off x="24505494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5D00955-6D13-A443-86D4-76FDB3129AA4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81" name="TextBox 780">
            <a:extLst>
              <a:ext uri="{FF2B5EF4-FFF2-40B4-BE49-F238E27FC236}">
                <a16:creationId xmlns:a16="http://schemas.microsoft.com/office/drawing/2014/main" id="{D3083B21-3914-AC4F-9423-F1CC2037257C}"/>
              </a:ext>
            </a:extLst>
          </xdr:cNvPr>
          <xdr:cNvSpPr txBox="1"/>
        </xdr:nvSpPr>
        <xdr:spPr>
          <a:xfrm>
            <a:off x="24274288" y="5797031"/>
            <a:ext cx="344271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en-US" sz="2400" b="1" i="0">
                <a:solidFill>
                  <a:schemeClr val="tx1"/>
                </a:solidFill>
                <a:latin typeface="+mn-lt"/>
              </a:rPr>
              <a:t>/</a:t>
            </a:r>
          </a:p>
        </xdr:txBody>
      </xdr:sp>
      <xdr:sp macro="" textlink="Location2ANALYSIS!K6">
        <xdr:nvSpPr>
          <xdr:cNvPr id="782" name="TextBox 781">
            <a:extLst>
              <a:ext uri="{FF2B5EF4-FFF2-40B4-BE49-F238E27FC236}">
                <a16:creationId xmlns:a16="http://schemas.microsoft.com/office/drawing/2014/main" id="{DF3F49B9-ABFA-D240-B587-915D5E1B3BA9}"/>
              </a:ext>
            </a:extLst>
          </xdr:cNvPr>
          <xdr:cNvSpPr txBox="1"/>
        </xdr:nvSpPr>
        <xdr:spPr>
          <a:xfrm>
            <a:off x="24411868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B12B37FF-46CF-5246-84DB-CD883C6C694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79645</xdr:colOff>
      <xdr:row>33</xdr:row>
      <xdr:rowOff>122509</xdr:rowOff>
    </xdr:from>
    <xdr:to>
      <xdr:col>30</xdr:col>
      <xdr:colOff>663834</xdr:colOff>
      <xdr:row>36</xdr:row>
      <xdr:rowOff>109593</xdr:rowOff>
    </xdr:to>
    <xdr:grpSp>
      <xdr:nvGrpSpPr>
        <xdr:cNvPr id="783" name="Group 782">
          <a:extLst>
            <a:ext uri="{FF2B5EF4-FFF2-40B4-BE49-F238E27FC236}">
              <a16:creationId xmlns:a16="http://schemas.microsoft.com/office/drawing/2014/main" id="{6F588132-C1F5-E444-A21B-CFAD585EFC34}"/>
            </a:ext>
          </a:extLst>
        </xdr:cNvPr>
        <xdr:cNvGrpSpPr/>
      </xdr:nvGrpSpPr>
      <xdr:grpSpPr>
        <a:xfrm>
          <a:off x="25162145" y="5816342"/>
          <a:ext cx="584189" cy="526834"/>
          <a:chOff x="25056994" y="5797031"/>
          <a:chExt cx="588259" cy="485315"/>
        </a:xfrm>
      </xdr:grpSpPr>
      <xdr:sp macro="" textlink="Location2ANALYSIS!J9">
        <xdr:nvSpPr>
          <xdr:cNvPr id="784" name="TextBox 783">
            <a:extLst>
              <a:ext uri="{FF2B5EF4-FFF2-40B4-BE49-F238E27FC236}">
                <a16:creationId xmlns:a16="http://schemas.microsoft.com/office/drawing/2014/main" id="{AA49ADB9-A36C-0F47-899B-10A2FF2EBBB6}"/>
              </a:ext>
            </a:extLst>
          </xdr:cNvPr>
          <xdr:cNvSpPr txBox="1"/>
        </xdr:nvSpPr>
        <xdr:spPr>
          <a:xfrm>
            <a:off x="25056994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363CE95-69A2-7E43-B2D3-8F6F124148A0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85" name="TextBox 784">
            <a:extLst>
              <a:ext uri="{FF2B5EF4-FFF2-40B4-BE49-F238E27FC236}">
                <a16:creationId xmlns:a16="http://schemas.microsoft.com/office/drawing/2014/main" id="{B5D3F717-DDBE-374C-8ADF-61F9B4A56301}"/>
              </a:ext>
            </a:extLst>
          </xdr:cNvPr>
          <xdr:cNvSpPr txBox="1"/>
        </xdr:nvSpPr>
        <xdr:spPr>
          <a:xfrm>
            <a:off x="25219814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8D67744-FE36-B74E-91F5-5F494FD82E0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86" name="TextBox 785">
            <a:extLst>
              <a:ext uri="{FF2B5EF4-FFF2-40B4-BE49-F238E27FC236}">
                <a16:creationId xmlns:a16="http://schemas.microsoft.com/office/drawing/2014/main" id="{59747669-C993-7E46-BBF1-B2A0C9012273}"/>
              </a:ext>
            </a:extLst>
          </xdr:cNvPr>
          <xdr:cNvSpPr txBox="1"/>
        </xdr:nvSpPr>
        <xdr:spPr>
          <a:xfrm>
            <a:off x="25212914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9">
        <xdr:nvSpPr>
          <xdr:cNvPr id="787" name="TextBox 786">
            <a:extLst>
              <a:ext uri="{FF2B5EF4-FFF2-40B4-BE49-F238E27FC236}">
                <a16:creationId xmlns:a16="http://schemas.microsoft.com/office/drawing/2014/main" id="{4DEAE108-51B9-B340-A70B-B09CA6E5DAB7}"/>
              </a:ext>
            </a:extLst>
          </xdr:cNvPr>
          <xdr:cNvSpPr txBox="1"/>
        </xdr:nvSpPr>
        <xdr:spPr>
          <a:xfrm>
            <a:off x="25352745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226B9FD1-4265-8146-8BE9-0187B7FB33D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30</xdr:col>
      <xdr:colOff>680005</xdr:colOff>
      <xdr:row>33</xdr:row>
      <xdr:rowOff>122509</xdr:rowOff>
    </xdr:from>
    <xdr:to>
      <xdr:col>31</xdr:col>
      <xdr:colOff>437247</xdr:colOff>
      <xdr:row>36</xdr:row>
      <xdr:rowOff>109593</xdr:rowOff>
    </xdr:to>
    <xdr:grpSp>
      <xdr:nvGrpSpPr>
        <xdr:cNvPr id="788" name="Group 787">
          <a:extLst>
            <a:ext uri="{FF2B5EF4-FFF2-40B4-BE49-F238E27FC236}">
              <a16:creationId xmlns:a16="http://schemas.microsoft.com/office/drawing/2014/main" id="{AD964226-9573-1F4C-AAE8-C45E9DF78710}"/>
            </a:ext>
          </a:extLst>
        </xdr:cNvPr>
        <xdr:cNvGrpSpPr/>
      </xdr:nvGrpSpPr>
      <xdr:grpSpPr>
        <a:xfrm>
          <a:off x="25762505" y="5816342"/>
          <a:ext cx="593325" cy="526834"/>
          <a:chOff x="26286655" y="5797031"/>
          <a:chExt cx="597396" cy="485315"/>
        </a:xfrm>
      </xdr:grpSpPr>
      <xdr:sp macro="" textlink="Location2ANALYSIS!J12">
        <xdr:nvSpPr>
          <xdr:cNvPr id="789" name="TextBox 788">
            <a:extLst>
              <a:ext uri="{FF2B5EF4-FFF2-40B4-BE49-F238E27FC236}">
                <a16:creationId xmlns:a16="http://schemas.microsoft.com/office/drawing/2014/main" id="{68B65474-94B6-1943-A548-40A090342539}"/>
              </a:ext>
            </a:extLst>
          </xdr:cNvPr>
          <xdr:cNvSpPr txBox="1"/>
        </xdr:nvSpPr>
        <xdr:spPr>
          <a:xfrm>
            <a:off x="26286655" y="5797031"/>
            <a:ext cx="28043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AE34BC49-2A1A-194D-BD6D-22AE34A5CE81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90" name="TextBox 789">
            <a:extLst>
              <a:ext uri="{FF2B5EF4-FFF2-40B4-BE49-F238E27FC236}">
                <a16:creationId xmlns:a16="http://schemas.microsoft.com/office/drawing/2014/main" id="{EE1B132D-BAF5-E846-8394-7F738270CBA2}"/>
              </a:ext>
            </a:extLst>
          </xdr:cNvPr>
          <xdr:cNvSpPr txBox="1"/>
        </xdr:nvSpPr>
        <xdr:spPr>
          <a:xfrm>
            <a:off x="26462114" y="5797031"/>
            <a:ext cx="292508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2">
        <xdr:nvSpPr>
          <xdr:cNvPr id="791" name="TextBox 790">
            <a:extLst>
              <a:ext uri="{FF2B5EF4-FFF2-40B4-BE49-F238E27FC236}">
                <a16:creationId xmlns:a16="http://schemas.microsoft.com/office/drawing/2014/main" id="{DDBF8C9C-10A5-FE4B-AB9A-D3CF2D5B9833}"/>
              </a:ext>
            </a:extLst>
          </xdr:cNvPr>
          <xdr:cNvSpPr txBox="1"/>
        </xdr:nvSpPr>
        <xdr:spPr>
          <a:xfrm>
            <a:off x="26591543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E8BA01D-6F5A-1F46-8009-AC60A7ABB91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31</xdr:col>
      <xdr:colOff>629263</xdr:colOff>
      <xdr:row>33</xdr:row>
      <xdr:rowOff>122509</xdr:rowOff>
    </xdr:from>
    <xdr:to>
      <xdr:col>32</xdr:col>
      <xdr:colOff>613672</xdr:colOff>
      <xdr:row>36</xdr:row>
      <xdr:rowOff>109593</xdr:rowOff>
    </xdr:to>
    <xdr:grpSp>
      <xdr:nvGrpSpPr>
        <xdr:cNvPr id="792" name="Group 791">
          <a:extLst>
            <a:ext uri="{FF2B5EF4-FFF2-40B4-BE49-F238E27FC236}">
              <a16:creationId xmlns:a16="http://schemas.microsoft.com/office/drawing/2014/main" id="{BAFEB046-6A2A-D84A-A334-BAE5D5B61D26}"/>
            </a:ext>
          </a:extLst>
        </xdr:cNvPr>
        <xdr:cNvGrpSpPr/>
      </xdr:nvGrpSpPr>
      <xdr:grpSpPr>
        <a:xfrm>
          <a:off x="26547846" y="5816342"/>
          <a:ext cx="820493" cy="526834"/>
          <a:chOff x="27486375" y="5797031"/>
          <a:chExt cx="824563" cy="485315"/>
        </a:xfrm>
      </xdr:grpSpPr>
      <xdr:sp macro="" textlink="Location2ANALYSIS!J15">
        <xdr:nvSpPr>
          <xdr:cNvPr id="793" name="TextBox 792">
            <a:extLst>
              <a:ext uri="{FF2B5EF4-FFF2-40B4-BE49-F238E27FC236}">
                <a16:creationId xmlns:a16="http://schemas.microsoft.com/office/drawing/2014/main" id="{D77B4FFD-5A4F-274B-8DAA-C77B10366E39}"/>
              </a:ext>
            </a:extLst>
          </xdr:cNvPr>
          <xdr:cNvSpPr txBox="1"/>
        </xdr:nvSpPr>
        <xdr:spPr>
          <a:xfrm>
            <a:off x="27486375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3D11618D-C8D2-F04F-942D-082612F7F4C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4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94" name="TextBox 793">
            <a:extLst>
              <a:ext uri="{FF2B5EF4-FFF2-40B4-BE49-F238E27FC236}">
                <a16:creationId xmlns:a16="http://schemas.microsoft.com/office/drawing/2014/main" id="{BA611257-E452-9047-9478-BDEE75E684C3}"/>
              </a:ext>
            </a:extLst>
          </xdr:cNvPr>
          <xdr:cNvSpPr txBox="1"/>
        </xdr:nvSpPr>
        <xdr:spPr>
          <a:xfrm>
            <a:off x="27642295" y="5797031"/>
            <a:ext cx="344271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">
        <xdr:nvSpPr>
          <xdr:cNvPr id="795" name="TextBox 794">
            <a:extLst>
              <a:ext uri="{FF2B5EF4-FFF2-40B4-BE49-F238E27FC236}">
                <a16:creationId xmlns:a16="http://schemas.microsoft.com/office/drawing/2014/main" id="{0279F307-4F98-4E46-B23D-CEEB60CEB61A}"/>
              </a:ext>
            </a:extLst>
          </xdr:cNvPr>
          <xdr:cNvSpPr txBox="1"/>
        </xdr:nvSpPr>
        <xdr:spPr>
          <a:xfrm>
            <a:off x="28018430" y="5797031"/>
            <a:ext cx="292508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D31BB294-1C96-7945-9495-D51AA880E649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 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5">
        <xdr:nvSpPr>
          <xdr:cNvPr id="796" name="TextBox 795">
            <a:extLst>
              <a:ext uri="{FF2B5EF4-FFF2-40B4-BE49-F238E27FC236}">
                <a16:creationId xmlns:a16="http://schemas.microsoft.com/office/drawing/2014/main" id="{B6EE5B10-75EC-0449-B625-39835290E875}"/>
              </a:ext>
            </a:extLst>
          </xdr:cNvPr>
          <xdr:cNvSpPr txBox="1"/>
        </xdr:nvSpPr>
        <xdr:spPr>
          <a:xfrm>
            <a:off x="27771725" y="5797031"/>
            <a:ext cx="344271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F4C6DEE-5FAB-BA43-BE91-BFC24A588B5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5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383526</xdr:colOff>
      <xdr:row>33</xdr:row>
      <xdr:rowOff>122509</xdr:rowOff>
    </xdr:from>
    <xdr:to>
      <xdr:col>33</xdr:col>
      <xdr:colOff>126430</xdr:colOff>
      <xdr:row>36</xdr:row>
      <xdr:rowOff>109593</xdr:rowOff>
    </xdr:to>
    <xdr:grpSp>
      <xdr:nvGrpSpPr>
        <xdr:cNvPr id="797" name="Group 796">
          <a:extLst>
            <a:ext uri="{FF2B5EF4-FFF2-40B4-BE49-F238E27FC236}">
              <a16:creationId xmlns:a16="http://schemas.microsoft.com/office/drawing/2014/main" id="{46023B94-EA28-1B4E-95CC-B0B1A6949FEE}"/>
            </a:ext>
          </a:extLst>
        </xdr:cNvPr>
        <xdr:cNvGrpSpPr/>
      </xdr:nvGrpSpPr>
      <xdr:grpSpPr>
        <a:xfrm>
          <a:off x="27138193" y="5816342"/>
          <a:ext cx="578987" cy="526834"/>
          <a:chOff x="28442253" y="5797031"/>
          <a:chExt cx="583058" cy="485315"/>
        </a:xfrm>
      </xdr:grpSpPr>
      <xdr:sp macro="" textlink="Location2ANALYSIS!J18">
        <xdr:nvSpPr>
          <xdr:cNvPr id="798" name="TextBox 797">
            <a:extLst>
              <a:ext uri="{FF2B5EF4-FFF2-40B4-BE49-F238E27FC236}">
                <a16:creationId xmlns:a16="http://schemas.microsoft.com/office/drawing/2014/main" id="{0668EDF5-0CBF-5B4E-A5D0-F9CA6D6EA5B1}"/>
              </a:ext>
            </a:extLst>
          </xdr:cNvPr>
          <xdr:cNvSpPr txBox="1"/>
        </xdr:nvSpPr>
        <xdr:spPr>
          <a:xfrm>
            <a:off x="28442253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464C59D4-2122-5440-83DC-EA1C1C5CA496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799" name="TextBox 798">
            <a:extLst>
              <a:ext uri="{FF2B5EF4-FFF2-40B4-BE49-F238E27FC236}">
                <a16:creationId xmlns:a16="http://schemas.microsoft.com/office/drawing/2014/main" id="{EB2FDF46-83CD-6542-8C85-BBF37E499FFF}"/>
              </a:ext>
            </a:extLst>
          </xdr:cNvPr>
          <xdr:cNvSpPr txBox="1"/>
        </xdr:nvSpPr>
        <xdr:spPr>
          <a:xfrm>
            <a:off x="28598173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8">
        <xdr:nvSpPr>
          <xdr:cNvPr id="800" name="TextBox 799">
            <a:extLst>
              <a:ext uri="{FF2B5EF4-FFF2-40B4-BE49-F238E27FC236}">
                <a16:creationId xmlns:a16="http://schemas.microsoft.com/office/drawing/2014/main" id="{914AAA07-4947-004F-9252-57CEB0B88FA9}"/>
              </a:ext>
            </a:extLst>
          </xdr:cNvPr>
          <xdr:cNvSpPr txBox="1"/>
        </xdr:nvSpPr>
        <xdr:spPr>
          <a:xfrm>
            <a:off x="28732803" y="5797031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F202233-E6BC-BD44-8A1B-EF34AC05B68E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32</xdr:col>
      <xdr:colOff>575460</xdr:colOff>
      <xdr:row>43</xdr:row>
      <xdr:rowOff>78484</xdr:rowOff>
    </xdr:from>
    <xdr:to>
      <xdr:col>33</xdr:col>
      <xdr:colOff>320065</xdr:colOff>
      <xdr:row>46</xdr:row>
      <xdr:rowOff>51728</xdr:rowOff>
    </xdr:to>
    <xdr:grpSp>
      <xdr:nvGrpSpPr>
        <xdr:cNvPr id="801" name="Group 800">
          <a:extLst>
            <a:ext uri="{FF2B5EF4-FFF2-40B4-BE49-F238E27FC236}">
              <a16:creationId xmlns:a16="http://schemas.microsoft.com/office/drawing/2014/main" id="{F49AAB3F-148F-FF40-9844-319EE060B639}"/>
            </a:ext>
          </a:extLst>
        </xdr:cNvPr>
        <xdr:cNvGrpSpPr/>
      </xdr:nvGrpSpPr>
      <xdr:grpSpPr>
        <a:xfrm>
          <a:off x="27330127" y="7560901"/>
          <a:ext cx="580688" cy="512994"/>
          <a:chOff x="28429033" y="7960854"/>
          <a:chExt cx="584759" cy="485314"/>
        </a:xfrm>
      </xdr:grpSpPr>
      <xdr:sp macro="" textlink="Location2ANALYSIS!J16">
        <xdr:nvSpPr>
          <xdr:cNvPr id="802" name="TextBox 801">
            <a:extLst>
              <a:ext uri="{FF2B5EF4-FFF2-40B4-BE49-F238E27FC236}">
                <a16:creationId xmlns:a16="http://schemas.microsoft.com/office/drawing/2014/main" id="{F1B702B7-D444-D246-BFEF-0749FE229294}"/>
              </a:ext>
            </a:extLst>
          </xdr:cNvPr>
          <xdr:cNvSpPr txBox="1"/>
        </xdr:nvSpPr>
        <xdr:spPr>
          <a:xfrm>
            <a:off x="28429033" y="7960854"/>
            <a:ext cx="344270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0944A7C-2624-C148-8A66-B52122EBA85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803" name="TextBox 802">
            <a:extLst>
              <a:ext uri="{FF2B5EF4-FFF2-40B4-BE49-F238E27FC236}">
                <a16:creationId xmlns:a16="http://schemas.microsoft.com/office/drawing/2014/main" id="{8F021377-35E4-A743-9BE1-8110B23FB71C}"/>
              </a:ext>
            </a:extLst>
          </xdr:cNvPr>
          <xdr:cNvSpPr txBox="1"/>
        </xdr:nvSpPr>
        <xdr:spPr>
          <a:xfrm>
            <a:off x="28594722" y="7960854"/>
            <a:ext cx="344270" cy="4812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6">
        <xdr:nvSpPr>
          <xdr:cNvPr id="804" name="TextBox 803">
            <a:extLst>
              <a:ext uri="{FF2B5EF4-FFF2-40B4-BE49-F238E27FC236}">
                <a16:creationId xmlns:a16="http://schemas.microsoft.com/office/drawing/2014/main" id="{F2BDB3DC-1904-0243-BFEC-824E0CD36007}"/>
              </a:ext>
            </a:extLst>
          </xdr:cNvPr>
          <xdr:cNvSpPr txBox="1"/>
        </xdr:nvSpPr>
        <xdr:spPr>
          <a:xfrm>
            <a:off x="28721284" y="7960854"/>
            <a:ext cx="292508" cy="4853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43814E9-7023-814D-85DC-850693E8DCF8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3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281919</xdr:colOff>
      <xdr:row>33</xdr:row>
      <xdr:rowOff>128373</xdr:rowOff>
    </xdr:from>
    <xdr:to>
      <xdr:col>33</xdr:col>
      <xdr:colOff>782109</xdr:colOff>
      <xdr:row>36</xdr:row>
      <xdr:rowOff>105923</xdr:rowOff>
    </xdr:to>
    <xdr:grpSp>
      <xdr:nvGrpSpPr>
        <xdr:cNvPr id="805" name="Group 804">
          <a:extLst>
            <a:ext uri="{FF2B5EF4-FFF2-40B4-BE49-F238E27FC236}">
              <a16:creationId xmlns:a16="http://schemas.microsoft.com/office/drawing/2014/main" id="{CCF15755-A34F-C04C-A914-2A367F963B0D}"/>
            </a:ext>
          </a:extLst>
        </xdr:cNvPr>
        <xdr:cNvGrpSpPr/>
      </xdr:nvGrpSpPr>
      <xdr:grpSpPr>
        <a:xfrm>
          <a:off x="27872669" y="5822206"/>
          <a:ext cx="500190" cy="517300"/>
          <a:chOff x="28442253" y="5797031"/>
          <a:chExt cx="500190" cy="476425"/>
        </a:xfrm>
      </xdr:grpSpPr>
      <xdr:sp macro="" textlink="Location2ANALYSIS!J21">
        <xdr:nvSpPr>
          <xdr:cNvPr id="806" name="TextBox 805">
            <a:extLst>
              <a:ext uri="{FF2B5EF4-FFF2-40B4-BE49-F238E27FC236}">
                <a16:creationId xmlns:a16="http://schemas.microsoft.com/office/drawing/2014/main" id="{3B30BA05-E648-C14B-B816-D534649C924E}"/>
              </a:ext>
            </a:extLst>
          </xdr:cNvPr>
          <xdr:cNvSpPr txBox="1"/>
        </xdr:nvSpPr>
        <xdr:spPr>
          <a:xfrm>
            <a:off x="28442253" y="5797031"/>
            <a:ext cx="344270" cy="476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1F7C442B-B268-2642-82BE-571F281B5767}" type="TxLink">
              <a:rPr lang="en-US" sz="2400" b="1" i="0" u="none" strike="noStrike">
                <a:solidFill>
                  <a:srgbClr val="000000"/>
                </a:solidFill>
                <a:latin typeface="Calibri"/>
                <a:ea typeface="Arial" charset="0"/>
                <a:cs typeface="Calibri"/>
              </a:rPr>
              <a:pPr/>
              <a:t>0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807" name="TextBox 806">
            <a:extLst>
              <a:ext uri="{FF2B5EF4-FFF2-40B4-BE49-F238E27FC236}">
                <a16:creationId xmlns:a16="http://schemas.microsoft.com/office/drawing/2014/main" id="{73C019B0-3510-6349-BC64-8B6EBD1BD484}"/>
              </a:ext>
            </a:extLst>
          </xdr:cNvPr>
          <xdr:cNvSpPr txBox="1"/>
        </xdr:nvSpPr>
        <xdr:spPr>
          <a:xfrm>
            <a:off x="28598173" y="5797031"/>
            <a:ext cx="344270" cy="4723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457189</xdr:colOff>
      <xdr:row>37</xdr:row>
      <xdr:rowOff>167632</xdr:rowOff>
    </xdr:from>
    <xdr:to>
      <xdr:col>34</xdr:col>
      <xdr:colOff>213314</xdr:colOff>
      <xdr:row>40</xdr:row>
      <xdr:rowOff>154715</xdr:rowOff>
    </xdr:to>
    <xdr:grpSp>
      <xdr:nvGrpSpPr>
        <xdr:cNvPr id="808" name="Group 807">
          <a:extLst>
            <a:ext uri="{FF2B5EF4-FFF2-40B4-BE49-F238E27FC236}">
              <a16:creationId xmlns:a16="http://schemas.microsoft.com/office/drawing/2014/main" id="{AB8043B0-75A6-4442-83C4-C4DE3A83926E}"/>
            </a:ext>
          </a:extLst>
        </xdr:cNvPr>
        <xdr:cNvGrpSpPr/>
      </xdr:nvGrpSpPr>
      <xdr:grpSpPr>
        <a:xfrm>
          <a:off x="28047939" y="6581132"/>
          <a:ext cx="592208" cy="516250"/>
          <a:chOff x="28422131" y="6901138"/>
          <a:chExt cx="596279" cy="485315"/>
        </a:xfrm>
      </xdr:grpSpPr>
      <xdr:sp macro="" textlink="Location2ANALYSIS!J20">
        <xdr:nvSpPr>
          <xdr:cNvPr id="809" name="TextBox 808">
            <a:extLst>
              <a:ext uri="{FF2B5EF4-FFF2-40B4-BE49-F238E27FC236}">
                <a16:creationId xmlns:a16="http://schemas.microsoft.com/office/drawing/2014/main" id="{72C23FB6-4179-9C40-9C2B-BCF69D394EF0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90EB87F-9F51-9845-8D33-9D6E6B140165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810" name="TextBox 809">
            <a:extLst>
              <a:ext uri="{FF2B5EF4-FFF2-40B4-BE49-F238E27FC236}">
                <a16:creationId xmlns:a16="http://schemas.microsoft.com/office/drawing/2014/main" id="{F7C90F69-C1A6-DA46-8AEE-4414C6AA9D47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20">
        <xdr:nvSpPr>
          <xdr:cNvPr id="811" name="TextBox 810">
            <a:extLst>
              <a:ext uri="{FF2B5EF4-FFF2-40B4-BE49-F238E27FC236}">
                <a16:creationId xmlns:a16="http://schemas.microsoft.com/office/drawing/2014/main" id="{DE5548F3-82D0-6849-926A-55F4C3AA73F7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9B9091B9-1D0B-5641-ADB4-A79813BE4A62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1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677974</xdr:colOff>
      <xdr:row>43</xdr:row>
      <xdr:rowOff>42423</xdr:rowOff>
    </xdr:from>
    <xdr:to>
      <xdr:col>34</xdr:col>
      <xdr:colOff>434099</xdr:colOff>
      <xdr:row>46</xdr:row>
      <xdr:rowOff>19737</xdr:rowOff>
    </xdr:to>
    <xdr:grpSp>
      <xdr:nvGrpSpPr>
        <xdr:cNvPr id="812" name="Group 811">
          <a:extLst>
            <a:ext uri="{FF2B5EF4-FFF2-40B4-BE49-F238E27FC236}">
              <a16:creationId xmlns:a16="http://schemas.microsoft.com/office/drawing/2014/main" id="{03D9A64A-9865-5F4F-B942-CF49BE30488E}"/>
            </a:ext>
          </a:extLst>
        </xdr:cNvPr>
        <xdr:cNvGrpSpPr/>
      </xdr:nvGrpSpPr>
      <xdr:grpSpPr>
        <a:xfrm>
          <a:off x="28268724" y="7524840"/>
          <a:ext cx="592208" cy="517064"/>
          <a:chOff x="28422131" y="6901138"/>
          <a:chExt cx="596279" cy="485315"/>
        </a:xfrm>
      </xdr:grpSpPr>
      <xdr:sp macro="" textlink="Location2ANALYSIS!J19">
        <xdr:nvSpPr>
          <xdr:cNvPr id="813" name="TextBox 812">
            <a:extLst>
              <a:ext uri="{FF2B5EF4-FFF2-40B4-BE49-F238E27FC236}">
                <a16:creationId xmlns:a16="http://schemas.microsoft.com/office/drawing/2014/main" id="{4681018D-F98B-E346-A386-46A13359FDAF}"/>
              </a:ext>
            </a:extLst>
          </xdr:cNvPr>
          <xdr:cNvSpPr txBox="1"/>
        </xdr:nvSpPr>
        <xdr:spPr>
          <a:xfrm>
            <a:off x="28422131" y="6901138"/>
            <a:ext cx="344270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DBD7D47-5E26-2B45-B6EE-7E72E866B587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#REF!">
        <xdr:nvSpPr>
          <xdr:cNvPr id="814" name="TextBox 813">
            <a:extLst>
              <a:ext uri="{FF2B5EF4-FFF2-40B4-BE49-F238E27FC236}">
                <a16:creationId xmlns:a16="http://schemas.microsoft.com/office/drawing/2014/main" id="{78A72F20-1531-A54D-96D3-1BBE4817F40A}"/>
              </a:ext>
            </a:extLst>
          </xdr:cNvPr>
          <xdr:cNvSpPr txBox="1"/>
        </xdr:nvSpPr>
        <xdr:spPr>
          <a:xfrm>
            <a:off x="28587820" y="6901138"/>
            <a:ext cx="344270" cy="4812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400" b="1" i="0" u="none" strike="noStrike">
                <a:solidFill>
                  <a:schemeClr val="tx1"/>
                </a:solidFill>
                <a:latin typeface="+mn-lt"/>
                <a:ea typeface="Arial" charset="0"/>
                <a:cs typeface="Arial"/>
              </a:rPr>
              <a:t>/</a:t>
            </a:r>
            <a:endParaRPr lang="en-US" sz="2400" b="1" i="0">
              <a:solidFill>
                <a:schemeClr val="tx1"/>
              </a:solidFill>
              <a:latin typeface="+mn-lt"/>
              <a:ea typeface="Arial" charset="0"/>
              <a:cs typeface="Arial" charset="0"/>
            </a:endParaRPr>
          </a:p>
        </xdr:txBody>
      </xdr:sp>
      <xdr:sp macro="" textlink="Location2ANALYSIS!K19">
        <xdr:nvSpPr>
          <xdr:cNvPr id="815" name="TextBox 814">
            <a:extLst>
              <a:ext uri="{FF2B5EF4-FFF2-40B4-BE49-F238E27FC236}">
                <a16:creationId xmlns:a16="http://schemas.microsoft.com/office/drawing/2014/main" id="{4C21370F-2985-E548-B606-7C008601A0E1}"/>
              </a:ext>
            </a:extLst>
          </xdr:cNvPr>
          <xdr:cNvSpPr txBox="1"/>
        </xdr:nvSpPr>
        <xdr:spPr>
          <a:xfrm>
            <a:off x="28725902" y="6901138"/>
            <a:ext cx="292508" cy="4853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4CC6210-94AF-F243-A1F7-FBBD3190113A}" type="TxLink">
              <a:rPr lang="en-US" sz="2400" b="1" i="0" u="none" strike="noStrike">
                <a:solidFill>
                  <a:srgbClr val="000000"/>
                </a:solidFill>
                <a:latin typeface="+mn-lt"/>
                <a:ea typeface="Arial" charset="0"/>
                <a:cs typeface="Calibri"/>
              </a:rPr>
              <a:pPr/>
              <a:t>2</a:t>
            </a:fld>
            <a:endParaRPr lang="en-US" sz="2400" b="1" i="0">
              <a:solidFill>
                <a:schemeClr val="bg1"/>
              </a:solidFill>
              <a:latin typeface="+mn-lt"/>
              <a:ea typeface="Arial" charset="0"/>
              <a:cs typeface="Arial" charset="0"/>
            </a:endParaRPr>
          </a:p>
        </xdr:txBody>
      </xdr:sp>
    </xdr:grpSp>
    <xdr:clientData/>
  </xdr:twoCellAnchor>
  <xdr:twoCellAnchor>
    <xdr:from>
      <xdr:col>33</xdr:col>
      <xdr:colOff>577005</xdr:colOff>
      <xdr:row>48</xdr:row>
      <xdr:rowOff>128118</xdr:rowOff>
    </xdr:from>
    <xdr:to>
      <xdr:col>34</xdr:col>
      <xdr:colOff>571259</xdr:colOff>
      <xdr:row>50</xdr:row>
      <xdr:rowOff>82573</xdr:rowOff>
    </xdr:to>
    <xdr:sp macro="" textlink="Location2ANALYSIS!L35">
      <xdr:nvSpPr>
        <xdr:cNvPr id="816" name="Rectangle 815">
          <a:extLst>
            <a:ext uri="{FF2B5EF4-FFF2-40B4-BE49-F238E27FC236}">
              <a16:creationId xmlns:a16="http://schemas.microsoft.com/office/drawing/2014/main" id="{4872F354-6EEA-1741-9166-6DD8C68C2644}"/>
            </a:ext>
          </a:extLst>
        </xdr:cNvPr>
        <xdr:cNvSpPr>
          <a:spLocks noChangeAspect="1"/>
        </xdr:cNvSpPr>
      </xdr:nvSpPr>
      <xdr:spPr>
        <a:xfrm>
          <a:off x="28167755" y="8510118"/>
          <a:ext cx="830337" cy="314288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C5A07361-5BE7-3B43-94DF-DF5BE3E5690C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33</xdr:col>
      <xdr:colOff>574019</xdr:colOff>
      <xdr:row>33</xdr:row>
      <xdr:rowOff>128373</xdr:rowOff>
    </xdr:from>
    <xdr:to>
      <xdr:col>34</xdr:col>
      <xdr:colOff>82206</xdr:colOff>
      <xdr:row>36</xdr:row>
      <xdr:rowOff>105923</xdr:rowOff>
    </xdr:to>
    <xdr:sp macro="" textlink="Location2ANALYSIS!K21">
      <xdr:nvSpPr>
        <xdr:cNvPr id="817" name="TextBox 816">
          <a:extLst>
            <a:ext uri="{FF2B5EF4-FFF2-40B4-BE49-F238E27FC236}">
              <a16:creationId xmlns:a16="http://schemas.microsoft.com/office/drawing/2014/main" id="{96B19446-AE92-B242-9230-7EA44FC8C0B3}"/>
            </a:ext>
          </a:extLst>
        </xdr:cNvPr>
        <xdr:cNvSpPr txBox="1"/>
      </xdr:nvSpPr>
      <xdr:spPr>
        <a:xfrm>
          <a:off x="28164769" y="5822206"/>
          <a:ext cx="344270" cy="517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fld id="{6C751554-3C94-794C-9129-B2F9B58E8B72}" type="TxLink">
            <a:rPr lang="en-US" sz="2400" b="1" i="0" u="none" strike="noStrike">
              <a:solidFill>
                <a:srgbClr val="000000"/>
              </a:solidFill>
              <a:latin typeface="+mn-lt"/>
              <a:ea typeface="Arial" charset="0"/>
              <a:cs typeface="Calibri"/>
            </a:rPr>
            <a:pPr/>
            <a:t>0</a:t>
          </a:fld>
          <a:endParaRPr lang="en-US" sz="2400" b="1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32</xdr:col>
      <xdr:colOff>313193</xdr:colOff>
      <xdr:row>27</xdr:row>
      <xdr:rowOff>10540</xdr:rowOff>
    </xdr:from>
    <xdr:to>
      <xdr:col>33</xdr:col>
      <xdr:colOff>307449</xdr:colOff>
      <xdr:row>28</xdr:row>
      <xdr:rowOff>122182</xdr:rowOff>
    </xdr:to>
    <xdr:sp macro="" textlink="Location1ANALYSIS!L34">
      <xdr:nvSpPr>
        <xdr:cNvPr id="818" name="Rectangle 817">
          <a:extLst>
            <a:ext uri="{FF2B5EF4-FFF2-40B4-BE49-F238E27FC236}">
              <a16:creationId xmlns:a16="http://schemas.microsoft.com/office/drawing/2014/main" id="{25137104-866B-694C-992B-98932F9B79ED}"/>
            </a:ext>
          </a:extLst>
        </xdr:cNvPr>
        <xdr:cNvSpPr>
          <a:spLocks noChangeAspect="1"/>
        </xdr:cNvSpPr>
      </xdr:nvSpPr>
      <xdr:spPr>
        <a:xfrm>
          <a:off x="27067860" y="4624873"/>
          <a:ext cx="830339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7ABAD6C2-D73F-764B-A69D-5B73660BDF7E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33</xdr:col>
      <xdr:colOff>476176</xdr:colOff>
      <xdr:row>27</xdr:row>
      <xdr:rowOff>10540</xdr:rowOff>
    </xdr:from>
    <xdr:to>
      <xdr:col>34</xdr:col>
      <xdr:colOff>470432</xdr:colOff>
      <xdr:row>28</xdr:row>
      <xdr:rowOff>122182</xdr:rowOff>
    </xdr:to>
    <xdr:sp macro="" textlink="Location1ANALYSIS!L35">
      <xdr:nvSpPr>
        <xdr:cNvPr id="819" name="Rectangle 818">
          <a:extLst>
            <a:ext uri="{FF2B5EF4-FFF2-40B4-BE49-F238E27FC236}">
              <a16:creationId xmlns:a16="http://schemas.microsoft.com/office/drawing/2014/main" id="{6D0AFEFC-0B83-BF4B-822C-9317AB6E46DD}"/>
            </a:ext>
          </a:extLst>
        </xdr:cNvPr>
        <xdr:cNvSpPr>
          <a:spLocks noChangeAspect="1"/>
        </xdr:cNvSpPr>
      </xdr:nvSpPr>
      <xdr:spPr>
        <a:xfrm>
          <a:off x="28066926" y="4624873"/>
          <a:ext cx="830339" cy="291559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pPr algn="ctr"/>
          <a:fld id="{CA5D50B6-5031-9E43-8C43-D4CC953F52A0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pPr algn="ctr"/>
            <a:t>100%</a:t>
          </a:fld>
          <a:endParaRPr lang="en-US" sz="1000" b="1" i="0">
            <a:latin typeface="+mn-lt"/>
          </a:endParaRPr>
        </a:p>
      </xdr:txBody>
    </xdr:sp>
    <xdr:clientData/>
  </xdr:twoCellAnchor>
  <xdr:twoCellAnchor>
    <xdr:from>
      <xdr:col>45</xdr:col>
      <xdr:colOff>15636</xdr:colOff>
      <xdr:row>15</xdr:row>
      <xdr:rowOff>84829</xdr:rowOff>
    </xdr:from>
    <xdr:to>
      <xdr:col>45</xdr:col>
      <xdr:colOff>834526</xdr:colOff>
      <xdr:row>17</xdr:row>
      <xdr:rowOff>2573</xdr:rowOff>
    </xdr:to>
    <xdr:sp macro="" textlink="[1]Match!$C$1">
      <xdr:nvSpPr>
        <xdr:cNvPr id="820" name="Rectangle 819">
          <a:extLst>
            <a:ext uri="{FF2B5EF4-FFF2-40B4-BE49-F238E27FC236}">
              <a16:creationId xmlns:a16="http://schemas.microsoft.com/office/drawing/2014/main" id="{BE1B55C2-14E2-BF4C-A2D7-4D8E3EDC7CD5}"/>
            </a:ext>
          </a:extLst>
        </xdr:cNvPr>
        <xdr:cNvSpPr>
          <a:spLocks noChangeAspect="1"/>
        </xdr:cNvSpPr>
      </xdr:nvSpPr>
      <xdr:spPr>
        <a:xfrm>
          <a:off x="37639386" y="2645996"/>
          <a:ext cx="818890" cy="277577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ED8F5870-8649-AD42-966A-355B8BCFE974}" type="TxLink">
            <a:rPr lang="en-US" sz="1200" b="1" i="0" u="none" strike="noStrike">
              <a:solidFill>
                <a:srgbClr val="800000"/>
              </a:solidFill>
              <a:latin typeface="Calibri"/>
              <a:ea typeface="Arial" charset="0"/>
              <a:cs typeface="Calibri"/>
            </a:rPr>
            <a:pPr algn="ctr"/>
            <a:t>home</a:t>
          </a:fld>
          <a:endParaRPr lang="en-US" sz="1000" b="1" i="0">
            <a:solidFill>
              <a:srgbClr val="800000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19</xdr:col>
      <xdr:colOff>439269</xdr:colOff>
      <xdr:row>25</xdr:row>
      <xdr:rowOff>35955</xdr:rowOff>
    </xdr:from>
    <xdr:to>
      <xdr:col>20</xdr:col>
      <xdr:colOff>432698</xdr:colOff>
      <xdr:row>26</xdr:row>
      <xdr:rowOff>147635</xdr:rowOff>
    </xdr:to>
    <xdr:sp macro="" textlink="Location1ANALYSIS!F35">
      <xdr:nvSpPr>
        <xdr:cNvPr id="525" name="Rectangle 524">
          <a:extLst>
            <a:ext uri="{FF2B5EF4-FFF2-40B4-BE49-F238E27FC236}">
              <a16:creationId xmlns:a16="http://schemas.microsoft.com/office/drawing/2014/main" id="{8927A902-4B69-8E4C-8E72-45D3BB1F40F7}"/>
            </a:ext>
          </a:extLst>
        </xdr:cNvPr>
        <xdr:cNvSpPr>
          <a:spLocks noChangeAspect="1"/>
        </xdr:cNvSpPr>
      </xdr:nvSpPr>
      <xdr:spPr>
        <a:xfrm>
          <a:off x="16324852" y="4311622"/>
          <a:ext cx="829513" cy="281013"/>
        </a:xfrm>
        <a:prstGeom prst="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ADFDF649-DF8A-E74B-81A1-A562F661D58F}" type="TxLink">
            <a:rPr lang="en-US" sz="1000" b="1" i="0" u="none" strike="noStrike">
              <a:solidFill>
                <a:srgbClr val="000000"/>
              </a:solidFill>
              <a:latin typeface="+mn-lt"/>
              <a:ea typeface="Verdana"/>
              <a:cs typeface="Verdana"/>
            </a:rPr>
            <a:t>0%</a:t>
          </a:fld>
          <a:endParaRPr lang="en-US" sz="1000" b="1" i="0">
            <a:solidFill>
              <a:schemeClr val="tx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ortscode-scorecard-data.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Match"/>
      <sheetName val="Players1"/>
      <sheetName val="Players2"/>
      <sheetName val="Halves"/>
      <sheetName val="Sectors"/>
      <sheetName val="Sectors1"/>
      <sheetName val="Sectors2"/>
      <sheetName val="Location1"/>
      <sheetName val="Location2"/>
      <sheetName val="Possessions"/>
      <sheetName val="Tackles"/>
    </sheetNames>
    <sheetDataSet>
      <sheetData sheetId="0"/>
      <sheetData sheetId="1">
        <row r="1">
          <cell r="A1" t="str">
            <v>kpi</v>
          </cell>
          <cell r="B1" t="str">
            <v>away</v>
          </cell>
          <cell r="C1" t="str">
            <v>home</v>
          </cell>
        </row>
        <row r="2">
          <cell r="A2" t="str">
            <v>attack</v>
          </cell>
          <cell r="B2">
            <v>0</v>
          </cell>
          <cell r="C2">
            <v>40</v>
          </cell>
        </row>
        <row r="3">
          <cell r="A3" t="str">
            <v>clock</v>
          </cell>
          <cell r="B3">
            <v>0</v>
          </cell>
          <cell r="C3">
            <v>1</v>
          </cell>
        </row>
        <row r="4">
          <cell r="A4" t="str">
            <v>free against</v>
          </cell>
          <cell r="B4">
            <v>0</v>
          </cell>
          <cell r="C4">
            <v>12</v>
          </cell>
        </row>
        <row r="5">
          <cell r="A5" t="str">
            <v>goal from play</v>
          </cell>
          <cell r="B5">
            <v>0</v>
          </cell>
          <cell r="C5">
            <v>2</v>
          </cell>
        </row>
        <row r="6">
          <cell r="A6" t="str">
            <v>opp attack</v>
          </cell>
          <cell r="B6">
            <v>46</v>
          </cell>
          <cell r="C6">
            <v>0</v>
          </cell>
        </row>
        <row r="7">
          <cell r="A7" t="str">
            <v>opp attack sideline</v>
          </cell>
          <cell r="B7">
            <v>1</v>
          </cell>
          <cell r="C7">
            <v>0</v>
          </cell>
        </row>
        <row r="8">
          <cell r="A8" t="str">
            <v>opp free against</v>
          </cell>
          <cell r="B8">
            <v>13</v>
          </cell>
          <cell r="C8">
            <v>0</v>
          </cell>
        </row>
        <row r="9">
          <cell r="A9" t="str">
            <v>opp free against sideline</v>
          </cell>
          <cell r="B9">
            <v>1</v>
          </cell>
          <cell r="C9">
            <v>0</v>
          </cell>
        </row>
        <row r="10">
          <cell r="A10" t="str">
            <v>opp goal</v>
          </cell>
          <cell r="B10">
            <v>1</v>
          </cell>
          <cell r="C10">
            <v>0</v>
          </cell>
        </row>
        <row r="11">
          <cell r="A11" t="str">
            <v>opp po lost</v>
          </cell>
          <cell r="B11">
            <v>10</v>
          </cell>
          <cell r="C11">
            <v>0</v>
          </cell>
        </row>
        <row r="12">
          <cell r="A12" t="str">
            <v>opp po won</v>
          </cell>
          <cell r="B12">
            <v>13</v>
          </cell>
          <cell r="C12">
            <v>0</v>
          </cell>
        </row>
        <row r="13">
          <cell r="A13" t="str">
            <v>opp point 65</v>
          </cell>
          <cell r="B13">
            <v>1</v>
          </cell>
          <cell r="C13">
            <v>0</v>
          </cell>
        </row>
        <row r="14">
          <cell r="A14" t="str">
            <v>opp point from placed</v>
          </cell>
          <cell r="B14">
            <v>4</v>
          </cell>
          <cell r="C14">
            <v>0</v>
          </cell>
        </row>
        <row r="15">
          <cell r="A15" t="str">
            <v>opp point from play</v>
          </cell>
          <cell r="B15">
            <v>13</v>
          </cell>
          <cell r="C15">
            <v>0</v>
          </cell>
        </row>
        <row r="16">
          <cell r="A16" t="str">
            <v>opp possession</v>
          </cell>
          <cell r="B16">
            <v>10</v>
          </cell>
          <cell r="C16">
            <v>0</v>
          </cell>
        </row>
        <row r="17">
          <cell r="A17" t="str">
            <v>opp possession sideline</v>
          </cell>
          <cell r="B17">
            <v>2</v>
          </cell>
          <cell r="C17">
            <v>0</v>
          </cell>
        </row>
        <row r="18">
          <cell r="A18" t="str">
            <v>opp save</v>
          </cell>
          <cell r="B18">
            <v>3</v>
          </cell>
          <cell r="C18">
            <v>0</v>
          </cell>
        </row>
        <row r="19">
          <cell r="A19" t="str">
            <v>opp short from play</v>
          </cell>
          <cell r="B19">
            <v>1</v>
          </cell>
          <cell r="C19">
            <v>0</v>
          </cell>
        </row>
        <row r="20">
          <cell r="A20" t="str">
            <v>opp wide</v>
          </cell>
          <cell r="B20">
            <v>2</v>
          </cell>
          <cell r="C20">
            <v>0</v>
          </cell>
        </row>
        <row r="21">
          <cell r="A21" t="str">
            <v>opp wide from placed</v>
          </cell>
          <cell r="B21">
            <v>2</v>
          </cell>
          <cell r="C21">
            <v>0</v>
          </cell>
        </row>
        <row r="22">
          <cell r="A22" t="str">
            <v>opp wide from play</v>
          </cell>
          <cell r="B22">
            <v>6</v>
          </cell>
          <cell r="C22">
            <v>0</v>
          </cell>
        </row>
        <row r="23">
          <cell r="A23" t="str">
            <v>own po lost</v>
          </cell>
          <cell r="B23">
            <v>0</v>
          </cell>
          <cell r="C23">
            <v>13</v>
          </cell>
        </row>
        <row r="24">
          <cell r="A24" t="str">
            <v>own po lost sideline</v>
          </cell>
          <cell r="B24">
            <v>0</v>
          </cell>
          <cell r="C24">
            <v>2</v>
          </cell>
        </row>
        <row r="25">
          <cell r="A25" t="str">
            <v>own po won</v>
          </cell>
          <cell r="B25">
            <v>0</v>
          </cell>
          <cell r="C25">
            <v>15</v>
          </cell>
        </row>
        <row r="26">
          <cell r="A26" t="str">
            <v>point from placed</v>
          </cell>
          <cell r="B26">
            <v>0</v>
          </cell>
          <cell r="C26">
            <v>7</v>
          </cell>
        </row>
        <row r="27">
          <cell r="A27" t="str">
            <v>point from play</v>
          </cell>
          <cell r="B27">
            <v>0</v>
          </cell>
          <cell r="C27">
            <v>15</v>
          </cell>
        </row>
        <row r="28">
          <cell r="A28" t="str">
            <v>possession</v>
          </cell>
          <cell r="B28">
            <v>0</v>
          </cell>
          <cell r="C28">
            <v>70</v>
          </cell>
        </row>
        <row r="29">
          <cell r="A29" t="str">
            <v>possession from play</v>
          </cell>
          <cell r="B29">
            <v>0</v>
          </cell>
          <cell r="C29">
            <v>1</v>
          </cell>
        </row>
        <row r="30">
          <cell r="A30" t="str">
            <v>possession lost</v>
          </cell>
          <cell r="B30">
            <v>0</v>
          </cell>
          <cell r="C30">
            <v>43</v>
          </cell>
        </row>
        <row r="31">
          <cell r="A31" t="str">
            <v>possession sideline</v>
          </cell>
          <cell r="B31">
            <v>0</v>
          </cell>
          <cell r="C31">
            <v>6</v>
          </cell>
        </row>
        <row r="32">
          <cell r="A32" t="str">
            <v>posts</v>
          </cell>
          <cell r="B32">
            <v>0</v>
          </cell>
          <cell r="C32">
            <v>1</v>
          </cell>
        </row>
        <row r="33">
          <cell r="A33" t="str">
            <v>posts from placed</v>
          </cell>
          <cell r="B33">
            <v>0</v>
          </cell>
          <cell r="C33">
            <v>1</v>
          </cell>
        </row>
        <row r="34">
          <cell r="A34" t="str">
            <v>short from play</v>
          </cell>
          <cell r="B34">
            <v>0</v>
          </cell>
          <cell r="C34">
            <v>2</v>
          </cell>
        </row>
        <row r="35">
          <cell r="A35" t="str">
            <v>tackle</v>
          </cell>
          <cell r="B35">
            <v>0</v>
          </cell>
          <cell r="C35">
            <v>41</v>
          </cell>
        </row>
        <row r="36">
          <cell r="A36" t="str">
            <v>to won</v>
          </cell>
          <cell r="B36">
            <v>0</v>
          </cell>
          <cell r="C36">
            <v>35</v>
          </cell>
        </row>
        <row r="37">
          <cell r="A37" t="str">
            <v>wide from placed</v>
          </cell>
          <cell r="B37">
            <v>0</v>
          </cell>
          <cell r="C37">
            <v>2</v>
          </cell>
        </row>
        <row r="38">
          <cell r="A38" t="str">
            <v>wide from play</v>
          </cell>
          <cell r="B38">
            <v>0</v>
          </cell>
          <cell r="C38">
            <v>2</v>
          </cell>
        </row>
        <row r="39">
          <cell r="A39" t="str">
            <v>All</v>
          </cell>
          <cell r="B39">
            <v>129</v>
          </cell>
          <cell r="C39">
            <v>311</v>
          </cell>
        </row>
      </sheetData>
      <sheetData sheetId="2">
        <row r="1">
          <cell r="A1" t="str">
            <v>kpi</v>
          </cell>
          <cell r="B1" t="str">
            <v>10</v>
          </cell>
          <cell r="C1" t="str">
            <v>11</v>
          </cell>
          <cell r="D1" t="str">
            <v>13</v>
          </cell>
          <cell r="E1" t="str">
            <v>14</v>
          </cell>
          <cell r="F1" t="str">
            <v>19</v>
          </cell>
          <cell r="G1" t="str">
            <v>2</v>
          </cell>
          <cell r="H1" t="str">
            <v>20</v>
          </cell>
          <cell r="I1" t="str">
            <v>6</v>
          </cell>
          <cell r="J1" t="str">
            <v>9</v>
          </cell>
          <cell r="K1" t="str">
            <v>All</v>
          </cell>
        </row>
        <row r="2">
          <cell r="A2" t="str">
            <v>opp attack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1</v>
          </cell>
          <cell r="H2">
            <v>0</v>
          </cell>
          <cell r="I2">
            <v>0</v>
          </cell>
          <cell r="J2">
            <v>0</v>
          </cell>
          <cell r="K2">
            <v>1</v>
          </cell>
        </row>
        <row r="3">
          <cell r="A3" t="str">
            <v>opp free against sideline</v>
          </cell>
          <cell r="B3">
            <v>0</v>
          </cell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1</v>
          </cell>
        </row>
        <row r="4">
          <cell r="A4" t="str">
            <v>opp goal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1</v>
          </cell>
        </row>
        <row r="5">
          <cell r="A5" t="str">
            <v>opp point from placed</v>
          </cell>
          <cell r="B5">
            <v>0</v>
          </cell>
          <cell r="C5">
            <v>0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0</v>
          </cell>
          <cell r="I5">
            <v>1</v>
          </cell>
          <cell r="J5">
            <v>0</v>
          </cell>
          <cell r="K5">
            <v>2</v>
          </cell>
        </row>
        <row r="6">
          <cell r="A6" t="str">
            <v>opp point from play</v>
          </cell>
          <cell r="B6">
            <v>0</v>
          </cell>
          <cell r="C6">
            <v>0</v>
          </cell>
          <cell r="D6">
            <v>5</v>
          </cell>
          <cell r="E6">
            <v>1</v>
          </cell>
          <cell r="F6">
            <v>1</v>
          </cell>
          <cell r="G6">
            <v>0</v>
          </cell>
          <cell r="H6">
            <v>1</v>
          </cell>
          <cell r="I6">
            <v>0</v>
          </cell>
          <cell r="J6">
            <v>1</v>
          </cell>
          <cell r="K6">
            <v>9</v>
          </cell>
        </row>
        <row r="7">
          <cell r="A7" t="str">
            <v>opp possession</v>
          </cell>
          <cell r="B7">
            <v>2</v>
          </cell>
          <cell r="C7">
            <v>3</v>
          </cell>
          <cell r="D7">
            <v>3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9</v>
          </cell>
        </row>
        <row r="8">
          <cell r="A8" t="str">
            <v>opp save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</row>
        <row r="9">
          <cell r="A9" t="str">
            <v>opp short from play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1</v>
          </cell>
        </row>
        <row r="10">
          <cell r="A10" t="str">
            <v>opp wide</v>
          </cell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2</v>
          </cell>
        </row>
        <row r="11">
          <cell r="A11" t="str">
            <v>opp wide from placed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</row>
        <row r="12">
          <cell r="A12" t="str">
            <v>opp wide from play</v>
          </cell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3</v>
          </cell>
        </row>
        <row r="13">
          <cell r="A13" t="str">
            <v>All</v>
          </cell>
          <cell r="B13">
            <v>4</v>
          </cell>
          <cell r="C13">
            <v>6</v>
          </cell>
          <cell r="D13">
            <v>8</v>
          </cell>
          <cell r="E13">
            <v>2</v>
          </cell>
          <cell r="F13">
            <v>1</v>
          </cell>
          <cell r="G13">
            <v>1</v>
          </cell>
          <cell r="H13">
            <v>1</v>
          </cell>
          <cell r="I13">
            <v>3</v>
          </cell>
          <cell r="J13">
            <v>5</v>
          </cell>
          <cell r="K13">
            <v>31</v>
          </cell>
        </row>
      </sheetData>
      <sheetData sheetId="3">
        <row r="1">
          <cell r="A1" t="str">
            <v>kpi</v>
          </cell>
          <cell r="B1" t="str">
            <v>10</v>
          </cell>
          <cell r="C1" t="str">
            <v>11</v>
          </cell>
          <cell r="D1" t="str">
            <v>12</v>
          </cell>
          <cell r="E1" t="str">
            <v>13</v>
          </cell>
          <cell r="F1" t="str">
            <v>14</v>
          </cell>
          <cell r="G1" t="str">
            <v>15</v>
          </cell>
          <cell r="H1" t="str">
            <v>16</v>
          </cell>
          <cell r="I1" t="str">
            <v>18</v>
          </cell>
          <cell r="J1" t="str">
            <v>2</v>
          </cell>
          <cell r="K1" t="str">
            <v>20</v>
          </cell>
          <cell r="L1" t="str">
            <v>3</v>
          </cell>
          <cell r="M1" t="str">
            <v>4</v>
          </cell>
          <cell r="N1" t="str">
            <v>5</v>
          </cell>
          <cell r="O1" t="str">
            <v>6</v>
          </cell>
          <cell r="P1" t="str">
            <v>7</v>
          </cell>
          <cell r="Q1" t="str">
            <v>8</v>
          </cell>
          <cell r="R1" t="str">
            <v>9</v>
          </cell>
          <cell r="S1" t="str">
            <v>All</v>
          </cell>
        </row>
        <row r="2">
          <cell r="A2" t="str">
            <v>attack</v>
          </cell>
          <cell r="B2">
            <v>0</v>
          </cell>
          <cell r="C2">
            <v>1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2</v>
          </cell>
        </row>
        <row r="3">
          <cell r="A3" t="str">
            <v>free against</v>
          </cell>
          <cell r="B3">
            <v>0</v>
          </cell>
          <cell r="C3">
            <v>2</v>
          </cell>
          <cell r="D3">
            <v>0</v>
          </cell>
          <cell r="E3">
            <v>1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1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1</v>
          </cell>
          <cell r="S3">
            <v>6</v>
          </cell>
        </row>
        <row r="4">
          <cell r="A4" t="str">
            <v>goal from play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1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2</v>
          </cell>
        </row>
        <row r="5">
          <cell r="A5" t="str">
            <v>own po won</v>
          </cell>
          <cell r="B5">
            <v>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1</v>
          </cell>
        </row>
        <row r="6">
          <cell r="A6" t="str">
            <v>point from placed</v>
          </cell>
          <cell r="B6">
            <v>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5</v>
          </cell>
        </row>
        <row r="7">
          <cell r="A7" t="str">
            <v>point from play</v>
          </cell>
          <cell r="B7">
            <v>3</v>
          </cell>
          <cell r="C7">
            <v>3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13</v>
          </cell>
        </row>
        <row r="8">
          <cell r="A8" t="str">
            <v>possession</v>
          </cell>
          <cell r="B8">
            <v>12</v>
          </cell>
          <cell r="C8">
            <v>11</v>
          </cell>
          <cell r="D8">
            <v>1</v>
          </cell>
          <cell r="E8">
            <v>2</v>
          </cell>
          <cell r="F8">
            <v>3</v>
          </cell>
          <cell r="G8">
            <v>8</v>
          </cell>
          <cell r="H8">
            <v>1</v>
          </cell>
          <cell r="I8">
            <v>4</v>
          </cell>
          <cell r="J8">
            <v>0</v>
          </cell>
          <cell r="K8">
            <v>1</v>
          </cell>
          <cell r="L8">
            <v>0</v>
          </cell>
          <cell r="M8">
            <v>4</v>
          </cell>
          <cell r="N8">
            <v>3</v>
          </cell>
          <cell r="O8">
            <v>7</v>
          </cell>
          <cell r="P8">
            <v>6</v>
          </cell>
          <cell r="Q8">
            <v>0</v>
          </cell>
          <cell r="R8">
            <v>6</v>
          </cell>
          <cell r="S8">
            <v>69</v>
          </cell>
        </row>
        <row r="9">
          <cell r="A9" t="str">
            <v>possession from play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</row>
        <row r="10">
          <cell r="A10" t="str">
            <v>possession lost</v>
          </cell>
          <cell r="B10">
            <v>0</v>
          </cell>
          <cell r="C10">
            <v>1</v>
          </cell>
          <cell r="D10">
            <v>0</v>
          </cell>
          <cell r="E10">
            <v>2</v>
          </cell>
          <cell r="F10">
            <v>1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2</v>
          </cell>
          <cell r="P10">
            <v>4</v>
          </cell>
          <cell r="Q10">
            <v>0</v>
          </cell>
          <cell r="R10">
            <v>0</v>
          </cell>
          <cell r="S10">
            <v>15</v>
          </cell>
        </row>
        <row r="11">
          <cell r="A11" t="str">
            <v>possession sideline</v>
          </cell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5</v>
          </cell>
        </row>
        <row r="12">
          <cell r="A12" t="str">
            <v>posts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</row>
        <row r="13">
          <cell r="A13" t="str">
            <v>posts from placed</v>
          </cell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</row>
        <row r="14">
          <cell r="A14" t="str">
            <v>short from play</v>
          </cell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</row>
        <row r="15">
          <cell r="A15" t="str">
            <v>tackle</v>
          </cell>
          <cell r="B15">
            <v>1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  <cell r="G15">
            <v>2</v>
          </cell>
          <cell r="H15">
            <v>1</v>
          </cell>
          <cell r="I15">
            <v>4</v>
          </cell>
          <cell r="J15">
            <v>2</v>
          </cell>
          <cell r="K15">
            <v>0</v>
          </cell>
          <cell r="L15">
            <v>2</v>
          </cell>
          <cell r="M15">
            <v>1</v>
          </cell>
          <cell r="N15">
            <v>6</v>
          </cell>
          <cell r="O15">
            <v>1</v>
          </cell>
          <cell r="P15">
            <v>2</v>
          </cell>
          <cell r="Q15">
            <v>4</v>
          </cell>
          <cell r="R15">
            <v>4</v>
          </cell>
          <cell r="S15">
            <v>38</v>
          </cell>
        </row>
      </sheetData>
      <sheetData sheetId="4"/>
      <sheetData sheetId="5">
        <row r="1">
          <cell r="A1" t="str">
            <v>team</v>
          </cell>
          <cell r="B1" t="str">
            <v>away</v>
          </cell>
          <cell r="H1" t="str">
            <v>home</v>
          </cell>
        </row>
        <row r="2">
          <cell r="A2" t="str">
            <v>half</v>
          </cell>
          <cell r="B2">
            <v>1</v>
          </cell>
          <cell r="E2">
            <v>2</v>
          </cell>
          <cell r="H2">
            <v>1</v>
          </cell>
          <cell r="K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0</v>
          </cell>
          <cell r="I3">
            <v>1</v>
          </cell>
          <cell r="J3">
            <v>2</v>
          </cell>
          <cell r="K3">
            <v>3</v>
          </cell>
          <cell r="L3">
            <v>4</v>
          </cell>
          <cell r="M3">
            <v>5</v>
          </cell>
        </row>
        <row r="4">
          <cell r="A4" t="str">
            <v>kpi</v>
          </cell>
        </row>
        <row r="5">
          <cell r="A5" t="str">
            <v>attack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8</v>
          </cell>
          <cell r="I5">
            <v>8</v>
          </cell>
          <cell r="J5">
            <v>5</v>
          </cell>
          <cell r="K5">
            <v>7</v>
          </cell>
          <cell r="L5">
            <v>5</v>
          </cell>
          <cell r="M5">
            <v>7</v>
          </cell>
        </row>
        <row r="6">
          <cell r="A6" t="str">
            <v>clock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</v>
          </cell>
        </row>
        <row r="7">
          <cell r="A7" t="str">
            <v>free against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2</v>
          </cell>
          <cell r="J7">
            <v>3</v>
          </cell>
          <cell r="K7">
            <v>1</v>
          </cell>
          <cell r="L7">
            <v>1</v>
          </cell>
          <cell r="M7">
            <v>2</v>
          </cell>
        </row>
        <row r="8">
          <cell r="A8" t="str">
            <v>goal from play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</row>
        <row r="9">
          <cell r="A9" t="str">
            <v>opp attack</v>
          </cell>
          <cell r="B9">
            <v>10</v>
          </cell>
          <cell r="C9">
            <v>8</v>
          </cell>
          <cell r="D9">
            <v>5</v>
          </cell>
          <cell r="E9">
            <v>7</v>
          </cell>
          <cell r="F9">
            <v>7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opp attack sideline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opp free against</v>
          </cell>
          <cell r="B11">
            <v>1</v>
          </cell>
          <cell r="C11">
            <v>1</v>
          </cell>
          <cell r="D11">
            <v>2</v>
          </cell>
          <cell r="E11">
            <v>0</v>
          </cell>
          <cell r="F11">
            <v>5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opp free against sideline</v>
          </cell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opp goal</v>
          </cell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opp po lost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5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opp po won</v>
          </cell>
          <cell r="B15">
            <v>2</v>
          </cell>
          <cell r="C15">
            <v>2</v>
          </cell>
          <cell r="D15">
            <v>2</v>
          </cell>
          <cell r="E15">
            <v>4</v>
          </cell>
          <cell r="F15">
            <v>1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opp point 65</v>
          </cell>
          <cell r="B16">
            <v>0</v>
          </cell>
          <cell r="C16">
            <v>0</v>
          </cell>
          <cell r="D16">
            <v>0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opp point from placed</v>
          </cell>
          <cell r="B17">
            <v>1</v>
          </cell>
          <cell r="C17">
            <v>1</v>
          </cell>
          <cell r="D17">
            <v>1</v>
          </cell>
          <cell r="E17">
            <v>0</v>
          </cell>
          <cell r="F17">
            <v>1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opp point from play</v>
          </cell>
          <cell r="B18">
            <v>2</v>
          </cell>
          <cell r="C18">
            <v>3</v>
          </cell>
          <cell r="D18">
            <v>2</v>
          </cell>
          <cell r="E18">
            <v>2</v>
          </cell>
          <cell r="F18">
            <v>3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opp possession</v>
          </cell>
          <cell r="B19">
            <v>0</v>
          </cell>
          <cell r="C19">
            <v>7</v>
          </cell>
          <cell r="D19">
            <v>3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opp possession sideline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opp save</v>
          </cell>
          <cell r="B21">
            <v>0</v>
          </cell>
          <cell r="C21">
            <v>1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opp short from play</v>
          </cell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A23" t="str">
            <v>opp wide</v>
          </cell>
          <cell r="B23">
            <v>2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opp wide from placed</v>
          </cell>
          <cell r="B24">
            <v>0</v>
          </cell>
          <cell r="C24">
            <v>0</v>
          </cell>
          <cell r="D24">
            <v>1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 t="str">
            <v>opp wide from play</v>
          </cell>
          <cell r="B25">
            <v>2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own po lost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3</v>
          </cell>
          <cell r="I26">
            <v>3</v>
          </cell>
          <cell r="J26">
            <v>1</v>
          </cell>
          <cell r="K26">
            <v>1</v>
          </cell>
          <cell r="L26">
            <v>2</v>
          </cell>
          <cell r="M26">
            <v>3</v>
          </cell>
        </row>
        <row r="27">
          <cell r="A27" t="str">
            <v>own po lost sideline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1</v>
          </cell>
          <cell r="I27">
            <v>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own po won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3</v>
          </cell>
          <cell r="I28">
            <v>3</v>
          </cell>
          <cell r="J28">
            <v>2</v>
          </cell>
          <cell r="K28">
            <v>2</v>
          </cell>
          <cell r="L28">
            <v>3</v>
          </cell>
          <cell r="M28">
            <v>2</v>
          </cell>
        </row>
        <row r="29">
          <cell r="A29" t="str">
            <v>point from placed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</v>
          </cell>
          <cell r="I29">
            <v>0</v>
          </cell>
          <cell r="J29">
            <v>0</v>
          </cell>
          <cell r="K29">
            <v>1</v>
          </cell>
          <cell r="L29">
            <v>1</v>
          </cell>
          <cell r="M29">
            <v>4</v>
          </cell>
        </row>
        <row r="30">
          <cell r="A30" t="str">
            <v>point from play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3</v>
          </cell>
          <cell r="I30">
            <v>2</v>
          </cell>
          <cell r="J30">
            <v>2</v>
          </cell>
          <cell r="K30">
            <v>5</v>
          </cell>
          <cell r="L30">
            <v>0</v>
          </cell>
          <cell r="M30">
            <v>3</v>
          </cell>
        </row>
        <row r="31">
          <cell r="A31" t="str">
            <v>possession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14</v>
          </cell>
          <cell r="I31">
            <v>17</v>
          </cell>
          <cell r="J31">
            <v>14</v>
          </cell>
          <cell r="K31">
            <v>17</v>
          </cell>
          <cell r="L31">
            <v>5</v>
          </cell>
          <cell r="M31">
            <v>3</v>
          </cell>
        </row>
        <row r="32">
          <cell r="A32" t="str">
            <v>possession from play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possession lost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12</v>
          </cell>
          <cell r="I33">
            <v>6</v>
          </cell>
          <cell r="J33">
            <v>6</v>
          </cell>
          <cell r="K33">
            <v>8</v>
          </cell>
          <cell r="L33">
            <v>7</v>
          </cell>
          <cell r="M33">
            <v>4</v>
          </cell>
        </row>
        <row r="34">
          <cell r="A34" t="str">
            <v>possession sideline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</v>
          </cell>
          <cell r="J34">
            <v>1</v>
          </cell>
          <cell r="K34">
            <v>1</v>
          </cell>
          <cell r="L34">
            <v>0</v>
          </cell>
          <cell r="M34">
            <v>3</v>
          </cell>
        </row>
        <row r="35">
          <cell r="A35" t="str">
            <v>posts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posts from placed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short from play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1</v>
          </cell>
          <cell r="J37">
            <v>0</v>
          </cell>
          <cell r="K37">
            <v>1</v>
          </cell>
          <cell r="L37">
            <v>0</v>
          </cell>
          <cell r="M37">
            <v>0</v>
          </cell>
        </row>
        <row r="38">
          <cell r="A38" t="str">
            <v>tackle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7</v>
          </cell>
          <cell r="I38">
            <v>5</v>
          </cell>
          <cell r="J38">
            <v>9</v>
          </cell>
          <cell r="K38">
            <v>11</v>
          </cell>
          <cell r="L38">
            <v>7</v>
          </cell>
          <cell r="M38">
            <v>2</v>
          </cell>
        </row>
        <row r="39">
          <cell r="A39" t="str">
            <v>to won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9</v>
          </cell>
          <cell r="I39">
            <v>5</v>
          </cell>
          <cell r="J39">
            <v>5</v>
          </cell>
          <cell r="K39">
            <v>9</v>
          </cell>
          <cell r="L39">
            <v>4</v>
          </cell>
          <cell r="M39">
            <v>3</v>
          </cell>
        </row>
        <row r="40">
          <cell r="A40" t="str">
            <v>wide from placed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1</v>
          </cell>
          <cell r="M40">
            <v>1</v>
          </cell>
        </row>
        <row r="41">
          <cell r="A41" t="str">
            <v>wide from play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1</v>
          </cell>
        </row>
        <row r="42">
          <cell r="A42" t="str">
            <v>All</v>
          </cell>
          <cell r="B42">
            <v>23</v>
          </cell>
          <cell r="C42">
            <v>27</v>
          </cell>
          <cell r="D42">
            <v>18</v>
          </cell>
          <cell r="E42">
            <v>16</v>
          </cell>
          <cell r="F42">
            <v>22</v>
          </cell>
          <cell r="G42">
            <v>23</v>
          </cell>
          <cell r="H42">
            <v>65</v>
          </cell>
          <cell r="I42">
            <v>56</v>
          </cell>
          <cell r="J42">
            <v>50</v>
          </cell>
          <cell r="K42">
            <v>64</v>
          </cell>
          <cell r="L42">
            <v>36</v>
          </cell>
          <cell r="M42">
            <v>40</v>
          </cell>
        </row>
      </sheetData>
      <sheetData sheetId="6">
        <row r="1">
          <cell r="A1" t="str">
            <v>team</v>
          </cell>
          <cell r="B1" t="str">
            <v>away</v>
          </cell>
        </row>
        <row r="2">
          <cell r="A2" t="str">
            <v>half</v>
          </cell>
          <cell r="B2">
            <v>1</v>
          </cell>
          <cell r="E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</row>
        <row r="4">
          <cell r="A4" t="str">
            <v>kpi</v>
          </cell>
        </row>
        <row r="5">
          <cell r="A5" t="str">
            <v>opp attack</v>
          </cell>
          <cell r="B5">
            <v>10</v>
          </cell>
          <cell r="C5">
            <v>8</v>
          </cell>
          <cell r="D5">
            <v>5</v>
          </cell>
          <cell r="E5">
            <v>7</v>
          </cell>
          <cell r="F5">
            <v>7</v>
          </cell>
          <cell r="G5">
            <v>9</v>
          </cell>
        </row>
        <row r="6">
          <cell r="A6" t="str">
            <v>opp attack sideline</v>
          </cell>
          <cell r="B6">
            <v>1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opp free against</v>
          </cell>
          <cell r="B7">
            <v>1</v>
          </cell>
          <cell r="C7">
            <v>1</v>
          </cell>
          <cell r="D7">
            <v>2</v>
          </cell>
          <cell r="E7">
            <v>0</v>
          </cell>
          <cell r="F7">
            <v>5</v>
          </cell>
          <cell r="G7">
            <v>4</v>
          </cell>
        </row>
        <row r="8">
          <cell r="A8" t="str">
            <v>opp free against sideline</v>
          </cell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opp goal</v>
          </cell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 t="str">
            <v>opp po lost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5</v>
          </cell>
        </row>
        <row r="11">
          <cell r="A11" t="str">
            <v>opp po won</v>
          </cell>
          <cell r="B11">
            <v>2</v>
          </cell>
          <cell r="C11">
            <v>2</v>
          </cell>
          <cell r="D11">
            <v>2</v>
          </cell>
          <cell r="E11">
            <v>4</v>
          </cell>
          <cell r="F11">
            <v>1</v>
          </cell>
          <cell r="G11">
            <v>2</v>
          </cell>
        </row>
        <row r="12">
          <cell r="A12" t="str">
            <v>opp point 65</v>
          </cell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</row>
        <row r="13">
          <cell r="A13" t="str">
            <v>opp point from placed</v>
          </cell>
          <cell r="B13">
            <v>1</v>
          </cell>
          <cell r="C13">
            <v>1</v>
          </cell>
          <cell r="D13">
            <v>1</v>
          </cell>
          <cell r="E13">
            <v>0</v>
          </cell>
          <cell r="F13">
            <v>1</v>
          </cell>
          <cell r="G13">
            <v>0</v>
          </cell>
        </row>
        <row r="14">
          <cell r="A14" t="str">
            <v>opp point from play</v>
          </cell>
          <cell r="B14">
            <v>2</v>
          </cell>
          <cell r="C14">
            <v>3</v>
          </cell>
          <cell r="D14">
            <v>2</v>
          </cell>
          <cell r="E14">
            <v>2</v>
          </cell>
          <cell r="F14">
            <v>3</v>
          </cell>
          <cell r="G14">
            <v>1</v>
          </cell>
        </row>
        <row r="15">
          <cell r="A15" t="str">
            <v>opp possession</v>
          </cell>
          <cell r="B15">
            <v>0</v>
          </cell>
          <cell r="C15">
            <v>7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opp possession sideline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</row>
        <row r="17">
          <cell r="A17" t="str">
            <v>opp save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0</v>
          </cell>
        </row>
        <row r="18">
          <cell r="A18" t="str">
            <v>opp short from play</v>
          </cell>
          <cell r="B18">
            <v>1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A19" t="str">
            <v>opp wide</v>
          </cell>
          <cell r="B19">
            <v>2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opp wide from placed</v>
          </cell>
          <cell r="B20">
            <v>0</v>
          </cell>
          <cell r="C20">
            <v>0</v>
          </cell>
          <cell r="D20">
            <v>1</v>
          </cell>
          <cell r="E20">
            <v>0</v>
          </cell>
          <cell r="F20">
            <v>1</v>
          </cell>
          <cell r="G20">
            <v>0</v>
          </cell>
        </row>
        <row r="21">
          <cell r="A21" t="str">
            <v>opp wide from play</v>
          </cell>
          <cell r="B21">
            <v>2</v>
          </cell>
          <cell r="C21">
            <v>1</v>
          </cell>
          <cell r="D21">
            <v>0</v>
          </cell>
          <cell r="E21">
            <v>0</v>
          </cell>
          <cell r="F21">
            <v>1</v>
          </cell>
          <cell r="G21">
            <v>2</v>
          </cell>
        </row>
        <row r="22">
          <cell r="A22" t="str">
            <v>All</v>
          </cell>
          <cell r="B22">
            <v>23</v>
          </cell>
          <cell r="C22">
            <v>27</v>
          </cell>
          <cell r="D22">
            <v>18</v>
          </cell>
          <cell r="E22">
            <v>16</v>
          </cell>
          <cell r="F22">
            <v>22</v>
          </cell>
          <cell r="G22">
            <v>23</v>
          </cell>
        </row>
      </sheetData>
      <sheetData sheetId="7">
        <row r="1">
          <cell r="A1" t="str">
            <v>team</v>
          </cell>
          <cell r="B1" t="str">
            <v>home</v>
          </cell>
        </row>
        <row r="2">
          <cell r="A2" t="str">
            <v>half</v>
          </cell>
          <cell r="B2">
            <v>1</v>
          </cell>
          <cell r="E2">
            <v>2</v>
          </cell>
        </row>
        <row r="3">
          <cell r="A3" t="str">
            <v>sector</v>
          </cell>
          <cell r="B3">
            <v>0</v>
          </cell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</row>
        <row r="4">
          <cell r="A4" t="str">
            <v>kpi</v>
          </cell>
        </row>
        <row r="5">
          <cell r="A5" t="str">
            <v>attack</v>
          </cell>
          <cell r="B5">
            <v>8</v>
          </cell>
          <cell r="C5">
            <v>8</v>
          </cell>
          <cell r="D5">
            <v>5</v>
          </cell>
          <cell r="E5">
            <v>7</v>
          </cell>
          <cell r="F5">
            <v>5</v>
          </cell>
          <cell r="G5">
            <v>7</v>
          </cell>
        </row>
        <row r="6">
          <cell r="A6" t="str">
            <v>clock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</row>
        <row r="7">
          <cell r="A7" t="str">
            <v>free against</v>
          </cell>
          <cell r="B7">
            <v>3</v>
          </cell>
          <cell r="C7">
            <v>2</v>
          </cell>
          <cell r="D7">
            <v>3</v>
          </cell>
          <cell r="E7">
            <v>1</v>
          </cell>
          <cell r="F7">
            <v>1</v>
          </cell>
          <cell r="G7">
            <v>2</v>
          </cell>
        </row>
        <row r="8">
          <cell r="A8" t="str">
            <v>goal from play</v>
          </cell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</row>
        <row r="9">
          <cell r="A9" t="str">
            <v>own po lost</v>
          </cell>
          <cell r="B9">
            <v>3</v>
          </cell>
          <cell r="C9">
            <v>3</v>
          </cell>
          <cell r="D9">
            <v>1</v>
          </cell>
          <cell r="E9">
            <v>1</v>
          </cell>
          <cell r="F9">
            <v>2</v>
          </cell>
          <cell r="G9">
            <v>3</v>
          </cell>
        </row>
        <row r="10">
          <cell r="A10" t="str">
            <v>own po lost sideline</v>
          </cell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 t="str">
            <v>own po won</v>
          </cell>
          <cell r="B11">
            <v>3</v>
          </cell>
          <cell r="C11">
            <v>3</v>
          </cell>
          <cell r="D11">
            <v>2</v>
          </cell>
          <cell r="E11">
            <v>2</v>
          </cell>
          <cell r="F11">
            <v>3</v>
          </cell>
          <cell r="G11">
            <v>2</v>
          </cell>
        </row>
        <row r="12">
          <cell r="A12" t="str">
            <v>point from placed</v>
          </cell>
          <cell r="B12">
            <v>1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4</v>
          </cell>
        </row>
        <row r="13">
          <cell r="A13" t="str">
            <v>point from play</v>
          </cell>
          <cell r="B13">
            <v>3</v>
          </cell>
          <cell r="C13">
            <v>2</v>
          </cell>
          <cell r="D13">
            <v>2</v>
          </cell>
          <cell r="E13">
            <v>5</v>
          </cell>
          <cell r="F13">
            <v>0</v>
          </cell>
          <cell r="G13">
            <v>3</v>
          </cell>
        </row>
        <row r="14">
          <cell r="A14" t="str">
            <v>possession</v>
          </cell>
          <cell r="B14">
            <v>14</v>
          </cell>
          <cell r="C14">
            <v>17</v>
          </cell>
          <cell r="D14">
            <v>14</v>
          </cell>
          <cell r="E14">
            <v>17</v>
          </cell>
          <cell r="F14">
            <v>5</v>
          </cell>
          <cell r="G14">
            <v>3</v>
          </cell>
        </row>
        <row r="15">
          <cell r="A15" t="str">
            <v>possession from play</v>
          </cell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possession lost</v>
          </cell>
          <cell r="B16">
            <v>12</v>
          </cell>
          <cell r="C16">
            <v>6</v>
          </cell>
          <cell r="D16">
            <v>6</v>
          </cell>
          <cell r="E16">
            <v>8</v>
          </cell>
          <cell r="F16">
            <v>7</v>
          </cell>
          <cell r="G16">
            <v>4</v>
          </cell>
        </row>
        <row r="17">
          <cell r="A17" t="str">
            <v>possession sideline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3</v>
          </cell>
        </row>
        <row r="18">
          <cell r="A18" t="str">
            <v>posts</v>
          </cell>
          <cell r="B18">
            <v>0</v>
          </cell>
          <cell r="C18">
            <v>1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A19" t="str">
            <v>posts from placed</v>
          </cell>
          <cell r="B19">
            <v>0</v>
          </cell>
          <cell r="C19">
            <v>0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short from play</v>
          </cell>
          <cell r="B20">
            <v>0</v>
          </cell>
          <cell r="C20">
            <v>1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</row>
        <row r="21">
          <cell r="A21" t="str">
            <v>tackle</v>
          </cell>
          <cell r="B21">
            <v>7</v>
          </cell>
          <cell r="C21">
            <v>5</v>
          </cell>
          <cell r="D21">
            <v>9</v>
          </cell>
          <cell r="E21">
            <v>11</v>
          </cell>
          <cell r="F21">
            <v>7</v>
          </cell>
          <cell r="G21">
            <v>2</v>
          </cell>
        </row>
        <row r="22">
          <cell r="A22" t="str">
            <v>to won</v>
          </cell>
          <cell r="B22">
            <v>9</v>
          </cell>
          <cell r="C22">
            <v>5</v>
          </cell>
          <cell r="D22">
            <v>5</v>
          </cell>
          <cell r="E22">
            <v>9</v>
          </cell>
          <cell r="F22">
            <v>4</v>
          </cell>
          <cell r="G22">
            <v>3</v>
          </cell>
        </row>
        <row r="23">
          <cell r="A23" t="str">
            <v>wide from placed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</v>
          </cell>
          <cell r="G23">
            <v>1</v>
          </cell>
        </row>
        <row r="24">
          <cell r="A24" t="str">
            <v>wide from play</v>
          </cell>
          <cell r="B24">
            <v>0</v>
          </cell>
          <cell r="C24">
            <v>0</v>
          </cell>
          <cell r="D24">
            <v>1</v>
          </cell>
          <cell r="E24">
            <v>0</v>
          </cell>
          <cell r="F24">
            <v>0</v>
          </cell>
          <cell r="G24">
            <v>1</v>
          </cell>
        </row>
        <row r="25">
          <cell r="A25" t="str">
            <v>All</v>
          </cell>
          <cell r="B25">
            <v>65</v>
          </cell>
          <cell r="C25">
            <v>56</v>
          </cell>
          <cell r="D25">
            <v>50</v>
          </cell>
          <cell r="E25">
            <v>64</v>
          </cell>
          <cell r="F25">
            <v>36</v>
          </cell>
          <cell r="G25">
            <v>40</v>
          </cell>
        </row>
      </sheetData>
      <sheetData sheetId="8">
        <row r="1">
          <cell r="A1" t="str">
            <v>team</v>
          </cell>
          <cell r="B1" t="str">
            <v>away</v>
          </cell>
          <cell r="R1" t="str">
            <v>All</v>
          </cell>
        </row>
        <row r="2">
          <cell r="A2" t="str">
            <v>location</v>
          </cell>
          <cell r="B2" t="str">
            <v>1a</v>
          </cell>
          <cell r="C2" t="str">
            <v>1b</v>
          </cell>
          <cell r="D2" t="str">
            <v>1c</v>
          </cell>
          <cell r="E2" t="str">
            <v>2a</v>
          </cell>
          <cell r="F2" t="str">
            <v>2b</v>
          </cell>
          <cell r="G2" t="str">
            <v>2c</v>
          </cell>
          <cell r="H2" t="str">
            <v>3a</v>
          </cell>
          <cell r="I2" t="str">
            <v>3b</v>
          </cell>
          <cell r="J2" t="str">
            <v>3c</v>
          </cell>
          <cell r="K2" t="str">
            <v>4a</v>
          </cell>
          <cell r="L2" t="str">
            <v>4b</v>
          </cell>
          <cell r="M2" t="str">
            <v>4c</v>
          </cell>
          <cell r="N2" t="str">
            <v>5a</v>
          </cell>
          <cell r="O2" t="str">
            <v>5b</v>
          </cell>
          <cell r="P2" t="str">
            <v>5c</v>
          </cell>
          <cell r="Q2" t="str">
            <v>6b</v>
          </cell>
        </row>
        <row r="3">
          <cell r="A3" t="str">
            <v>kpi</v>
          </cell>
        </row>
        <row r="4">
          <cell r="A4" t="str">
            <v>opp free against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1</v>
          </cell>
          <cell r="G4">
            <v>0</v>
          </cell>
          <cell r="H4">
            <v>3</v>
          </cell>
          <cell r="I4">
            <v>1</v>
          </cell>
          <cell r="J4">
            <v>1</v>
          </cell>
          <cell r="K4">
            <v>0</v>
          </cell>
          <cell r="L4">
            <v>1</v>
          </cell>
          <cell r="M4">
            <v>1</v>
          </cell>
          <cell r="N4">
            <v>2</v>
          </cell>
          <cell r="O4">
            <v>1</v>
          </cell>
          <cell r="P4">
            <v>0</v>
          </cell>
          <cell r="Q4">
            <v>1</v>
          </cell>
          <cell r="R4">
            <v>13</v>
          </cell>
        </row>
        <row r="5">
          <cell r="A5" t="str">
            <v>opp free against sideline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  <cell r="O5">
            <v>0</v>
          </cell>
          <cell r="P5">
            <v>0</v>
          </cell>
          <cell r="Q5">
            <v>0</v>
          </cell>
          <cell r="R5">
            <v>1</v>
          </cell>
        </row>
        <row r="6">
          <cell r="A6" t="str">
            <v>opp goal</v>
          </cell>
          <cell r="B6">
            <v>0</v>
          </cell>
          <cell r="C6">
            <v>1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</v>
          </cell>
        </row>
        <row r="7">
          <cell r="A7" t="str">
            <v>opp po lost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0</v>
          </cell>
          <cell r="J7">
            <v>1</v>
          </cell>
          <cell r="K7">
            <v>2</v>
          </cell>
          <cell r="L7">
            <v>0</v>
          </cell>
          <cell r="M7">
            <v>2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10</v>
          </cell>
        </row>
        <row r="8">
          <cell r="A8" t="str">
            <v>opp po won</v>
          </cell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1</v>
          </cell>
          <cell r="L8">
            <v>2</v>
          </cell>
          <cell r="M8">
            <v>1</v>
          </cell>
          <cell r="N8">
            <v>1</v>
          </cell>
          <cell r="O8">
            <v>0</v>
          </cell>
          <cell r="P8">
            <v>3</v>
          </cell>
          <cell r="Q8">
            <v>0</v>
          </cell>
          <cell r="R8">
            <v>13</v>
          </cell>
        </row>
        <row r="9">
          <cell r="A9" t="str">
            <v>opp point 65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</row>
        <row r="10">
          <cell r="A10" t="str">
            <v>opp point from placed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4</v>
          </cell>
        </row>
        <row r="11">
          <cell r="A11" t="str">
            <v>opp point from play</v>
          </cell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1</v>
          </cell>
          <cell r="G11">
            <v>3</v>
          </cell>
          <cell r="H11">
            <v>0</v>
          </cell>
          <cell r="I11">
            <v>0</v>
          </cell>
          <cell r="J11">
            <v>1</v>
          </cell>
          <cell r="K11">
            <v>2</v>
          </cell>
          <cell r="L11">
            <v>0</v>
          </cell>
          <cell r="M11">
            <v>1</v>
          </cell>
          <cell r="N11">
            <v>1</v>
          </cell>
          <cell r="O11">
            <v>1</v>
          </cell>
          <cell r="P11">
            <v>0</v>
          </cell>
          <cell r="Q11">
            <v>1</v>
          </cell>
          <cell r="R11">
            <v>13</v>
          </cell>
        </row>
        <row r="12">
          <cell r="A12" t="str">
            <v>opp save</v>
          </cell>
          <cell r="B12">
            <v>0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</row>
        <row r="13">
          <cell r="A13" t="str">
            <v>opp short from play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</row>
        <row r="14">
          <cell r="A14" t="str">
            <v>opp wide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</row>
        <row r="15">
          <cell r="A15" t="str">
            <v>opp wide from placed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</row>
        <row r="16">
          <cell r="A16" t="str">
            <v>opp wide from play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2</v>
          </cell>
          <cell r="M16">
            <v>1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6</v>
          </cell>
        </row>
        <row r="17">
          <cell r="A17" t="str">
            <v>All</v>
          </cell>
          <cell r="B17">
            <v>1</v>
          </cell>
          <cell r="C17">
            <v>3</v>
          </cell>
          <cell r="D17">
            <v>1</v>
          </cell>
          <cell r="E17">
            <v>3</v>
          </cell>
          <cell r="F17">
            <v>3</v>
          </cell>
          <cell r="G17">
            <v>9</v>
          </cell>
          <cell r="H17">
            <v>6</v>
          </cell>
          <cell r="I17">
            <v>2</v>
          </cell>
          <cell r="J17">
            <v>4</v>
          </cell>
          <cell r="K17">
            <v>9</v>
          </cell>
          <cell r="L17">
            <v>7</v>
          </cell>
          <cell r="M17">
            <v>7</v>
          </cell>
          <cell r="N17">
            <v>5</v>
          </cell>
          <cell r="O17">
            <v>3</v>
          </cell>
          <cell r="P17">
            <v>4</v>
          </cell>
          <cell r="Q17">
            <v>2</v>
          </cell>
          <cell r="R17">
            <v>69</v>
          </cell>
        </row>
      </sheetData>
      <sheetData sheetId="9">
        <row r="1">
          <cell r="A1" t="str">
            <v>team</v>
          </cell>
          <cell r="B1" t="str">
            <v>home</v>
          </cell>
          <cell r="R1" t="str">
            <v>All</v>
          </cell>
        </row>
        <row r="2">
          <cell r="A2" t="str">
            <v>location</v>
          </cell>
          <cell r="B2" t="str">
            <v>1a</v>
          </cell>
          <cell r="C2" t="str">
            <v>1b</v>
          </cell>
          <cell r="D2" t="str">
            <v>2a</v>
          </cell>
          <cell r="E2" t="str">
            <v>2b</v>
          </cell>
          <cell r="F2" t="str">
            <v>2c</v>
          </cell>
          <cell r="G2" t="str">
            <v>3a</v>
          </cell>
          <cell r="H2" t="str">
            <v>3b</v>
          </cell>
          <cell r="I2" t="str">
            <v>3c</v>
          </cell>
          <cell r="J2" t="str">
            <v>4a</v>
          </cell>
          <cell r="K2" t="str">
            <v>4b</v>
          </cell>
          <cell r="L2" t="str">
            <v>4c</v>
          </cell>
          <cell r="M2" t="str">
            <v>5a</v>
          </cell>
          <cell r="N2" t="str">
            <v>5b</v>
          </cell>
          <cell r="O2" t="str">
            <v>6a</v>
          </cell>
          <cell r="P2" t="str">
            <v>6b</v>
          </cell>
          <cell r="Q2" t="str">
            <v>6c</v>
          </cell>
        </row>
        <row r="3">
          <cell r="A3" t="str">
            <v>kpi</v>
          </cell>
        </row>
        <row r="4">
          <cell r="A4" t="str">
            <v>free against</v>
          </cell>
          <cell r="B4">
            <v>0</v>
          </cell>
          <cell r="C4">
            <v>1</v>
          </cell>
          <cell r="D4">
            <v>0</v>
          </cell>
          <cell r="E4">
            <v>2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2</v>
          </cell>
          <cell r="K4">
            <v>1</v>
          </cell>
          <cell r="L4">
            <v>3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1</v>
          </cell>
          <cell r="R4">
            <v>12</v>
          </cell>
        </row>
        <row r="5">
          <cell r="A5" t="str">
            <v>goal from play</v>
          </cell>
          <cell r="B5">
            <v>0</v>
          </cell>
          <cell r="C5">
            <v>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1</v>
          </cell>
          <cell r="Q5">
            <v>0</v>
          </cell>
          <cell r="R5">
            <v>2</v>
          </cell>
        </row>
        <row r="6">
          <cell r="A6" t="str">
            <v>own po lost</v>
          </cell>
          <cell r="B6">
            <v>0</v>
          </cell>
          <cell r="C6">
            <v>0</v>
          </cell>
          <cell r="D6">
            <v>0</v>
          </cell>
          <cell r="E6">
            <v>1</v>
          </cell>
          <cell r="F6">
            <v>0</v>
          </cell>
          <cell r="G6">
            <v>3</v>
          </cell>
          <cell r="H6">
            <v>0</v>
          </cell>
          <cell r="I6">
            <v>3</v>
          </cell>
          <cell r="J6">
            <v>2</v>
          </cell>
          <cell r="K6">
            <v>0</v>
          </cell>
          <cell r="L6">
            <v>3</v>
          </cell>
          <cell r="M6">
            <v>0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13</v>
          </cell>
        </row>
        <row r="7">
          <cell r="A7" t="str">
            <v>own po lost sideline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</row>
        <row r="8">
          <cell r="A8" t="str">
            <v>own po won</v>
          </cell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1</v>
          </cell>
          <cell r="G8">
            <v>4</v>
          </cell>
          <cell r="H8">
            <v>0</v>
          </cell>
          <cell r="I8">
            <v>2</v>
          </cell>
          <cell r="J8">
            <v>2</v>
          </cell>
          <cell r="K8">
            <v>0</v>
          </cell>
          <cell r="L8">
            <v>3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15</v>
          </cell>
        </row>
        <row r="9">
          <cell r="A9" t="str">
            <v>point from placed</v>
          </cell>
          <cell r="B9">
            <v>1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7</v>
          </cell>
        </row>
        <row r="10">
          <cell r="A10" t="str">
            <v>point from play</v>
          </cell>
          <cell r="B10">
            <v>0</v>
          </cell>
          <cell r="C10">
            <v>1</v>
          </cell>
          <cell r="D10">
            <v>1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2</v>
          </cell>
          <cell r="M10">
            <v>2</v>
          </cell>
          <cell r="N10">
            <v>0</v>
          </cell>
          <cell r="O10">
            <v>2</v>
          </cell>
          <cell r="P10">
            <v>0</v>
          </cell>
          <cell r="Q10">
            <v>0</v>
          </cell>
          <cell r="R10">
            <v>14</v>
          </cell>
        </row>
        <row r="11">
          <cell r="A11" t="str">
            <v>posts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</row>
        <row r="12">
          <cell r="A12" t="str">
            <v>posts from placed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</row>
        <row r="13">
          <cell r="A13" t="str">
            <v>short from play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</row>
        <row r="14">
          <cell r="A14" t="str">
            <v>wide from placed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</row>
        <row r="15">
          <cell r="A15" t="str">
            <v>wide from play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</row>
        <row r="16">
          <cell r="A16" t="str">
            <v>All</v>
          </cell>
          <cell r="B16">
            <v>1</v>
          </cell>
          <cell r="C16">
            <v>3</v>
          </cell>
          <cell r="D16">
            <v>1</v>
          </cell>
          <cell r="E16">
            <v>10</v>
          </cell>
          <cell r="F16">
            <v>1</v>
          </cell>
          <cell r="G16">
            <v>10</v>
          </cell>
          <cell r="H16">
            <v>2</v>
          </cell>
          <cell r="I16">
            <v>6</v>
          </cell>
          <cell r="J16">
            <v>7</v>
          </cell>
          <cell r="K16">
            <v>5</v>
          </cell>
          <cell r="L16">
            <v>16</v>
          </cell>
          <cell r="M16">
            <v>4</v>
          </cell>
          <cell r="N16">
            <v>3</v>
          </cell>
          <cell r="O16">
            <v>2</v>
          </cell>
          <cell r="P16">
            <v>1</v>
          </cell>
          <cell r="Q16">
            <v>1</v>
          </cell>
          <cell r="R16">
            <v>73</v>
          </cell>
        </row>
      </sheetData>
      <sheetData sheetId="10">
        <row r="1">
          <cell r="A1" t="str">
            <v>player</v>
          </cell>
          <cell r="B1" t="str">
            <v>home</v>
          </cell>
        </row>
        <row r="2">
          <cell r="A2">
            <v>10</v>
          </cell>
          <cell r="B2">
            <v>12</v>
          </cell>
        </row>
        <row r="3">
          <cell r="A3">
            <v>11</v>
          </cell>
          <cell r="B3">
            <v>11</v>
          </cell>
        </row>
        <row r="4">
          <cell r="A4">
            <v>12</v>
          </cell>
          <cell r="B4">
            <v>1</v>
          </cell>
        </row>
        <row r="5">
          <cell r="A5">
            <v>13</v>
          </cell>
          <cell r="B5">
            <v>2</v>
          </cell>
        </row>
        <row r="6">
          <cell r="A6">
            <v>14</v>
          </cell>
          <cell r="B6">
            <v>3</v>
          </cell>
        </row>
        <row r="7">
          <cell r="A7">
            <v>15</v>
          </cell>
          <cell r="B7">
            <v>8</v>
          </cell>
        </row>
        <row r="8">
          <cell r="A8">
            <v>16</v>
          </cell>
          <cell r="B8">
            <v>1</v>
          </cell>
        </row>
        <row r="9">
          <cell r="A9">
            <v>18</v>
          </cell>
          <cell r="B9">
            <v>4</v>
          </cell>
        </row>
        <row r="10">
          <cell r="A10">
            <v>20</v>
          </cell>
          <cell r="B10">
            <v>1</v>
          </cell>
        </row>
        <row r="11">
          <cell r="A11">
            <v>4</v>
          </cell>
          <cell r="B11">
            <v>4</v>
          </cell>
        </row>
        <row r="12">
          <cell r="A12">
            <v>5</v>
          </cell>
          <cell r="B12">
            <v>3</v>
          </cell>
        </row>
        <row r="13">
          <cell r="A13">
            <v>6</v>
          </cell>
          <cell r="B13">
            <v>7</v>
          </cell>
        </row>
        <row r="14">
          <cell r="A14">
            <v>7</v>
          </cell>
          <cell r="B14">
            <v>6</v>
          </cell>
        </row>
        <row r="15">
          <cell r="A15">
            <v>9</v>
          </cell>
          <cell r="B15">
            <v>6</v>
          </cell>
        </row>
      </sheetData>
      <sheetData sheetId="11">
        <row r="1">
          <cell r="A1" t="str">
            <v>player</v>
          </cell>
          <cell r="B1" t="str">
            <v>home</v>
          </cell>
        </row>
        <row r="2">
          <cell r="A2">
            <v>10</v>
          </cell>
          <cell r="B2">
            <v>1</v>
          </cell>
        </row>
        <row r="3">
          <cell r="A3">
            <v>11</v>
          </cell>
          <cell r="B3">
            <v>4</v>
          </cell>
        </row>
        <row r="4">
          <cell r="A4">
            <v>14</v>
          </cell>
          <cell r="B4">
            <v>4</v>
          </cell>
        </row>
        <row r="5">
          <cell r="A5">
            <v>15</v>
          </cell>
          <cell r="B5">
            <v>2</v>
          </cell>
        </row>
        <row r="6">
          <cell r="A6">
            <v>16</v>
          </cell>
          <cell r="B6">
            <v>1</v>
          </cell>
        </row>
        <row r="7">
          <cell r="A7">
            <v>18</v>
          </cell>
          <cell r="B7">
            <v>4</v>
          </cell>
        </row>
        <row r="8">
          <cell r="A8">
            <v>2</v>
          </cell>
          <cell r="B8">
            <v>2</v>
          </cell>
        </row>
        <row r="9">
          <cell r="A9">
            <v>3</v>
          </cell>
          <cell r="B9">
            <v>2</v>
          </cell>
        </row>
        <row r="10">
          <cell r="A10">
            <v>4</v>
          </cell>
          <cell r="B10">
            <v>1</v>
          </cell>
        </row>
        <row r="11">
          <cell r="A11">
            <v>5</v>
          </cell>
          <cell r="B11">
            <v>6</v>
          </cell>
        </row>
        <row r="12">
          <cell r="A12">
            <v>6</v>
          </cell>
          <cell r="B12">
            <v>1</v>
          </cell>
        </row>
        <row r="13">
          <cell r="A13">
            <v>7</v>
          </cell>
          <cell r="B13">
            <v>2</v>
          </cell>
        </row>
        <row r="14">
          <cell r="A14">
            <v>8</v>
          </cell>
          <cell r="B14">
            <v>4</v>
          </cell>
        </row>
        <row r="15">
          <cell r="A15">
            <v>9</v>
          </cell>
          <cell r="B1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297-C438-9A48-B817-244172334197}">
  <dimension ref="B2:J30"/>
  <sheetViews>
    <sheetView workbookViewId="0">
      <selection activeCell="G28" sqref="G28"/>
    </sheetView>
  </sheetViews>
  <sheetFormatPr baseColWidth="10" defaultColWidth="11" defaultRowHeight="13" x14ac:dyDescent="0.15"/>
  <cols>
    <col min="6" max="6" width="14.1640625" bestFit="1" customWidth="1"/>
  </cols>
  <sheetData>
    <row r="2" spans="2:10" ht="15" x14ac:dyDescent="0.2">
      <c r="B2" s="2" t="s">
        <v>14</v>
      </c>
      <c r="C2" s="1"/>
      <c r="D2" s="1"/>
      <c r="E2" s="1"/>
      <c r="F2" s="2" t="s">
        <v>20</v>
      </c>
      <c r="G2" s="1"/>
      <c r="H2" s="1"/>
    </row>
    <row r="3" spans="2:10" ht="15" x14ac:dyDescent="0.2">
      <c r="B3" s="1"/>
      <c r="C3" s="1" t="str">
        <f>[1]Match!$B1</f>
        <v>away</v>
      </c>
      <c r="D3" s="1" t="str">
        <f>[1]Match!$C1</f>
        <v>home</v>
      </c>
      <c r="E3" s="1"/>
      <c r="F3" s="1"/>
      <c r="G3" s="1" t="str">
        <f>[1]Match!$B1</f>
        <v>away</v>
      </c>
      <c r="H3" s="1" t="str">
        <f>[1]Match!$C1</f>
        <v>home</v>
      </c>
    </row>
    <row r="4" spans="2:10" ht="15" x14ac:dyDescent="0.2">
      <c r="B4" s="1" t="s">
        <v>18</v>
      </c>
      <c r="C4" s="1">
        <f>SUMIF([1]Match!A:A, "opp goal*", [1]Match!B:B)</f>
        <v>1</v>
      </c>
      <c r="D4" s="1">
        <f>SUMIF([1]Match!A:A, "goal*", [1]Match!C:C)</f>
        <v>2</v>
      </c>
      <c r="E4" s="1"/>
      <c r="F4" s="1" t="s">
        <v>22</v>
      </c>
      <c r="G4" s="1">
        <f>SUMIF([1]Match!A:A, "opp wide*", [1]Match!B:B)</f>
        <v>10</v>
      </c>
      <c r="H4" s="1">
        <f>SUMIF([1]Match!A:A, "wide*", [1]Match!C:C)</f>
        <v>4</v>
      </c>
    </row>
    <row r="5" spans="2:10" ht="15" x14ac:dyDescent="0.2">
      <c r="B5" s="1" t="s">
        <v>19</v>
      </c>
      <c r="C5" s="1">
        <f>SUMIF([1]Match!A:A, "opp point*", [1]Match!B:B)</f>
        <v>18</v>
      </c>
      <c r="D5" s="1">
        <f>SUMIF([1]Match!A:A, "point*", [1]Match!C:C)</f>
        <v>22</v>
      </c>
      <c r="E5" s="1"/>
      <c r="F5" s="1" t="s">
        <v>2</v>
      </c>
      <c r="G5" s="1">
        <f>SUMIF([1]Match!A:A, "opp short*", [1]Match!B:B)</f>
        <v>1</v>
      </c>
      <c r="H5" s="1">
        <f>SUMIF([1]Match!A:A, "short*", [1]Match!C:C)</f>
        <v>2</v>
      </c>
    </row>
    <row r="6" spans="2:10" ht="15" x14ac:dyDescent="0.2">
      <c r="B6" s="1" t="s">
        <v>1</v>
      </c>
      <c r="C6" s="1">
        <f>SUM(C4:C5)</f>
        <v>19</v>
      </c>
      <c r="D6" s="1">
        <f>SUM(D4:D5)</f>
        <v>24</v>
      </c>
      <c r="E6" s="1"/>
      <c r="F6" s="1" t="s">
        <v>23</v>
      </c>
      <c r="G6" s="1">
        <f>SUMIF([1]Match!A:A, "opp post*", [1]Match!B:B)</f>
        <v>0</v>
      </c>
      <c r="H6" s="1">
        <f>SUMIF([1]Match!A:A, "post*", [1]Match!C:C)</f>
        <v>2</v>
      </c>
    </row>
    <row r="7" spans="2:10" ht="15" x14ac:dyDescent="0.2">
      <c r="B7" s="1" t="s">
        <v>0</v>
      </c>
      <c r="C7" s="1">
        <f>C5+(C4*3)</f>
        <v>21</v>
      </c>
      <c r="D7" s="1">
        <f>D5+(D4*3)</f>
        <v>28</v>
      </c>
      <c r="E7" s="1"/>
      <c r="F7" s="1" t="s">
        <v>24</v>
      </c>
      <c r="G7" s="1">
        <f>SUMIF([1]Match!A:A, "opp save*", [1]Match!B:B)</f>
        <v>3</v>
      </c>
      <c r="H7" s="1">
        <f>SUMIF([1]Match!A:A, "save*", [1]Match!C:C)</f>
        <v>0</v>
      </c>
    </row>
    <row r="8" spans="2:10" ht="15" x14ac:dyDescent="0.2">
      <c r="B8" s="1"/>
      <c r="C8" s="1"/>
      <c r="D8" s="1"/>
      <c r="E8" s="1"/>
      <c r="F8" s="1" t="s">
        <v>3</v>
      </c>
      <c r="G8" s="1">
        <f>SUMIF([1]Match!A:A, "opp 65*", [1]Match!B:B)</f>
        <v>0</v>
      </c>
      <c r="H8" s="1">
        <f>SUMIF([1]Match!A:A, "65*", [1]Match!C:C)</f>
        <v>0</v>
      </c>
    </row>
    <row r="9" spans="2:10" ht="15" x14ac:dyDescent="0.2">
      <c r="B9" s="1"/>
      <c r="C9" s="1"/>
      <c r="D9" s="1"/>
      <c r="E9" s="1"/>
      <c r="F9" s="1" t="s">
        <v>18</v>
      </c>
      <c r="G9" s="1">
        <f>SUMIF([1]Match!A:A, "opp goal*", [1]Match!B:B)</f>
        <v>1</v>
      </c>
      <c r="H9" s="1">
        <f>SUMIF([1]Match!A:A, "goal*", [1]Match!C:C)</f>
        <v>2</v>
      </c>
    </row>
    <row r="10" spans="2:10" ht="15" x14ac:dyDescent="0.2">
      <c r="B10" s="2" t="s">
        <v>42</v>
      </c>
      <c r="C10" s="1"/>
      <c r="D10" s="1"/>
      <c r="E10" s="1"/>
      <c r="F10" s="1" t="s">
        <v>25</v>
      </c>
      <c r="G10" s="1">
        <f>SUMIF([1]Match!A:A, "opp goal*play", [1]Match!B:B)</f>
        <v>0</v>
      </c>
      <c r="H10" s="1">
        <f>SUMIF([1]Match!A:A, "goal*play", [1]Match!C:C)</f>
        <v>2</v>
      </c>
    </row>
    <row r="11" spans="2:10" ht="15" x14ac:dyDescent="0.2">
      <c r="B11" s="1"/>
      <c r="C11" s="1" t="str">
        <f>[1]Match!$B1</f>
        <v>away</v>
      </c>
      <c r="D11" s="1" t="str">
        <f>[1]Match!$C1</f>
        <v>home</v>
      </c>
      <c r="E11" s="1"/>
      <c r="F11" s="1" t="s">
        <v>26</v>
      </c>
      <c r="G11" s="1">
        <f>SUMIF([1]Match!A:A, "opp goal*placed", [1]Match!B:B) + SUMIF([1]Match!A:A, "goal*65", [1]Match!B:B)</f>
        <v>0</v>
      </c>
      <c r="H11" s="1">
        <f>SUMIF([1]Match!A:A, "goal*placed", [1]Match!C:C) + SUMIF([1]Match!A:A, "goal*65", [1]Match!C:C)</f>
        <v>0</v>
      </c>
    </row>
    <row r="12" spans="2:10" ht="15" x14ac:dyDescent="0.2">
      <c r="B12" s="1" t="s">
        <v>0</v>
      </c>
      <c r="C12" s="1">
        <f>SUM(C13:C14)</f>
        <v>23</v>
      </c>
      <c r="D12" s="1">
        <f>SUM(D13:D14)</f>
        <v>28</v>
      </c>
      <c r="E12" s="1"/>
      <c r="F12" s="1" t="s">
        <v>19</v>
      </c>
      <c r="G12" s="1">
        <f>SUMIF([1]Match!A:A, "opp point*", [1]Match!B:B)</f>
        <v>18</v>
      </c>
      <c r="H12" s="1">
        <f>SUMIF([1]Match!A:A, "point*", [1]Match!C:C)</f>
        <v>22</v>
      </c>
    </row>
    <row r="13" spans="2:10" ht="15" x14ac:dyDescent="0.2">
      <c r="B13" s="1" t="s">
        <v>16</v>
      </c>
      <c r="C13" s="1">
        <f>SUMIF([1]Match!A:A, "opp po*won*", [1]Match!B:B)</f>
        <v>13</v>
      </c>
      <c r="D13" s="1">
        <f>SUMIF([1]Match!A:A, "own*won", [1]Match!C:C)</f>
        <v>15</v>
      </c>
      <c r="E13" s="1"/>
      <c r="F13" s="1" t="s">
        <v>27</v>
      </c>
      <c r="G13" s="1">
        <f>SUMIF([1]Match!A:A, "opp point*play", [1]Match!B:B)</f>
        <v>13</v>
      </c>
      <c r="H13" s="1">
        <f>SUMIF([1]Match!A:A, "point*play", [1]Match!C:C)</f>
        <v>15</v>
      </c>
    </row>
    <row r="14" spans="2:10" ht="15" x14ac:dyDescent="0.2">
      <c r="B14" s="1" t="s">
        <v>17</v>
      </c>
      <c r="C14" s="1">
        <f>SUMIF([1]Match!A:A, "opp po*lost*", [1]Match!B:B)</f>
        <v>10</v>
      </c>
      <c r="D14" s="1">
        <f>SUMIF([1]Match!A:A, "own*lost", [1]Match!C:C)</f>
        <v>13</v>
      </c>
      <c r="E14" s="1"/>
      <c r="F14" s="1" t="s">
        <v>28</v>
      </c>
      <c r="G14" s="1">
        <f>SUMIF([1]Match!A:A, "opp point*placed", [1]Match!B:B) + SUMIF([1]Match!A:A, "point*65", [1]Match!B:B)</f>
        <v>4</v>
      </c>
      <c r="H14" s="1">
        <f>SUMIF([1]Match!A:A, "point*placed", [1]Match!C:C) + SUMIF([1]Match!A:A, "point*65", [1]Match!C:C)</f>
        <v>7</v>
      </c>
    </row>
    <row r="15" spans="2:10" ht="15" x14ac:dyDescent="0.2">
      <c r="B15" s="1" t="s">
        <v>41</v>
      </c>
      <c r="C15" s="4">
        <f>(C13+D14)/(C12+D12)</f>
        <v>0.50980392156862742</v>
      </c>
      <c r="D15" s="4">
        <f>(D13+C14)/(C12+D12)</f>
        <v>0.49019607843137253</v>
      </c>
      <c r="E15" s="1"/>
      <c r="F15" s="1" t="s">
        <v>43</v>
      </c>
      <c r="G15" s="1">
        <f>SUMIF([1]Match!A:A, "opp attack*", [1]Match!B:B)</f>
        <v>47</v>
      </c>
      <c r="H15" s="1">
        <f>SUMIF([1]Match!A:A, "attack*", [1]Match!C:C)</f>
        <v>40</v>
      </c>
      <c r="J15" t="s">
        <v>59</v>
      </c>
    </row>
    <row r="16" spans="2:10" ht="15" x14ac:dyDescent="0.2">
      <c r="B16" s="1" t="s">
        <v>47</v>
      </c>
      <c r="C16" s="4">
        <f>C13/C12</f>
        <v>0.56521739130434778</v>
      </c>
      <c r="D16" s="4">
        <f>D13/D12</f>
        <v>0.5357142857142857</v>
      </c>
      <c r="E16" s="1"/>
      <c r="F16" s="1" t="s">
        <v>21</v>
      </c>
      <c r="G16" s="1">
        <f>SUM(G4,G5,G6,G7,G8,G9,G12)</f>
        <v>33</v>
      </c>
      <c r="H16" s="1">
        <f>SUM(H4,H5,H6,H7,H8,H9,H12)</f>
        <v>32</v>
      </c>
    </row>
    <row r="17" spans="2:8" ht="15" x14ac:dyDescent="0.2">
      <c r="B17" s="1" t="s">
        <v>48</v>
      </c>
      <c r="C17" s="4">
        <f>D14/D12</f>
        <v>0.4642857142857143</v>
      </c>
      <c r="D17" s="4">
        <f>C14/C12</f>
        <v>0.43478260869565216</v>
      </c>
      <c r="E17" s="1"/>
      <c r="F17" s="1" t="s">
        <v>1</v>
      </c>
      <c r="G17" s="1">
        <f>SUM(C4:C5)</f>
        <v>19</v>
      </c>
      <c r="H17" s="1">
        <f>SUM(D4:D5)</f>
        <v>24</v>
      </c>
    </row>
    <row r="18" spans="2:8" ht="15" x14ac:dyDescent="0.2">
      <c r="B18" s="1"/>
      <c r="C18" s="1"/>
      <c r="D18" s="1"/>
      <c r="E18" s="1"/>
      <c r="F18" s="1" t="s">
        <v>45</v>
      </c>
      <c r="G18" s="1">
        <f>G13+G10</f>
        <v>13</v>
      </c>
      <c r="H18" s="1">
        <f>H13+H10</f>
        <v>17</v>
      </c>
    </row>
    <row r="19" spans="2:8" ht="15" x14ac:dyDescent="0.2">
      <c r="B19" s="1"/>
      <c r="C19" s="1"/>
      <c r="D19" s="1"/>
      <c r="E19" s="1"/>
      <c r="F19" s="1" t="s">
        <v>46</v>
      </c>
      <c r="G19" s="1">
        <f>G11+G14</f>
        <v>4</v>
      </c>
      <c r="H19" s="1">
        <f>H11+H14</f>
        <v>7</v>
      </c>
    </row>
    <row r="20" spans="2:8" ht="15" x14ac:dyDescent="0.2">
      <c r="B20" s="1"/>
      <c r="C20" s="1"/>
      <c r="D20" s="1"/>
      <c r="E20" s="1"/>
      <c r="F20" s="1" t="s">
        <v>44</v>
      </c>
      <c r="G20" s="4">
        <f>IFERROR(G16/G15,0)</f>
        <v>0.7021276595744681</v>
      </c>
      <c r="H20" s="4">
        <f>IFERROR(H16/H15,0)</f>
        <v>0.8</v>
      </c>
    </row>
    <row r="21" spans="2:8" ht="15" x14ac:dyDescent="0.2">
      <c r="B21" s="1"/>
      <c r="C21" s="1"/>
      <c r="D21" s="1"/>
      <c r="E21" s="1"/>
      <c r="F21" s="1" t="s">
        <v>29</v>
      </c>
      <c r="G21" s="4">
        <f>G17/G16</f>
        <v>0.5757575757575758</v>
      </c>
      <c r="H21" s="4">
        <f>H17/H16</f>
        <v>0.75</v>
      </c>
    </row>
    <row r="22" spans="2:8" ht="15" x14ac:dyDescent="0.2">
      <c r="B22" s="1"/>
      <c r="C22" s="1"/>
      <c r="D22" s="1"/>
      <c r="E22" s="1"/>
      <c r="F22" s="1"/>
      <c r="G22" s="1"/>
      <c r="H22" s="1"/>
    </row>
    <row r="23" spans="2:8" ht="15" x14ac:dyDescent="0.2">
      <c r="B23" s="1"/>
      <c r="C23" s="1"/>
      <c r="D23" s="1"/>
      <c r="E23" s="1"/>
      <c r="F23" s="2" t="s">
        <v>40</v>
      </c>
      <c r="G23" s="1"/>
      <c r="H23" s="1"/>
    </row>
    <row r="24" spans="2:8" ht="15" x14ac:dyDescent="0.2">
      <c r="B24" s="1"/>
      <c r="C24" s="1"/>
      <c r="D24" s="1"/>
      <c r="E24" s="1"/>
      <c r="F24" s="1"/>
      <c r="G24" s="1" t="str">
        <f>[1]Match!$B1</f>
        <v>away</v>
      </c>
      <c r="H24" s="1" t="str">
        <f>[1]Match!$C1</f>
        <v>home</v>
      </c>
    </row>
    <row r="25" spans="2:8" ht="15" x14ac:dyDescent="0.2">
      <c r="B25" s="1"/>
      <c r="C25" s="1"/>
      <c r="D25" s="1"/>
      <c r="E25" s="1"/>
      <c r="F25" s="1" t="s">
        <v>50</v>
      </c>
      <c r="G25" s="1">
        <f>SUMIF([1]Match!A:A, "yellow*", [1]Match!B:B)</f>
        <v>0</v>
      </c>
      <c r="H25" s="1">
        <f>SUMIF([1]Match!A:A, "yellow*", [1]Match!C:C)</f>
        <v>0</v>
      </c>
    </row>
    <row r="26" spans="2:8" ht="15" x14ac:dyDescent="0.2">
      <c r="B26" s="1"/>
      <c r="C26" s="1"/>
      <c r="D26" s="1"/>
      <c r="E26" s="1"/>
      <c r="F26" s="1" t="s">
        <v>51</v>
      </c>
      <c r="G26" s="1">
        <f>SUMIF([1]Match!A:A, "red*", [1]Match!B:B)</f>
        <v>0</v>
      </c>
      <c r="H26" s="1">
        <f>SUMIF([1]Match!A:A, "red*", [1]Match!C:C)</f>
        <v>0</v>
      </c>
    </row>
    <row r="27" spans="2:8" ht="15" x14ac:dyDescent="0.2">
      <c r="B27" s="1"/>
      <c r="C27" s="1"/>
      <c r="D27" s="1"/>
      <c r="E27" s="1"/>
      <c r="F27" s="1" t="s">
        <v>52</v>
      </c>
      <c r="G27" s="1">
        <f>SUMIF([1]Match!A:A, "black*", [1]Match!B:B)</f>
        <v>0</v>
      </c>
      <c r="H27" s="1">
        <f>SUMIF([1]Match!A:A, "black*", [1]Match!C:C)</f>
        <v>0</v>
      </c>
    </row>
    <row r="28" spans="2:8" ht="15" x14ac:dyDescent="0.2">
      <c r="B28" s="1"/>
      <c r="C28" s="1"/>
      <c r="D28" s="1"/>
      <c r="E28" s="1"/>
      <c r="F28" s="1" t="s">
        <v>4</v>
      </c>
      <c r="G28" s="1">
        <f>SUMIF([1]Match!A:A, "opp free*", [1]Match!B:B)</f>
        <v>14</v>
      </c>
      <c r="H28" s="1">
        <f>SUMIF([1]Match!A:A, "free*", [1]Match!C:C)</f>
        <v>12</v>
      </c>
    </row>
    <row r="29" spans="2:8" ht="15" x14ac:dyDescent="0.2">
      <c r="B29" s="1"/>
      <c r="C29" s="1"/>
      <c r="D29" s="1"/>
      <c r="E29" s="1"/>
    </row>
    <row r="30" spans="2:8" ht="15" x14ac:dyDescent="0.2">
      <c r="B30" s="1"/>
      <c r="C30" s="1"/>
      <c r="D30" s="1"/>
      <c r="E30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7DD5-CFD4-0845-9A45-0066A801B41C}">
  <dimension ref="A1:I20"/>
  <sheetViews>
    <sheetView workbookViewId="0">
      <selection activeCell="E3" sqref="E3"/>
    </sheetView>
  </sheetViews>
  <sheetFormatPr baseColWidth="10" defaultColWidth="11" defaultRowHeight="13" x14ac:dyDescent="0.15"/>
  <sheetData>
    <row r="1" spans="1:9" ht="15" x14ac:dyDescent="0.2">
      <c r="A1" s="1"/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5" t="s">
        <v>67</v>
      </c>
      <c r="I1" s="5" t="s">
        <v>68</v>
      </c>
    </row>
    <row r="2" spans="1:9" ht="15" x14ac:dyDescent="0.2">
      <c r="A2" s="1" t="str">
        <f>[1]Players1!$B$1</f>
        <v>10</v>
      </c>
      <c r="B2" s="1">
        <f>SUMIF([1]Players1!$A$1:$A$15, "opp goal*", [1]Players1!$B$1:$B$15)</f>
        <v>0</v>
      </c>
      <c r="C2" s="1">
        <f>SUMIF([1]Players1!$A$1:$A$15, "opp point*", [1]Players1!$B$1:$B$15)</f>
        <v>0</v>
      </c>
      <c r="D2" s="1">
        <f>SUMIF([1]Players1!$A$1:$A$15, "opp*from free", [1]Players1!$B$1:$B$15)</f>
        <v>0</v>
      </c>
      <c r="E2" s="1">
        <f>SUMIF([1]Players1!$A$1:$A$15, "opp saved*", [1]Players1!$B$1:$B$15)+SUMIF([1]Players1!$A$1:$A$15, "opp wide*", [1]Players1!$B$1:$B$15)+SUMIF([1]Players1!$A$1:$A$15, "opp short*", [1]Players1!$B$1:$B$15)+SUMIF([1]Players1!$A$1:$A$15, "opp 65*", [1]Players1!$B$1:$B$15)+B2+C2</f>
        <v>1</v>
      </c>
      <c r="F2" s="4">
        <f t="shared" ref="F2:F20" si="0">IFERROR((B2+C2)/E2,0)</f>
        <v>0</v>
      </c>
      <c r="G2" s="1">
        <f>SUMIF([1]Players1!$A$1:$A$15, "opp free*ed", [1]Players1!$B$1:$B$15)</f>
        <v>0</v>
      </c>
    </row>
    <row r="3" spans="1:9" ht="15" x14ac:dyDescent="0.2">
      <c r="A3" s="1" t="str">
        <f>[1]Players1!$C$1</f>
        <v>11</v>
      </c>
      <c r="B3" s="1">
        <f>SUMIF([1]Players1!$A$1:$A$15, "opp goal*", [1]Players1!$C$1:$C$15)</f>
        <v>0</v>
      </c>
      <c r="C3" s="1">
        <f>SUMIF([1]Players1!$A$1:$A$15, "opp point*", [1]Players1!$C$1:$C$15)</f>
        <v>0</v>
      </c>
      <c r="D3" s="1">
        <f>SUMIF([1]Players1!$A$1:$A$15, "opp*from free", [1]Players1!$C$1:$C$15)</f>
        <v>0</v>
      </c>
      <c r="E3" s="1">
        <f>SUMIF([1]Players1!$A$1:$A$15, "opp saved*", [1]Players1!$C$1:$C$15)+SUMIF([1]Players1!$A$1:$A$15, "opp wide*", [1]Players1!$C$1:$C$15)+SUMIF([1]Players1!$A$1:$A$15, "opp short*", [1]Players1!$C$1:$C$15)+SUMIF([1]Players1!$A$1:$A$15, "opp out*", [1]Players1!$C$1:$C$15)+B3+C3</f>
        <v>2</v>
      </c>
      <c r="F3" s="4">
        <f t="shared" si="0"/>
        <v>0</v>
      </c>
      <c r="G3" s="1">
        <f>SUMIF([1]Players1!$A$1:$A$15, "opp free*ed", [1]Players1!$C$1:$C$15)</f>
        <v>0</v>
      </c>
    </row>
    <row r="4" spans="1:9" ht="15" x14ac:dyDescent="0.2">
      <c r="A4" s="1" t="str">
        <f>[1]Players1!$D$1</f>
        <v>13</v>
      </c>
      <c r="B4" s="1">
        <f>SUMIF([1]Players1!$A$1:$A$15, "opp goal*", [1]Players1!$D$1:$D$15)</f>
        <v>0</v>
      </c>
      <c r="C4" s="1">
        <f>SUMIF([1]Players1!$A$1:$A$15, "opp point*", [1]Players1!$D$1:$D$15)</f>
        <v>5</v>
      </c>
      <c r="D4" s="1">
        <f>SUMIF([1]Players1!$A$1:$A$15,"opp*from free", [1]Players1!$D$1:$D$15)</f>
        <v>0</v>
      </c>
      <c r="E4" s="1">
        <f>SUMIF([1]Players1!$A$1:$A$15, "opp saved*", [1]Players1!$D$1:$D$15)+SUMIF([1]Players1!$A$1:$A$15, "opp wide*", [1]Players1!$D$1:$D$15)+SUMIF([1]Players1!$A$1:$A$15, "opp short*", [1]Players1!$D$1:$D$15)+SUMIF([1]Players1!$A$1:$A$15, "opp out*", [1]Players1!$D$1:$D$15)+B4+C4</f>
        <v>5</v>
      </c>
      <c r="F4" s="4">
        <f t="shared" si="0"/>
        <v>1</v>
      </c>
      <c r="G4" s="1">
        <f>SUMIF([1]Players1!$A$1:$A$15,"opp free*ed", [1]Players1!$D$1:$D$15)</f>
        <v>0</v>
      </c>
    </row>
    <row r="5" spans="1:9" ht="15" x14ac:dyDescent="0.2">
      <c r="A5" s="1" t="str">
        <f>[1]Players1!$E$1</f>
        <v>14</v>
      </c>
      <c r="B5" s="1">
        <f>SUMIF([1]Players1!$A$1:$A$15, "opp goal*", [1]Players1!$E$1:$E$15)</f>
        <v>0</v>
      </c>
      <c r="C5" s="1">
        <f>SUMIF([1]Players1!$A$1:$A$15, "opp point*", [1]Players1!$E$1:$E$15)</f>
        <v>2</v>
      </c>
      <c r="D5" s="1">
        <f>SUMIF([1]Players1!$A$1:$A$15, "opp*from free", [1]Players1!$E$1:$E$15)</f>
        <v>0</v>
      </c>
      <c r="E5" s="1">
        <f>SUMIF([1]Players1!$A$1:$A$15, "opp saved*", [1]Players1!$E$1:$E$15)+SUMIF([1]Players1!$A$1:$A$15, "opp wide*", [1]Players1!$E$1:$E$15)+SUMIF([1]Players1!$A$1:$A$15, "opp short*", [1]Players1!$E$1:$E$15)+SUMIF([1]Players1!$A$1:$A$15, "opp out*", [1]Players1!$E$1:$E$15)+B5+C5</f>
        <v>2</v>
      </c>
      <c r="F5" s="4">
        <f t="shared" si="0"/>
        <v>1</v>
      </c>
      <c r="G5" s="1">
        <f>SUMIF([1]Players1!$A$1:$A$15, "opp free*ed", [1]Players1!$E$1:$E$15)</f>
        <v>0</v>
      </c>
    </row>
    <row r="6" spans="1:9" ht="15" x14ac:dyDescent="0.2">
      <c r="A6" s="1" t="str">
        <f>[1]Players1!$F$1</f>
        <v>19</v>
      </c>
      <c r="B6" s="1">
        <f>SUMIF([1]Players1!$A$1:$A$15, "opp goal*", [1]Players1!$F$1:$F$15)</f>
        <v>0</v>
      </c>
      <c r="C6" s="1">
        <f>SUMIF([1]Players1!$A$1:$A$15, "opp point*", [1]Players1!$F$1:$F$15)</f>
        <v>1</v>
      </c>
      <c r="D6" s="1">
        <f>SUMIF([1]Players1!$A$1:$A$15, "opp*from free", [1]Players1!$F$1:$F$15)</f>
        <v>0</v>
      </c>
      <c r="E6" s="1">
        <f>SUMIF([1]Players1!$A$1:$A$15, "opp saved*", [1]Players1!$F$1:$F$15)+SUMIF([1]Players1!$A$1:$A$15, "opp wide*",  [1]Players1!$F$1:$F$15)+SUMIF([1]Players1!$A$1:$A$15, "opp short*",  [1]Players1!$F$1:$F$15)+SUMIF([1]Players1!$A$1:$A$15, "opp out*",  [1]Players1!$F$1:$F$15)+B6+C6</f>
        <v>1</v>
      </c>
      <c r="F6" s="4">
        <f t="shared" si="0"/>
        <v>1</v>
      </c>
      <c r="G6" s="1">
        <f>SUMIF([1]Players1!$A$1:$A$15, "opp free*ed", [1]Players1!$F$1:$F$15)</f>
        <v>0</v>
      </c>
    </row>
    <row r="7" spans="1:9" ht="15" x14ac:dyDescent="0.2">
      <c r="A7" s="1" t="str">
        <f>[1]Players1!$G$1</f>
        <v>2</v>
      </c>
      <c r="B7" s="1">
        <f>SUMIF([1]Players1!$A$1:$A$15, "opp goal*", [1]Players1!$G$1:$G$15)</f>
        <v>0</v>
      </c>
      <c r="C7" s="1">
        <f>SUMIF([1]Players1!$A$1:$A$15, "opp point*", [1]Players1!$G$1:$G$15)</f>
        <v>0</v>
      </c>
      <c r="D7" s="1">
        <f>SUMIF([1]Players1!$A$1:$A$15, "opp*from free", [1]Players1!$G$1:$G$15)</f>
        <v>0</v>
      </c>
      <c r="E7" s="1">
        <f>SUMIF([1]Players1!$A$1:$A$15, "opp saved*", [1]Players1!$G$1:$G$15)+SUMIF([1]Players1!$A$1:$A$15, "opp wide*", [1]Players1!$G$1:$G$15)+SUMIF([1]Players1!$A$1:$A$15, "opp short*", [1]Players1!$G$1:$G$15)+SUMIF([1]Players1!$A$1:$A$15, "opp out*", [1]Players1!$G$1:$G$15)+B7+C7</f>
        <v>0</v>
      </c>
      <c r="F7" s="4">
        <f t="shared" si="0"/>
        <v>0</v>
      </c>
      <c r="G7" s="1">
        <f>SUMIF([1]Players1!$A$1:$A$15, "opp free*ed", [1]Players1!$G$1:$G$15)</f>
        <v>0</v>
      </c>
    </row>
    <row r="8" spans="1:9" ht="15" x14ac:dyDescent="0.2">
      <c r="A8" s="1" t="str">
        <f>[1]Players1!$H$1</f>
        <v>20</v>
      </c>
      <c r="B8" s="1">
        <f>SUMIF([1]Players1!$A$1:$A$15, "opp goal*", [1]Players1!$H$1:$H$15)</f>
        <v>0</v>
      </c>
      <c r="C8" s="1">
        <f>SUMIF([1]Players1!$A$1:$A$15, "opp point*", [1]Players1!$H$1:$H$15)</f>
        <v>1</v>
      </c>
      <c r="D8" s="1">
        <f>SUMIF([1]Players1!$A$1:$A$15,"*oppfrom free", [1]Players1!$H$1:$H$15)</f>
        <v>0</v>
      </c>
      <c r="E8" s="1">
        <f>SUMIF([1]Players1!$A$1:$A$15, "opp saved*", [1]Players1!$H$1:$H$15)+SUMIF([1]Players1!$A$1:$A$15, "opp wide*", [1]Players1!$H$1:$H$15)+SUMIF([1]Players1!$A$1:$A$15, "opp short*", [1]Players1!$H$1:$H$15)+SUMIF([1]Players1!$A$1:$A$15, "opp out*", [1]Players1!$H$1:$H$15)+B8+C8</f>
        <v>1</v>
      </c>
      <c r="F8" s="4">
        <f t="shared" si="0"/>
        <v>1</v>
      </c>
      <c r="G8" s="1">
        <f>SUMIF([1]Players1!$A$1:$A$15,"opp free*ed", [1]Players1!$H$1:$H$15)</f>
        <v>0</v>
      </c>
    </row>
    <row r="9" spans="1:9" ht="15" x14ac:dyDescent="0.2">
      <c r="A9" s="1" t="str">
        <f>[1]Players1!$I$1</f>
        <v>6</v>
      </c>
      <c r="B9" s="1">
        <f>SUMIF([1]Players1!$A$1:$A$15, "opp goal*", [1]Players1!$I$1:$I$15)</f>
        <v>0</v>
      </c>
      <c r="C9" s="1">
        <f>SUMIF([1]Players1!$A$1:$A$15, "opp point*", [1]Players1!$I$1:$I$15)</f>
        <v>1</v>
      </c>
      <c r="D9" s="1">
        <f>SUMIF([1]Players1!$A$1:$A$15, "opp*from free", [1]Players1!$I$1:$I$15)</f>
        <v>0</v>
      </c>
      <c r="E9" s="1">
        <f>SUMIF([1]Players1!$A$1:$A$15, "opp saved*", [1]Players1!$I$1:$I$15)+SUMIF([1]Players1!$A$1:$A$15, "opp wide*", [1]Players1!$I$1:$I$15)+SUMIF([1]Players1!$A$1:$A$15, "opp short*", [1]Players1!$I$1:$I$15)+SUMIF([1]Players1!$A$1:$A$15, "opp out*", [1]Players1!$I$1:$I$15)+B9+C9</f>
        <v>2</v>
      </c>
      <c r="F9" s="4">
        <f t="shared" si="0"/>
        <v>0.5</v>
      </c>
      <c r="G9" s="1">
        <f>SUMIF([1]Players1!$A$1:$A$15, "opp free*ed", [1]Players1!$I$1:$I$15)</f>
        <v>0</v>
      </c>
    </row>
    <row r="10" spans="1:9" ht="15" x14ac:dyDescent="0.2">
      <c r="A10" s="1" t="str">
        <f>[1]Players1!$J$1</f>
        <v>9</v>
      </c>
      <c r="B10" s="1">
        <f>SUMIF([1]Players1!$A$1:$A$15, "opp goal*", [1]Players1!$J$1:$J$15)</f>
        <v>1</v>
      </c>
      <c r="C10" s="1">
        <f>SUMIF([1]Players1!$A$1:$A$15, "opp point*", [1]Players1!$J$1:$J$15)</f>
        <v>1</v>
      </c>
      <c r="D10" s="1">
        <f>SUMIF([1]Players1!$A$1:$A$15, "opp*from free", [1]Players1!$J$1:$J$15)</f>
        <v>0</v>
      </c>
      <c r="E10" s="1">
        <f>SUMIF([1]Players1!$A$1:$A$15, "opp saved*", [1]Players1!$J$1:$J$15)+SUMIF([1]Players1!$A$1:$A$15, "opp wide*", [1]Players1!$J$1:$J$15)+SUMIF([1]Players1!$A$1:$A$15, "opp short*", [1]Players1!$J$1:$J$15)+SUMIF([1]Players1!$A$1:$A$15, "opp out*", [1]Players1!$J$1:$J$15)+B10+C10</f>
        <v>5</v>
      </c>
      <c r="F10" s="4">
        <f t="shared" si="0"/>
        <v>0.4</v>
      </c>
      <c r="G10" s="1">
        <f>SUMIF([1]Players1!$A$1:$A$15, "opp free*ed", [1]Players1!$J$1:$J$15)</f>
        <v>0</v>
      </c>
    </row>
    <row r="11" spans="1:9" ht="15" x14ac:dyDescent="0.2">
      <c r="A11" s="1" t="str">
        <f>[1]Players1!$K$1</f>
        <v>All</v>
      </c>
      <c r="B11" s="1">
        <f>SUMIF([1]Players1!$A$1:$A$15, "opp goal*", [1]Players1!$K$1:$K$15)</f>
        <v>1</v>
      </c>
      <c r="C11" s="1">
        <f>SUMIF([1]Players1!$A$1:$A$15, "opp point*", [1]Players1!$K$1:$K$15)</f>
        <v>11</v>
      </c>
      <c r="D11" s="1">
        <f>SUMIF([1]Players1!$A$1:$A$15, "opp*from free", [1]Players1!$K$1:$K$15)</f>
        <v>0</v>
      </c>
      <c r="E11" s="1">
        <f>SUMIF([1]Players1!$A$1:$A$15, "opp saved*", [1]Players1!$K$1:$K$15)+SUMIF([1]Players1!$A$1:$A$15, "opp wide*", [1]Players1!$K$1:$K$15)+SUMIF([1]Players1!$A$1:$A$15, "opp short*", [1]Players1!$K$1:$K$15)+SUMIF([1]Players1!$A$1:$A$15, "opp out*", [1]Players1!$K$1:$K$15)+B11+C11</f>
        <v>19</v>
      </c>
      <c r="F11" s="4">
        <f t="shared" si="0"/>
        <v>0.63157894736842102</v>
      </c>
      <c r="G11" s="1">
        <f>SUMIF([1]Players1!$A$1:$A$15, "opp free*ed", [1]Players1!$K$1:$K$15)</f>
        <v>0</v>
      </c>
    </row>
    <row r="12" spans="1:9" ht="15" x14ac:dyDescent="0.2">
      <c r="A12" s="1">
        <f>[1]Players1!$L$1</f>
        <v>0</v>
      </c>
      <c r="B12" s="1">
        <f>SUMIF([1]Players1!$A$1:$A$15, "opp goal*", [1]Players1!$L$1:$L$15)</f>
        <v>0</v>
      </c>
      <c r="C12" s="1">
        <f>SUMIF([1]Players1!$A$1:$A$15, "opp point*", [1]Players1!$L$1:$L$15)</f>
        <v>0</v>
      </c>
      <c r="D12" s="1">
        <f>SUMIF([1]Players1!$A$1:$A$15, "opp*from free", [1]Players1!$L$1:$L$15)</f>
        <v>0</v>
      </c>
      <c r="E12" s="1">
        <f>SUMIF([1]Players1!$A$1:$A$15, "opp saved*", [1]Players1!$L$1:$L$15)+SUMIF([1]Players1!$A$1:$A$15, "opp wide*", [1]Players1!$L$1:$L$15)+SUMIF([1]Players1!$A$1:$A$15, "opp short*", [1]Players1!$L$1:$L$15)+SUMIF([1]Players1!$A$1:$A$15, "opp out*", [1]Players1!$L$1:$L$15)+B12+C12</f>
        <v>0</v>
      </c>
      <c r="F12" s="4">
        <f t="shared" si="0"/>
        <v>0</v>
      </c>
      <c r="G12" s="1">
        <f>SUMIF([1]Players1!$A$1:$A$15, "opp free*ed", [1]Players1!$L$1:$L$15)</f>
        <v>0</v>
      </c>
    </row>
    <row r="13" spans="1:9" ht="15" x14ac:dyDescent="0.2">
      <c r="A13" s="1">
        <f>[1]Players1!$M$1</f>
        <v>0</v>
      </c>
      <c r="B13" s="1">
        <f>SUMIF([1]Players1!$A$1:$A$15, "opp goal*", [1]Players1!$M$1:$M$15)</f>
        <v>0</v>
      </c>
      <c r="C13" s="1">
        <f>SUMIF([1]Players1!$A$1:$A$15, "opp point*", [1]Players1!$M$1:$M$15)</f>
        <v>0</v>
      </c>
      <c r="D13" s="1">
        <f>SUMIF([1]Players1!$A$1:$A$15, "opp*from free", [1]Players1!$M$1:$M$15)</f>
        <v>0</v>
      </c>
      <c r="E13" s="1">
        <f>SUMIF([1]Players1!$A$1:$A$15, "opp saved*", [1]Players1!$M$1:$M$15)+SUMIF([1]Players1!$A$1:$A$15, "opp wide*", [1]Players1!$M$1:$M$15)+SUMIF([1]Players1!$A$1:$A$15, "opp short*", [1]Players1!$M$1:$M$15)+SUMIF([1]Players1!$A$1:$A$15, "opp out*", [1]Players1!$M$1:$M$15)+B13+C13</f>
        <v>0</v>
      </c>
      <c r="F13" s="4">
        <f t="shared" si="0"/>
        <v>0</v>
      </c>
      <c r="G13" s="1">
        <f>SUMIF([1]Players1!$A$1:$A$15, "opp free*ed", [1]Players1!$M$1:$M$15)</f>
        <v>0</v>
      </c>
    </row>
    <row r="14" spans="1:9" ht="15" x14ac:dyDescent="0.2">
      <c r="A14" s="1">
        <f>[1]Players1!$N$1</f>
        <v>0</v>
      </c>
      <c r="B14" s="1">
        <f>SUMIF([1]Players1!$A$1:$A$15, "opp goal*", [1]Players1!$N$1:$N$15)</f>
        <v>0</v>
      </c>
      <c r="C14" s="1">
        <f>SUMIF([1]Players1!$A$1:$A$15, "opp point*", [1]Players1!$N$1:$N$15)</f>
        <v>0</v>
      </c>
      <c r="D14" s="1">
        <f>SUMIF([1]Players1!$A$1:$A$15, "opp*from free", [1]Players1!$N$1:$N$15)</f>
        <v>0</v>
      </c>
      <c r="E14" s="1">
        <f>SUMIF([1]Players1!$A$1:$A$15, "opp saved*", [1]Players1!$N$1:$N$15)+SUMIF([1]Players1!$A$1:$A$15, "opp wide*", [1]Players1!$N$1:$N$15)+SUMIF([1]Players1!$A$1:$A$15, "opp short*", [1]Players1!$N$1:$N$15)+SUMIF([1]Players1!$A$1:$A$15, "opp out*", [1]Players1!$N$1:$N$15)+B14+C14</f>
        <v>0</v>
      </c>
      <c r="F14" s="4">
        <f t="shared" si="0"/>
        <v>0</v>
      </c>
      <c r="G14" s="1">
        <f>SUMIF([1]Players1!$A$1:$A$15, "opp free*ed", [1]Players1!$N$1:$N$15)</f>
        <v>0</v>
      </c>
    </row>
    <row r="15" spans="1:9" ht="15" x14ac:dyDescent="0.2">
      <c r="A15" s="1">
        <f>[1]Players1!$O$1</f>
        <v>0</v>
      </c>
      <c r="B15" s="1">
        <f>SUMIF([1]Players1!$A$1:$A$15, "opp goal*", [1]Players1!$O$1:$O$15)</f>
        <v>0</v>
      </c>
      <c r="C15" s="1">
        <f>SUMIF([1]Players1!$A$1:$A$15, "opp point*", [1]Players1!$O$1:$O$15)</f>
        <v>0</v>
      </c>
      <c r="D15" s="1">
        <f>SUMIF([1]Players1!$A$1:$A$15, "opp*from free", [1]Players1!$O$1:$O$15)</f>
        <v>0</v>
      </c>
      <c r="E15" s="1">
        <f>SUMIF([1]Players1!$A$1:$A$15, "opp saved*", [1]Players1!$O$1:$O$15)+SUMIF([1]Players1!$A$1:$A$15, "opp wide*", [1]Players1!$O$1:$O$15)+SUMIF([1]Players1!$A$1:$A$15, "opp short*", [1]Players1!$O$1:$O$15)+SUMIF([1]Players1!$A$1:$A$15, "opp out*", [1]Players1!$O$1:$O$15)+B15+C15</f>
        <v>0</v>
      </c>
      <c r="F15" s="4">
        <f t="shared" si="0"/>
        <v>0</v>
      </c>
      <c r="G15" s="1">
        <f>SUMIF([1]Players1!$A$1:$A$15, "opp free*ed", [1]Players1!$O$1:$O$15)</f>
        <v>0</v>
      </c>
    </row>
    <row r="16" spans="1:9" ht="15" x14ac:dyDescent="0.2">
      <c r="A16" s="1">
        <f>[1]Players1!$P$1</f>
        <v>0</v>
      </c>
      <c r="B16" s="1">
        <f>SUMIF([1]Players1!$A$1:$A$15, "opp goal*", [1]Players1!$P$1:$P$15)</f>
        <v>0</v>
      </c>
      <c r="C16" s="1">
        <f>SUMIF([1]Players1!$A$1:$A$15, "opp point*", [1]Players1!$P$1:$P$15)</f>
        <v>0</v>
      </c>
      <c r="D16" s="1">
        <f>SUMIF([1]Players1!$A$1:$A$15, "opp*from free", [1]Players1!$P$1:$P$15)</f>
        <v>0</v>
      </c>
      <c r="E16" s="1">
        <f>SUMIF([1]Players1!$A$1:$A$15, "opp saved*", [1]Players1!$P$1:$P$15)+SUMIF([1]Players1!$A$1:$A$15, "opp wide*", [1]Players1!$P$1:$P$15)+SUMIF([1]Players1!$A$1:$A$15, "opp short*", [1]Players1!$P$1:$P$15)+SUMIF([1]Players1!$A$1:$A$15, "opp out*", [1]Players1!$P$1:$P$15)+B16+C16</f>
        <v>0</v>
      </c>
      <c r="F16" s="4">
        <f t="shared" si="0"/>
        <v>0</v>
      </c>
      <c r="G16" s="1">
        <f>SUMIF([1]Players1!$A$1:$A$15, "opp free*ed", [1]Players1!$P$1:$P$15)</f>
        <v>0</v>
      </c>
    </row>
    <row r="17" spans="1:7" ht="15" x14ac:dyDescent="0.2">
      <c r="A17" s="1">
        <f>[1]Players1!$Q$1</f>
        <v>0</v>
      </c>
      <c r="B17" s="1">
        <f>SUMIF([1]Players1!$A$1:$A$15, "opp goal*", [1]Players1!$Q$1:$Q$15)</f>
        <v>0</v>
      </c>
      <c r="C17" s="1">
        <f>SUMIF([1]Players1!$A$1:$A$15, "opp point*", [1]Players1!$Q$1:$Q$15)</f>
        <v>0</v>
      </c>
      <c r="D17" s="1">
        <f>SUMIF([1]Players1!$A$1:$A$15, "opp*from free", [1]Players1!$Q$1:$Q$15)</f>
        <v>0</v>
      </c>
      <c r="E17" s="1">
        <f>SUMIF([1]Players1!$A$1:$A$15, "opp saved*", [1]Players1!$Q$1:$Q$15)+SUMIF([1]Players1!$A$1:$A$15, "opp wide*", [1]Players1!$Q$1:$Q$15)+SUMIF([1]Players1!$A$1:$A$15, "opp short*", [1]Players1!$Q$1:$Q$15)+SUMIF([1]Players1!$A$1:$A$15, "opp out*", [1]Players1!$Q$1:$Q$15)+B17+C17</f>
        <v>0</v>
      </c>
      <c r="F17" s="4">
        <f t="shared" si="0"/>
        <v>0</v>
      </c>
      <c r="G17" s="1">
        <f>SUMIF([1]Players1!$A$1:$A$15, "opp free*ed", [1]Players1!$Q$1:$Q$15)</f>
        <v>0</v>
      </c>
    </row>
    <row r="18" spans="1:7" ht="15" x14ac:dyDescent="0.2">
      <c r="A18" s="1">
        <f>[1]Players1!$R$1</f>
        <v>0</v>
      </c>
      <c r="B18" s="1">
        <f>SUMIF([1]Players1!$A$1:$A$15, "opp goal*", [1]Players1!$R$1:$R$15)</f>
        <v>0</v>
      </c>
      <c r="C18" s="1">
        <f>SUMIF([1]Players1!$A$1:$A$15, "opp point*", [1]Players1!$R$1:$R$15)</f>
        <v>0</v>
      </c>
      <c r="D18" s="1">
        <f>SUMIF([1]Players1!$A$1:$A$15, "opp*from free", [1]Players1!$R$1:$R$15)</f>
        <v>0</v>
      </c>
      <c r="E18" s="1">
        <f>SUMIF([1]Players1!$A$1:$A$15, "opp saved*", [1]Players1!$R$1:$R$15)+SUMIF([1]Players1!$A$1:$A$15, "opp wide*", [1]Players1!$R$1:$R$15)+SUMIF([1]Players1!$A$1:$A$15, "opp short*", [1]Players1!$R$1:$R$15)+SUMIF([1]Players1!$A$1:$A$15, "opp out*", [1]Players1!$R$1:$R$15)+B18+C18</f>
        <v>0</v>
      </c>
      <c r="F18" s="4">
        <f t="shared" si="0"/>
        <v>0</v>
      </c>
      <c r="G18" s="1">
        <f>SUMIF([1]Players1!$A$1:$A$15, "opp free*ed", [1]Players1!$R$1:$R$15)</f>
        <v>0</v>
      </c>
    </row>
    <row r="19" spans="1:7" ht="15" x14ac:dyDescent="0.2">
      <c r="A19" s="1">
        <f>[1]Players1!$S$1</f>
        <v>0</v>
      </c>
      <c r="B19" s="1">
        <f>SUMIF([1]Players1!$A$1:$A$15, "opp goal*", [1]Players1!$S$1:$S$15)</f>
        <v>0</v>
      </c>
      <c r="C19" s="1">
        <f>SUMIF([1]Players1!$A$1:$A$15, "opp point*", [1]Players1!$S$1:$S$15)</f>
        <v>0</v>
      </c>
      <c r="D19" s="1">
        <f>SUMIF([1]Players1!$A$1:$A$15, "opp*from free", [1]Players1!$S$1:$S$15)</f>
        <v>0</v>
      </c>
      <c r="E19" s="1">
        <f>SUMIF([1]Players1!$A$1:$A$15, "opp saved*", [1]Players1!$S$1:$S$15)+SUMIF([1]Players1!$A$1:$A$15, "opp wide*", [1]Players1!$S$1:$S$15)+SUMIF([1]Players1!$A$1:$A$15, "opp short*", [1]Players1!$S$1:$S$15)+SUMIF([1]Players1!$A$1:$A$15, "opp out*", [1]Players1!$S$1:$S$15)+B19+C19</f>
        <v>0</v>
      </c>
      <c r="F19" s="4">
        <f t="shared" si="0"/>
        <v>0</v>
      </c>
      <c r="G19" s="1">
        <f>SUMIF([1]Players1!$A$1:$A$15, "opp free*ed", [1]Players1!$S$1:$S$15)</f>
        <v>0</v>
      </c>
    </row>
    <row r="20" spans="1:7" ht="15" x14ac:dyDescent="0.2">
      <c r="A20" s="1">
        <f>[1]Players1!$T$1</f>
        <v>0</v>
      </c>
      <c r="B20" s="1">
        <f>SUMIF([1]Players1!$A$1:$A$15, "opp goal*", [1]Players1!$T$1:$T$15)</f>
        <v>0</v>
      </c>
      <c r="C20" s="1">
        <f>SUMIF([1]Players1!$A$1:$A$15, "opp point*", [1]Players1!$T$1:$T$15)</f>
        <v>0</v>
      </c>
      <c r="D20" s="1">
        <f>SUMIF([1]Players1!$A$1:$A$15, "opp*from free", [1]Players1!$T$1:$T$15)</f>
        <v>0</v>
      </c>
      <c r="E20" s="1">
        <f>SUMIF([1]Players1!$A$1:$A$15, "opp saved*", [1]Players1!$T$1:$T$15)+SUMIF([1]Players1!$A$1:$A$15, "opp wide*", [1]Players1!$T$1:$T$15)+SUMIF([1]Players1!$A$1:$A$15, "opp short*", [1]Players1!$T$1:$T$15)+SUMIF([1]Players1!$A$1:$A$15, "opp out*", [1]Players1!$T$1:$T$15)+B20+C20</f>
        <v>0</v>
      </c>
      <c r="F20" s="4">
        <f t="shared" si="0"/>
        <v>0</v>
      </c>
      <c r="G20" s="1">
        <f>SUMIF([1]Players1!$A$1:$A$15, "opp free*ed", [1]Players1!$T$1:$T$15)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1F1C-A64B-A448-AE77-E665DEF84BF1}">
  <dimension ref="A1:G20"/>
  <sheetViews>
    <sheetView workbookViewId="0">
      <selection activeCell="E11" sqref="E11"/>
    </sheetView>
  </sheetViews>
  <sheetFormatPr baseColWidth="10" defaultColWidth="11" defaultRowHeight="13" x14ac:dyDescent="0.15"/>
  <sheetData>
    <row r="1" spans="1:7" ht="15" x14ac:dyDescent="0.2">
      <c r="A1" s="1"/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ht="15" x14ac:dyDescent="0.2">
      <c r="A2" s="1" t="str">
        <f>[1]Players2!$B$1</f>
        <v>10</v>
      </c>
      <c r="B2" s="1">
        <f>SUMIF([1]Players2!$A$1:$A$15, "goal*", [1]Players2!$B$1:$B$15)</f>
        <v>0</v>
      </c>
      <c r="C2" s="1">
        <f>SUMIF([1]Players2!$A$1:$A$15, "point*", [1]Players2!$B$1:$B$15)</f>
        <v>8</v>
      </c>
      <c r="D2" s="1">
        <f>SUMIF([1]Players2!$A$1:$A$15, "*from free", [1]Players2!$B$1:$B$15)</f>
        <v>0</v>
      </c>
      <c r="E2" s="1">
        <f>SUMIF([1]Players2!$A$1:$A$15, "saved*", [1]Players2!$B$1:$B$15)+SUMIF([1]Players2!$A$1:$A$15, "wide*", [1]Players2!$B$1:$B$15)+SUMIF([1]Players2!$A$1:$A$15, "short*", [1]Players2!$B$1:$B$15)+SUMIF([1]Players2!$A$1:$A$15, "out*", [1]Players2!$B$1:$B$15)+B2+C2</f>
        <v>8</v>
      </c>
      <c r="F2" s="4">
        <f t="shared" ref="F2:F20" si="0">IFERROR((B2+C2)/E2,0)</f>
        <v>1</v>
      </c>
      <c r="G2" s="1">
        <f>SUMIF([1]Players2!$A$1:$A$15, "free*ed", [1]Players2!$B$1:$B$15)</f>
        <v>0</v>
      </c>
    </row>
    <row r="3" spans="1:7" ht="15" x14ac:dyDescent="0.2">
      <c r="A3" s="1" t="str">
        <f>[1]Players2!$C$1</f>
        <v>11</v>
      </c>
      <c r="B3" s="1">
        <f>SUMIF([1]Players2!$A$1:$A$15, "goal*", [1]Players2!$C$1:$C$15)</f>
        <v>0</v>
      </c>
      <c r="C3" s="1">
        <f>SUMIF([1]Players2!$A$1:$A$15, "point*", [1]Players2!$C$1:$C$15)</f>
        <v>3</v>
      </c>
      <c r="D3" s="1">
        <f>SUMIF([1]Players2!$A$1:$A$15, "*from free", [1]Players2!$C$1:$C$15)</f>
        <v>0</v>
      </c>
      <c r="E3" s="1">
        <f>SUMIF([1]Players2!$A$1:$A$15, "saved*", [1]Players2!$C$1:$C$15)+SUMIF([1]Players2!$A$1:$A$15, "wide*", [1]Players2!$C$1:$C$15)+SUMIF([1]Players2!$A$1:$A$15, "short*", [1]Players2!$C$1:$C$15)+SUMIF([1]Players2!$A$1:$A$15, "out*", [1]Players2!$C$1:$C$15)+B3+C3</f>
        <v>4</v>
      </c>
      <c r="F3" s="4">
        <f t="shared" si="0"/>
        <v>0.75</v>
      </c>
      <c r="G3" s="1">
        <f>SUMIF([1]Players2!$A$1:$A$15, "free*ed", [1]Players2!$C$1:$C$15)</f>
        <v>0</v>
      </c>
    </row>
    <row r="4" spans="1:7" ht="15" x14ac:dyDescent="0.2">
      <c r="A4" s="1" t="str">
        <f>[1]Players2!$D$1</f>
        <v>12</v>
      </c>
      <c r="B4" s="1">
        <f>SUMIF([1]Players2!$A$1:$A$15, "goal*", [1]Players2!$D$1:$D$15)</f>
        <v>0</v>
      </c>
      <c r="C4" s="1">
        <f>SUMIF([1]Players2!$A$1:$A$15, "point*", [1]Players2!$D$1:$D$15)</f>
        <v>0</v>
      </c>
      <c r="D4" s="1">
        <f>SUMIF([1]Players2!$A$1:$A$15,"*from free", [1]Players2!$D$1:$D$15)</f>
        <v>0</v>
      </c>
      <c r="E4" s="1">
        <f>SUMIF([1]Players2!$A$1:$A$15, "saved*", [1]Players2!$D$1:$D$15)+SUMIF([1]Players2!$A$1:$A$15, "wide*", [1]Players2!$D$1:$D$15)+SUMIF([1]Players2!$A$1:$A$15, "short*", [1]Players2!$D$1:$D$15)+SUMIF([1]Players2!$A$1:$A$15, "out*", [1]Players2!$D$1:$D$15)+B4+C4</f>
        <v>0</v>
      </c>
      <c r="F4" s="4">
        <f t="shared" si="0"/>
        <v>0</v>
      </c>
      <c r="G4" s="1">
        <f>SUMIF([1]Players2!$A$1:$A$15,"free*ed", [1]Players2!$D$1:$D$15)</f>
        <v>0</v>
      </c>
    </row>
    <row r="5" spans="1:7" ht="15" x14ac:dyDescent="0.2">
      <c r="A5" s="1" t="str">
        <f>[1]Players2!$E$1</f>
        <v>13</v>
      </c>
      <c r="B5" s="1">
        <f>SUMIF([1]Players2!$A$1:$A$15, "goal*", [1]Players2!$E$1:$E$15)</f>
        <v>0</v>
      </c>
      <c r="C5" s="1">
        <f>SUMIF([1]Players2!$A$1:$A$15, "point*", [1]Players2!$E$1:$E$15)</f>
        <v>1</v>
      </c>
      <c r="D5" s="1">
        <f>SUMIF([1]Players2!$A$1:$A$15, "*from free", [1]Players2!$E$1:$E$15)</f>
        <v>0</v>
      </c>
      <c r="E5" s="1">
        <f>SUMIF([1]Players2!$A$1:$A$15, "saved*", [1]Players2!$E$1:$E$15)+SUMIF([1]Players2!$A$1:$A$15, "wide*", [1]Players2!$E$1:$E$15)+SUMIF([1]Players2!$A$1:$A$15, "short*", [1]Players2!$E$1:$E$15)+SUMIF([1]Players2!$A$1:$A$15, "out*", [1]Players2!$E$1:$E$15)+B5+C5</f>
        <v>1</v>
      </c>
      <c r="F5" s="4">
        <f t="shared" si="0"/>
        <v>1</v>
      </c>
      <c r="G5" s="1">
        <f>SUMIF([1]Players2!$A$1:$A$15, "free*ed", [1]Players2!$E$1:$E$15)</f>
        <v>0</v>
      </c>
    </row>
    <row r="6" spans="1:7" ht="15" x14ac:dyDescent="0.2">
      <c r="A6" s="1" t="str">
        <f>[1]Players2!$F$1</f>
        <v>14</v>
      </c>
      <c r="B6" s="1">
        <f>SUMIF([1]Players2!$A$1:$A$15, "goal*", [1]Players2!$F$1:$F$15)</f>
        <v>1</v>
      </c>
      <c r="C6" s="1">
        <f>SUMIF([1]Players2!$A$1:$A$15, "point*", [1]Players2!$F$1:$F$15)</f>
        <v>2</v>
      </c>
      <c r="D6" s="1">
        <f>SUMIF([1]Players2!$A$1:$A$15, "*from free", [1]Players2!$F$1:$F$15)</f>
        <v>0</v>
      </c>
      <c r="E6" s="1">
        <f>SUMIF([1]Players2!$A$1:$A$15, "saved*", [1]Players2!$F$1:$F$15)+SUMIF([1]Players2!$A$1:$A$15, "wide*",  [1]Players2!$F$1:$F$15)+SUMIF([1]Players2!$A$1:$A$15, "short*",  [1]Players2!$F$1:$F$15)+SUMIF([1]Players2!$A$1:$A$15, "out*",  [1]Players2!$F$1:$F$15)+B6+C6</f>
        <v>3</v>
      </c>
      <c r="F6" s="4">
        <f t="shared" si="0"/>
        <v>1</v>
      </c>
      <c r="G6" s="1">
        <f>SUMIF([1]Players2!$A$1:$A$15, "free*ed", [1]Players2!$F$1:$F$15)</f>
        <v>0</v>
      </c>
    </row>
    <row r="7" spans="1:7" ht="15" x14ac:dyDescent="0.2">
      <c r="A7" s="1" t="str">
        <f>[1]Players2!$G$1</f>
        <v>15</v>
      </c>
      <c r="B7" s="1">
        <f>SUMIF([1]Players2!$A$1:$A$15, "goal*", [1]Players2!$G$1:$G$15)</f>
        <v>0</v>
      </c>
      <c r="C7" s="1">
        <f>SUMIF([1]Players2!$A$1:$A$15, "point*", [1]Players2!$G$1:$G$15)</f>
        <v>1</v>
      </c>
      <c r="D7" s="1">
        <f>SUMIF([1]Players2!$A$1:$A$15, "*from free", [1]Players2!$G$1:$G$15)</f>
        <v>0</v>
      </c>
      <c r="E7" s="1">
        <f>SUMIF([1]Players2!$A$1:$A$15, "saved*", [1]Players2!$G$1:$G$15)+SUMIF([1]Players2!$A$1:$A$15, "wide*", [1]Players2!$G$1:$G$15)+SUMIF([1]Players2!$A$1:$A$15, "short*", [1]Players2!$G$1:$G$15)+SUMIF([1]Players2!$A$1:$A$15, "out*", [1]Players2!$G$1:$G$15)+B7+C7</f>
        <v>1</v>
      </c>
      <c r="F7" s="4">
        <f t="shared" si="0"/>
        <v>1</v>
      </c>
      <c r="G7" s="1">
        <f>SUMIF([1]Players2!$A$1:$A$15, "free*ed", [1]Players2!$G$1:$G$15)</f>
        <v>0</v>
      </c>
    </row>
    <row r="8" spans="1:7" ht="15" x14ac:dyDescent="0.2">
      <c r="A8" s="1" t="str">
        <f>[1]Players2!$H$1</f>
        <v>16</v>
      </c>
      <c r="B8" s="1">
        <f>SUMIF([1]Players2!$A$1:$A$15, "goal*", [1]Players2!$H$1:$H$15)</f>
        <v>1</v>
      </c>
      <c r="C8" s="1">
        <f>SUMIF([1]Players2!$A$1:$A$15, "point*", [1]Players2!$H$1:$H$15)</f>
        <v>1</v>
      </c>
      <c r="D8" s="1">
        <f>SUMIF([1]Players2!$A$1:$A$15,"*from free", [1]Players2!$H$1:$H$15)</f>
        <v>0</v>
      </c>
      <c r="E8" s="1">
        <f>SUMIF([1]Players2!$A$1:$A$15, "saved*", [1]Players2!$H$1:$H$15)+SUMIF([1]Players2!$A$1:$A$15, "wide*", [1]Players2!$H$1:$H$15)+SUMIF([1]Players2!$A$1:$A$15, "short*", [1]Players2!$H$1:$H$15)+SUMIF([1]Players2!$A$1:$A$15, "out*", [1]Players2!$H$1:$H$15)+B8+C8</f>
        <v>2</v>
      </c>
      <c r="F8" s="4">
        <f t="shared" si="0"/>
        <v>1</v>
      </c>
      <c r="G8" s="1">
        <f>SUMIF([1]Players2!$A$1:$A$15,"free*ed", [1]Players2!$H$1:$H$15)</f>
        <v>0</v>
      </c>
    </row>
    <row r="9" spans="1:7" ht="15" x14ac:dyDescent="0.2">
      <c r="A9" s="1" t="str">
        <f>[1]Players2!$I$1</f>
        <v>18</v>
      </c>
      <c r="B9" s="1">
        <f>SUMIF([1]Players2!$A$1:$A$15, "goal*", [1]Players2!$I$1:$I$15)</f>
        <v>0</v>
      </c>
      <c r="C9" s="1">
        <f>SUMIF([1]Players2!$A$1:$A$15, "point*", [1]Players2!$I$1:$I$15)</f>
        <v>1</v>
      </c>
      <c r="D9" s="1">
        <f>SUMIF([1]Players2!$A$1:$A$15, "*from free", [1]Players2!$I$1:$I$15)</f>
        <v>0</v>
      </c>
      <c r="E9" s="1">
        <f>SUMIF([1]Players2!$A$1:$A$15, "saved*", [1]Players2!$I$1:$I$15)+SUMIF([1]Players2!$A$1:$A$15, "wide*", [1]Players2!$I$1:$I$15)+SUMIF([1]Players2!$A$1:$A$15, "short*", [1]Players2!$I$1:$I$15)+SUMIF([1]Players2!$A$1:$A$15, "out*", [1]Players2!$I$1:$I$15)+B9+C9</f>
        <v>2</v>
      </c>
      <c r="F9" s="4">
        <f t="shared" si="0"/>
        <v>0.5</v>
      </c>
      <c r="G9" s="1">
        <f>SUMIF([1]Players2!$A$1:$A$15, "free*ed", [1]Players2!$I$1:$I$15)</f>
        <v>0</v>
      </c>
    </row>
    <row r="10" spans="1:7" ht="15" x14ac:dyDescent="0.2">
      <c r="A10" s="1" t="str">
        <f>[1]Players2!$J$1</f>
        <v>2</v>
      </c>
      <c r="B10" s="1">
        <f>SUMIF([1]Players2!$A$1:$A$15, "goal*", [1]Players2!$J$1:$J$15)</f>
        <v>0</v>
      </c>
      <c r="C10" s="1">
        <f>SUMIF([1]Players2!$A$1:$A$15, "point*", [1]Players2!$J$1:$J$15)</f>
        <v>0</v>
      </c>
      <c r="D10" s="1">
        <f>SUMIF([1]Players2!$A$1:$A$15, "*from free", [1]Players2!$J$1:$J$15)</f>
        <v>0</v>
      </c>
      <c r="E10" s="1">
        <f>SUMIF([1]Players2!$A$1:$A$15, "saved*", [1]Players2!$J$1:$J$15)+SUMIF([1]Players2!$A$1:$A$15, "wide*", [1]Players2!$J$1:$J$15)+SUMIF([1]Players2!$A$1:$A$15, "short*", [1]Players2!$J$1:$J$15)+SUMIF([1]Players2!$A$1:$A$15, "out*", [1]Players2!$J$1:$J$15)+B10+C10</f>
        <v>0</v>
      </c>
      <c r="F10" s="4">
        <f t="shared" si="0"/>
        <v>0</v>
      </c>
      <c r="G10" s="1">
        <f>SUMIF([1]Players2!$A$1:$A$15, "free*ed", [1]Players2!$J$1:$J$15)</f>
        <v>0</v>
      </c>
    </row>
    <row r="11" spans="1:7" ht="15" x14ac:dyDescent="0.2">
      <c r="A11" s="1" t="str">
        <f>[1]Players2!$K$1</f>
        <v>20</v>
      </c>
      <c r="B11" s="1">
        <f>SUMIF([1]Players2!$A$1:$A$15, "goal*", [1]Players2!$K$1:$K$15)</f>
        <v>0</v>
      </c>
      <c r="C11" s="1">
        <f>SUMIF([1]Players2!$A$1:$A$15, "point*", [1]Players2!$K$1:$K$15)</f>
        <v>0</v>
      </c>
      <c r="D11" s="1">
        <f>SUMIF([1]Players2!$A$1:$A$15, "*from free", [1]Players2!$K$1:$K$15)</f>
        <v>0</v>
      </c>
      <c r="E11" s="1">
        <f>SUMIF([1]Players2!$A$1:$A$15, "saved*", [1]Players2!$K$1:$K$15)+SUMIF([1]Players2!$A$1:$A$15, "wide*", [1]Players2!$K$1:$K$15)+SUMIF([1]Players2!$A$1:$A$15, "short*", [1]Players2!$K$1:$K$15)+SUMIF([1]Players2!$A$1:$A$15, "out*", [1]Players2!$K$1:$K$15)+B11+C11</f>
        <v>0</v>
      </c>
      <c r="F11" s="4">
        <f t="shared" si="0"/>
        <v>0</v>
      </c>
      <c r="G11" s="1">
        <f>SUMIF([1]Players2!$A$1:$A$15, "free*ed", [1]Players2!$K$1:$K$15)</f>
        <v>0</v>
      </c>
    </row>
    <row r="12" spans="1:7" ht="15" x14ac:dyDescent="0.2">
      <c r="A12" s="1" t="str">
        <f>[1]Players2!$L$1</f>
        <v>3</v>
      </c>
      <c r="B12" s="1">
        <f>SUMIF([1]Players2!$A$1:$A$15, "goal*", [1]Players2!$L$1:$L$15)</f>
        <v>0</v>
      </c>
      <c r="C12" s="1">
        <f>SUMIF([1]Players2!$A$1:$A$15, "point*", [1]Players2!$L$1:$L$15)</f>
        <v>0</v>
      </c>
      <c r="D12" s="1">
        <f>SUMIF([1]Players2!$A$1:$A$15, "*from free", [1]Players2!$L$1:$L$15)</f>
        <v>0</v>
      </c>
      <c r="E12" s="1">
        <f>SUMIF([1]Players2!$A$1:$A$15, "saved*", [1]Players2!$L$1:$L$15)+SUMIF([1]Players2!$A$1:$A$15, "wide*", [1]Players2!$L$1:$L$15)+SUMIF([1]Players2!$A$1:$A$15, "short*", [1]Players2!$L$1:$L$15)+SUMIF([1]Players2!$A$1:$A$15, "out*", [1]Players2!$L$1:$L$15)+B12+C12</f>
        <v>0</v>
      </c>
      <c r="F12" s="4">
        <f t="shared" si="0"/>
        <v>0</v>
      </c>
      <c r="G12" s="1">
        <f>SUMIF([1]Players2!$A$1:$A$15, "free*ed", [1]Players2!$L$1:$L$15)</f>
        <v>0</v>
      </c>
    </row>
    <row r="13" spans="1:7" ht="15" x14ac:dyDescent="0.2">
      <c r="A13" s="1" t="str">
        <f>[1]Players2!$M$1</f>
        <v>4</v>
      </c>
      <c r="B13" s="1">
        <f>SUMIF([1]Players2!$A$1:$A$15, "goal*", [1]Players2!$M$1:$M$15)</f>
        <v>0</v>
      </c>
      <c r="C13" s="1">
        <f>SUMIF([1]Players2!$A$1:$A$15, "point*", [1]Players2!$M$1:$M$15)</f>
        <v>0</v>
      </c>
      <c r="D13" s="1">
        <f>SUMIF([1]Players2!$A$1:$A$15, "*from free", [1]Players2!$M$1:$M$15)</f>
        <v>0</v>
      </c>
      <c r="E13" s="1">
        <f>SUMIF([1]Players2!$A$1:$A$15, "saved*", [1]Players2!$M$1:$M$15)+SUMIF([1]Players2!$A$1:$A$15, "wide*", [1]Players2!$M$1:$M$15)+SUMIF([1]Players2!$A$1:$A$15, "short*", [1]Players2!$M$1:$M$15)+SUMIF([1]Players2!$A$1:$A$15, "out*", [1]Players2!$M$1:$M$15)+B13+C13</f>
        <v>0</v>
      </c>
      <c r="F13" s="4">
        <f t="shared" si="0"/>
        <v>0</v>
      </c>
      <c r="G13" s="1">
        <f>SUMIF([1]Players2!$A$1:$A$15, "free*ed", [1]Players2!$M$1:$M$15)</f>
        <v>0</v>
      </c>
    </row>
    <row r="14" spans="1:7" ht="15" x14ac:dyDescent="0.2">
      <c r="A14" s="1" t="str">
        <f>[1]Players2!$N$1</f>
        <v>5</v>
      </c>
      <c r="B14" s="1">
        <f>SUMIF([1]Players2!$A$1:$A$15, "goal*", [1]Players2!$N$1:$N$15)</f>
        <v>0</v>
      </c>
      <c r="C14" s="1">
        <f>SUMIF([1]Players2!$A$1:$A$15, "point*", [1]Players2!$N$1:$N$15)</f>
        <v>0</v>
      </c>
      <c r="D14" s="1">
        <f>SUMIF([1]Players2!$A$1:$A$15, "*from free", [1]Players2!$N$1:$N$15)</f>
        <v>0</v>
      </c>
      <c r="E14" s="1">
        <f>SUMIF([1]Players2!$A$1:$A$15, "saved*", [1]Players2!$N$1:$N$15)+SUMIF([1]Players2!$A$1:$A$15, "wide*", [1]Players2!$N$1:$N$15)+SUMIF([1]Players2!$A$1:$A$15, "short*", [1]Players2!$N$1:$N$15)+SUMIF([1]Players2!$A$1:$A$15, "out*", [1]Players2!$N$1:$N$15)+B14+C14</f>
        <v>0</v>
      </c>
      <c r="F14" s="4">
        <f t="shared" si="0"/>
        <v>0</v>
      </c>
      <c r="G14" s="1">
        <f>SUMIF([1]Players2!$A$1:$A$15, "free*ed", [1]Players2!$N$1:$N$15)</f>
        <v>0</v>
      </c>
    </row>
    <row r="15" spans="1:7" ht="15" x14ac:dyDescent="0.2">
      <c r="A15" s="1" t="str">
        <f>[1]Players2!$O$1</f>
        <v>6</v>
      </c>
      <c r="B15" s="1">
        <f>SUMIF([1]Players2!$A$1:$A$15, "goal*", [1]Players2!$O$1:$O$15)</f>
        <v>0</v>
      </c>
      <c r="C15" s="1">
        <f>SUMIF([1]Players2!$A$1:$A$15, "point*", [1]Players2!$O$1:$O$15)</f>
        <v>0</v>
      </c>
      <c r="D15" s="1">
        <f>SUMIF([1]Players2!$A$1:$A$15, "*from free", [1]Players2!$O$1:$O$15)</f>
        <v>0</v>
      </c>
      <c r="E15" s="1">
        <f>SUMIF([1]Players2!$A$1:$A$15, "saved*", [1]Players2!$O$1:$O$15)+SUMIF([1]Players2!$A$1:$A$15, "wide*", [1]Players2!$O$1:$O$15)+SUMIF([1]Players2!$A$1:$A$15, "short*", [1]Players2!$O$1:$O$15)+SUMIF([1]Players2!$A$1:$A$15, "out*", [1]Players2!$O$1:$O$15)+B15+C15</f>
        <v>0</v>
      </c>
      <c r="F15" s="4">
        <f t="shared" si="0"/>
        <v>0</v>
      </c>
      <c r="G15" s="1">
        <f>SUMIF([1]Players2!$A$1:$A$15, "free*ed", [1]Players2!$O$1:$O$15)</f>
        <v>0</v>
      </c>
    </row>
    <row r="16" spans="1:7" ht="15" x14ac:dyDescent="0.2">
      <c r="A16" s="1" t="str">
        <f>[1]Players2!$P$1</f>
        <v>7</v>
      </c>
      <c r="B16" s="1">
        <f>SUMIF([1]Players2!$A$1:$A$15, "goal*", [1]Players2!$P$1:$P$15)</f>
        <v>0</v>
      </c>
      <c r="C16" s="1">
        <f>SUMIF([1]Players2!$A$1:$A$15, "point*", [1]Players2!$P$1:$P$15)</f>
        <v>0</v>
      </c>
      <c r="D16" s="1">
        <f>SUMIF([1]Players2!$A$1:$A$15, "*from free", [1]Players2!$P$1:$P$15)</f>
        <v>0</v>
      </c>
      <c r="E16" s="1">
        <f>SUMIF([1]Players2!$A$1:$A$15, "saved*", [1]Players2!$P$1:$P$15)+SUMIF([1]Players2!$A$1:$A$15, "wide*", [1]Players2!$P$1:$P$15)+SUMIF([1]Players2!$A$1:$A$15, "short*", [1]Players2!$P$1:$P$15)+SUMIF([1]Players2!$A$1:$A$15, "out*", [1]Players2!$P$1:$P$15)+B16+C16</f>
        <v>0</v>
      </c>
      <c r="F16" s="4">
        <f t="shared" si="0"/>
        <v>0</v>
      </c>
      <c r="G16" s="1">
        <f>SUMIF([1]Players2!$A$1:$A$15, "free*ed", [1]Players2!$P$1:$P$15)</f>
        <v>0</v>
      </c>
    </row>
    <row r="17" spans="1:7" ht="15" x14ac:dyDescent="0.2">
      <c r="A17" s="1" t="str">
        <f>[1]Players2!$Q$1</f>
        <v>8</v>
      </c>
      <c r="B17" s="1">
        <f>SUMIF([1]Players2!$A$1:$A$15, "goal*", [1]Players2!$Q$1:$Q$15)</f>
        <v>0</v>
      </c>
      <c r="C17" s="1">
        <f>SUMIF([1]Players2!$A$1:$A$15, "point*", [1]Players2!$Q$1:$Q$15)</f>
        <v>0</v>
      </c>
      <c r="D17" s="1">
        <f>SUMIF([1]Players2!$A$1:$A$15, "*from free", [1]Players2!$Q$1:$Q$15)</f>
        <v>0</v>
      </c>
      <c r="E17" s="1">
        <f>SUMIF([1]Players2!$A$1:$A$15, "saved*", [1]Players2!$Q$1:$Q$15)+SUMIF([1]Players2!$A$1:$A$15, "wide*", [1]Players2!$Q$1:$Q$15)+SUMIF([1]Players2!$A$1:$A$15, "short*", [1]Players2!$Q$1:$Q$15)+SUMIF([1]Players2!$A$1:$A$15, "out*", [1]Players2!$Q$1:$Q$15)+B17+C17</f>
        <v>0</v>
      </c>
      <c r="F17" s="4">
        <f t="shared" si="0"/>
        <v>0</v>
      </c>
      <c r="G17" s="1">
        <f>SUMIF([1]Players2!$A$1:$A$15, "free*ed", [1]Players2!$Q$1:$Q$15)</f>
        <v>0</v>
      </c>
    </row>
    <row r="18" spans="1:7" ht="15" x14ac:dyDescent="0.2">
      <c r="A18" s="1" t="str">
        <f>[1]Players2!$R$1</f>
        <v>9</v>
      </c>
      <c r="B18" s="1">
        <f>SUMIF([1]Players2!$A$1:$A$15, "goal*", [1]Players2!$R$1:$R$15)</f>
        <v>0</v>
      </c>
      <c r="C18" s="1">
        <f>SUMIF([1]Players2!$A$1:$A$15, "point*", [1]Players2!$R$1:$R$15)</f>
        <v>1</v>
      </c>
      <c r="D18" s="1">
        <f>SUMIF([1]Players2!$A$1:$A$15, "*from free", [1]Players2!$R$1:$R$15)</f>
        <v>0</v>
      </c>
      <c r="E18" s="1">
        <f>SUMIF([1]Players2!$A$1:$A$15, "saved*", [1]Players2!$R$1:$R$15)+SUMIF([1]Players2!$A$1:$A$15, "wide*", [1]Players2!$R$1:$R$15)+SUMIF([1]Players2!$A$1:$A$15, "short*", [1]Players2!$R$1:$R$15)+SUMIF([1]Players2!$A$1:$A$15, "out*", [1]Players2!$R$1:$R$15)+B18+C18</f>
        <v>1</v>
      </c>
      <c r="F18" s="4">
        <f t="shared" si="0"/>
        <v>1</v>
      </c>
      <c r="G18" s="1">
        <f>SUMIF([1]Players2!$A$1:$A$15, "free*ed", [1]Players2!$R$1:$R$15)</f>
        <v>0</v>
      </c>
    </row>
    <row r="19" spans="1:7" ht="15" x14ac:dyDescent="0.2">
      <c r="A19" s="1" t="str">
        <f>[1]Players2!$S$1</f>
        <v>All</v>
      </c>
      <c r="B19" s="1">
        <f>SUMIF([1]Players2!$A$1:$A$15, "goal*", [1]Players2!$S$1:$S$15)</f>
        <v>2</v>
      </c>
      <c r="C19" s="1">
        <f>SUMIF([1]Players2!$A$1:$A$15, "point*", [1]Players2!$S$1:$S$15)</f>
        <v>18</v>
      </c>
      <c r="D19" s="1">
        <f>SUMIF([1]Players2!$A$1:$A$15, "*from free", [1]Players2!$S$1:$S$15)</f>
        <v>0</v>
      </c>
      <c r="E19" s="1">
        <f>SUMIF([1]Players2!$A$1:$A$15, "saved*", [1]Players2!$S$1:$S$15)+SUMIF([1]Players2!$A$1:$A$15, "wide*", [1]Players2!$S$1:$S$15)+SUMIF([1]Players2!$A$1:$A$15, "short*", [1]Players2!$S$1:$S$15)+SUMIF([1]Players2!$A$1:$A$15, "out*", [1]Players2!$S$1:$S$15)+B19+C19</f>
        <v>22</v>
      </c>
      <c r="F19" s="4">
        <f t="shared" si="0"/>
        <v>0.90909090909090906</v>
      </c>
      <c r="G19" s="1">
        <f>SUMIF([1]Players2!$A$1:$A$15, "free*ed", [1]Players2!$S$1:$S$15)</f>
        <v>0</v>
      </c>
    </row>
    <row r="20" spans="1:7" ht="15" x14ac:dyDescent="0.2">
      <c r="A20" s="1">
        <f>[1]Players2!$T$1</f>
        <v>0</v>
      </c>
      <c r="B20" s="1">
        <f>SUMIF([1]Players2!$A$1:$A$15, "goal*", [1]Players2!$T$1:$T$15)</f>
        <v>0</v>
      </c>
      <c r="C20" s="1">
        <f>SUMIF([1]Players2!$A$1:$A$15, "point*", [1]Players2!$T$1:$T$15)</f>
        <v>0</v>
      </c>
      <c r="D20" s="1">
        <f>SUMIF([1]Players2!$A$1:$A$15, "*from free", [1]Players2!$T$1:$T$15)</f>
        <v>0</v>
      </c>
      <c r="E20" s="1">
        <f>SUMIF([1]Players2!$A$1:$A$15, "saved*", [1]Players2!$T$1:$T$15)+SUMIF([1]Players2!$A$1:$A$15, "wide*", [1]Players2!$T$1:$T$15)+SUMIF([1]Players2!$A$1:$A$15, "short*", [1]Players2!$T$1:$T$15)+SUMIF([1]Players2!$A$1:$A$15, "out*", [1]Players2!$T$1:$T$15)+B20+C20</f>
        <v>0</v>
      </c>
      <c r="F20" s="4">
        <f t="shared" si="0"/>
        <v>0</v>
      </c>
      <c r="G20" s="1">
        <f>SUMIF([1]Players2!$A$1:$A$15, "free*ed", [1]Players2!$T$1:$T$15)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D9A60-428B-9142-A700-DCD85EF90755}">
  <dimension ref="B2:N45"/>
  <sheetViews>
    <sheetView topLeftCell="A2" workbookViewId="0">
      <selection activeCell="J36" sqref="J36"/>
    </sheetView>
  </sheetViews>
  <sheetFormatPr baseColWidth="10" defaultColWidth="11" defaultRowHeight="13" x14ac:dyDescent="0.15"/>
  <sheetData>
    <row r="2" spans="2:11" ht="15" x14ac:dyDescent="0.2"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2:11" ht="15" x14ac:dyDescent="0.2">
      <c r="B3" s="1"/>
      <c r="C3" s="1" t="str">
        <f>[1]Sectors!$B$1</f>
        <v>away</v>
      </c>
      <c r="D3" s="1"/>
      <c r="E3" s="1"/>
      <c r="F3" s="1"/>
      <c r="G3" s="1" t="str">
        <f>[1]Sectors!$H$1</f>
        <v>home</v>
      </c>
      <c r="H3" s="1"/>
      <c r="I3" s="1"/>
      <c r="J3" s="1"/>
      <c r="K3" s="1"/>
    </row>
    <row r="4" spans="2:11" ht="15" x14ac:dyDescent="0.2">
      <c r="C4" s="1" t="s">
        <v>37</v>
      </c>
      <c r="D4" s="1" t="s">
        <v>38</v>
      </c>
      <c r="E4" s="1" t="s">
        <v>39</v>
      </c>
      <c r="F4" s="1" t="s">
        <v>0</v>
      </c>
      <c r="G4" s="5" t="s">
        <v>0</v>
      </c>
      <c r="H4" s="1" t="s">
        <v>39</v>
      </c>
      <c r="I4" s="1" t="s">
        <v>37</v>
      </c>
      <c r="J4" s="1" t="s">
        <v>38</v>
      </c>
    </row>
    <row r="5" spans="2:11" ht="15" x14ac:dyDescent="0.2">
      <c r="B5" s="1" t="s">
        <v>31</v>
      </c>
      <c r="C5" s="1">
        <f>SUMIF([1]Sectors!$A:$A, "opp goal*", [1]Sectors!B:B)</f>
        <v>0</v>
      </c>
      <c r="D5" s="1">
        <f>SUMIF([1]Sectors!$A:$A, "opp point*", [1]Sectors!B:B)</f>
        <v>3</v>
      </c>
      <c r="E5" s="1">
        <f t="shared" ref="E5:E10" si="0">SUM(C5:D5)</f>
        <v>3</v>
      </c>
      <c r="F5" s="1">
        <f t="shared" ref="F5:F10" si="1">D5+(C5*3)</f>
        <v>3</v>
      </c>
      <c r="G5" s="1">
        <f>J5+(I5*3)</f>
        <v>4</v>
      </c>
      <c r="H5" s="1">
        <f t="shared" ref="H5:H10" si="2">SUM(I5:J5)</f>
        <v>4</v>
      </c>
      <c r="I5" s="1">
        <f>SUMIF([1]Sectors!$A:$A, "goal*", [1]Sectors!H:H)</f>
        <v>0</v>
      </c>
      <c r="J5" s="1">
        <f>SUMIF([1]Sectors!$A:$A, "point*", [1]Sectors!H:H)</f>
        <v>4</v>
      </c>
    </row>
    <row r="6" spans="2:11" ht="15" x14ac:dyDescent="0.2">
      <c r="B6" s="1" t="s">
        <v>32</v>
      </c>
      <c r="C6" s="1">
        <f>SUMIF([1]Sectors!$A:$A, "opp goal*", [1]Sectors!C:C)</f>
        <v>1</v>
      </c>
      <c r="D6" s="1">
        <f>SUMIF([1]Sectors!$A:$A, "opp point*", [1]Sectors!C:C)</f>
        <v>4</v>
      </c>
      <c r="E6" s="1">
        <f t="shared" si="0"/>
        <v>5</v>
      </c>
      <c r="F6" s="1">
        <f t="shared" si="1"/>
        <v>7</v>
      </c>
      <c r="G6" s="1">
        <f t="shared" ref="G6:G10" si="3">J6+(I6*3)</f>
        <v>5</v>
      </c>
      <c r="H6" s="1">
        <f t="shared" si="2"/>
        <v>3</v>
      </c>
      <c r="I6" s="1">
        <f>SUMIF([1]Sectors!$A:$A, "goal*", [1]Sectors!I:I)</f>
        <v>1</v>
      </c>
      <c r="J6" s="1">
        <f>SUMIF([1]Sectors!A:A, "point*", [1]Sectors!I:I)</f>
        <v>2</v>
      </c>
    </row>
    <row r="7" spans="2:11" ht="15" x14ac:dyDescent="0.2">
      <c r="B7" s="1" t="s">
        <v>33</v>
      </c>
      <c r="C7" s="1">
        <f>SUMIF([1]Sectors!$A:$A, "opp goal*", [1]Sectors!D:D)</f>
        <v>0</v>
      </c>
      <c r="D7" s="1">
        <f>SUMIF([1]Sectors!$A:$A, "opp point*", [1]Sectors!D:D)</f>
        <v>3</v>
      </c>
      <c r="E7" s="1">
        <f t="shared" si="0"/>
        <v>3</v>
      </c>
      <c r="F7" s="1">
        <f t="shared" si="1"/>
        <v>3</v>
      </c>
      <c r="G7" s="1">
        <f t="shared" si="3"/>
        <v>2</v>
      </c>
      <c r="H7" s="1">
        <f t="shared" si="2"/>
        <v>2</v>
      </c>
      <c r="I7" s="1">
        <f>SUMIF([1]Sectors!$A:$A, "goal*", [1]Sectors!J:J)</f>
        <v>0</v>
      </c>
      <c r="J7" s="1">
        <f>SUMIF([1]Sectors!A:A, "point*", [1]Sectors!J:J)</f>
        <v>2</v>
      </c>
    </row>
    <row r="8" spans="2:11" ht="15" x14ac:dyDescent="0.2">
      <c r="B8" s="1" t="s">
        <v>34</v>
      </c>
      <c r="C8" s="1">
        <f>SUMIF([1]Sectors!$A:$A, "opp goal*", [1]Sectors!E:E)</f>
        <v>0</v>
      </c>
      <c r="D8" s="1">
        <f>SUMIF([1]Sectors!$A:$A, "opp point*", [1]Sectors!E:E)</f>
        <v>3</v>
      </c>
      <c r="E8" s="1">
        <f t="shared" si="0"/>
        <v>3</v>
      </c>
      <c r="F8" s="1">
        <f t="shared" si="1"/>
        <v>3</v>
      </c>
      <c r="G8" s="1">
        <f t="shared" si="3"/>
        <v>6</v>
      </c>
      <c r="H8" s="1">
        <f t="shared" si="2"/>
        <v>6</v>
      </c>
      <c r="I8" s="1">
        <f>SUMIF([1]Sectors!$A:$A, "goal*", [1]Sectors!K:K)</f>
        <v>0</v>
      </c>
      <c r="J8" s="1">
        <f>SUMIF([1]Sectors!A:A, "point*", [1]Sectors!K:K)</f>
        <v>6</v>
      </c>
    </row>
    <row r="9" spans="2:11" ht="15" x14ac:dyDescent="0.2">
      <c r="B9" s="1" t="s">
        <v>35</v>
      </c>
      <c r="C9" s="1">
        <f>SUMIF([1]Sectors!$A:$A, "opp goal*", [1]Sectors!F:F)</f>
        <v>0</v>
      </c>
      <c r="D9" s="1">
        <f>SUMIF([1]Sectors!$A:$A, "opp point*", [1]Sectors!F:F)</f>
        <v>4</v>
      </c>
      <c r="E9" s="1">
        <f t="shared" si="0"/>
        <v>4</v>
      </c>
      <c r="F9" s="1">
        <f t="shared" si="1"/>
        <v>4</v>
      </c>
      <c r="G9" s="1">
        <f t="shared" si="3"/>
        <v>1</v>
      </c>
      <c r="H9" s="1">
        <f t="shared" si="2"/>
        <v>1</v>
      </c>
      <c r="I9" s="1">
        <f>SUMIF([1]Sectors!$A:$A, "goal*", [1]Sectors!L:L)</f>
        <v>0</v>
      </c>
      <c r="J9" s="1">
        <f>SUMIF([1]Sectors!A:A, "point*", [1]Sectors!L:L)</f>
        <v>1</v>
      </c>
    </row>
    <row r="10" spans="2:11" ht="15" x14ac:dyDescent="0.2">
      <c r="B10" s="1" t="s">
        <v>36</v>
      </c>
      <c r="C10" s="1">
        <f>SUMIF([1]Sectors!$A:$A, "opp goal*", [1]Sectors!G:G)</f>
        <v>0</v>
      </c>
      <c r="D10" s="1">
        <f>SUMIF([1]Sectors!$A:$A, "opp point*", [1]Sectors!G:G)</f>
        <v>1</v>
      </c>
      <c r="E10" s="1">
        <f t="shared" si="0"/>
        <v>1</v>
      </c>
      <c r="F10" s="1">
        <f t="shared" si="1"/>
        <v>1</v>
      </c>
      <c r="G10" s="1">
        <f t="shared" si="3"/>
        <v>10</v>
      </c>
      <c r="H10" s="1">
        <f t="shared" si="2"/>
        <v>8</v>
      </c>
      <c r="I10" s="1">
        <f>SUMIF([1]Sectors!$A:$A, "goal*", [1]Sectors!M:M)</f>
        <v>1</v>
      </c>
      <c r="J10" s="1">
        <f>SUMIF([1]Sectors!A:A, "point*", [1]Sectors!M:M)</f>
        <v>7</v>
      </c>
    </row>
    <row r="11" spans="2:11" ht="15" x14ac:dyDescent="0.2">
      <c r="B11" s="1" t="s">
        <v>0</v>
      </c>
      <c r="C11" s="1"/>
      <c r="D11" s="1"/>
      <c r="E11" s="1">
        <f>SUM(E5:E10)</f>
        <v>19</v>
      </c>
      <c r="F11" s="1">
        <f>SUM(F5:F10)</f>
        <v>21</v>
      </c>
      <c r="G11" s="1">
        <f>SUM(G5:G10)</f>
        <v>28</v>
      </c>
      <c r="H11" s="1">
        <f>SUM(H5:H10)</f>
        <v>24</v>
      </c>
      <c r="I11" s="1"/>
      <c r="J11" s="1"/>
    </row>
    <row r="12" spans="2:11" ht="15" x14ac:dyDescent="0.2">
      <c r="B12" s="1"/>
      <c r="I12">
        <f>J10+(I10*3)</f>
        <v>10</v>
      </c>
    </row>
    <row r="13" spans="2:11" ht="15" x14ac:dyDescent="0.2">
      <c r="B13" s="2" t="s">
        <v>21</v>
      </c>
      <c r="C13" s="1"/>
      <c r="F13" t="s">
        <v>29</v>
      </c>
    </row>
    <row r="14" spans="2:11" ht="15" x14ac:dyDescent="0.2">
      <c r="B14" s="1"/>
      <c r="C14" s="1" t="str">
        <f>[1]Sectors!$B$1</f>
        <v>away</v>
      </c>
      <c r="D14" t="str">
        <f>[1]Sectors!$H$1</f>
        <v>home</v>
      </c>
    </row>
    <row r="15" spans="2:11" ht="15" x14ac:dyDescent="0.2">
      <c r="B15" s="5" t="s">
        <v>61</v>
      </c>
      <c r="C15" s="1" t="s">
        <v>21</v>
      </c>
    </row>
    <row r="16" spans="2:11" ht="15" x14ac:dyDescent="0.2">
      <c r="B16" s="1">
        <v>0</v>
      </c>
      <c r="C16">
        <f>SUMIF([1]Sectors1!$A$1:$A$30, "opp goal*", [1]Sectors1!$B$1:$B$30)
+SUMIF([1]Sectors1!$A$1:$A$30, "opp point*", [1]Sectors1!$B$1:$B$30)
+SUMIF([1]Sectors1!$A$1:$A$30, "opp saved*", [1]Sectors1!$B$1:$B$30)
+SUMIF([1]Sectors1!$A$1:$A$30, "opp wide*", [1]Sectors1!$B$1:$B$30)
+SUMIF([1]Sectors1!$A$1:$A$30, "opp short*", [1]Sectors1!$B$1:$B$30)
+SUMIF([1]Sectors1!$A$1:$A$30, "opp out*", [1]Sectors1!$B$1:$B$30)</f>
        <v>8</v>
      </c>
      <c r="D16">
        <f>SUMIF([1]Sectors2!$A$1:$A$30, "goal*", [1]Sectors2!$B$1:$B$30)
+SUMIF([1]Sectors2!$A$1:$A$30, "point*", [1]Sectors2!$B$1:$B$30)
+SUMIF([1]Sectors2!$A$1:$A$30, "saved*", [1]Sectors2!$B$1:$B$30)
+SUMIF([1]Sectors2!$A$1:$A$30, "wide*", [1]Sectors2!$B$1:$B$30)
+SUMIF([1]Sectors2!$A$1:$A$30, "short*", [1]Sectors2!$B$1:$B$30)
+SUMIF([1]Sectors2!$A$1:$A$30, "out*", [1]Sectors2!$B$1:$B$30)</f>
        <v>4</v>
      </c>
      <c r="F16" s="6">
        <f>E5/C16</f>
        <v>0.375</v>
      </c>
      <c r="G16" s="6">
        <f>IFERROR(H5/D16,0)</f>
        <v>1</v>
      </c>
      <c r="H16" s="6"/>
    </row>
    <row r="17" spans="2:14" ht="15" x14ac:dyDescent="0.2">
      <c r="B17" s="1">
        <v>1</v>
      </c>
      <c r="C17">
        <f>SUMIF([1]Sectors1!$A$1:$A$30, "opp goal*", [1]Sectors1!$C$1:$C$30)
+SUMIF([1]Sectors1!$A$1:$A$30, "opp point*", [1]Sectors1!$C$1:$C$30)
+SUMIF([1]Sectors1!$A$1:$A$30, "opp saved*", [1]Sectors1!$C$1:$C$30)
+SUMIF([1]Sectors1!$A$1:$A$30, "opp wide*", [1]Sectors1!$C$1:$C$30)
+SUMIF([1]Sectors1!$A$1:$A$30, "opp short*", [1]Sectors1!$C$1:$C$30)
+SUMIF([1]Sectors1!$A$1:$A$30, "opp out*", [1]Sectors1!$C$1:$C$30)</f>
        <v>6</v>
      </c>
      <c r="D17">
        <f>SUMIF([1]Sectors2!$A$1:$A$30, "goal*", [1]Sectors2!$C$1:$C$30)
+SUMIF([1]Sectors2!$A$1:$A$30, "point*", [1]Sectors2!$C$1:$C$30)
+SUMIF([1]Sectors2!$A$1:$A$30, "saved*", [1]Sectors2!$C$1:$C$30)
+SUMIF([1]Sectors2!$A$1:$A$30, "wide*", [1]Sectors2!$C$1:$C$30)
+SUMIF([1]Sectors2!$A$1:$A$30, "short*", [1]Sectors2!$C$1:$C$30)
+SUMIF([1]Sectors2!$A$1:$A$30, "out*", [1]Sectors2!$C$1:$C$30)</f>
        <v>4</v>
      </c>
      <c r="F17" s="6">
        <f t="shared" ref="F17:F22" si="4">E6/C17</f>
        <v>0.83333333333333337</v>
      </c>
      <c r="G17" s="6">
        <f>IFERROR(H6/D17,0)</f>
        <v>0.75</v>
      </c>
      <c r="H17" s="6"/>
    </row>
    <row r="18" spans="2:14" ht="15" x14ac:dyDescent="0.2">
      <c r="B18" s="1">
        <v>2</v>
      </c>
      <c r="C18">
        <f>SUMIF([1]Sectors1!$A$1:$A$30, "opp goal*", [1]Sectors1!$D$1:$D$30)
+SUMIF([1]Sectors1!$A$1:$A$30, "opp point*", [1]Sectors1!$D$1:$D$30)
+SUMIF([1]Sectors1!$A$1:$A$30, "opp saved*", [1]Sectors1!$D$1:$D$30)
+SUMIF([1]Sectors1!$A$1:$A$30, "opp wide*", [1]Sectors1!$D$1:$D$30)
+SUMIF([1]Sectors1!$A$1:$A$30, "opp short*", [1]Sectors1!$D$1:$D$30)
+SUMIF([1]Sectors1!$A$1:$A$30, "opp out*", [1]Sectors1!$D$1:$D$30)</f>
        <v>4</v>
      </c>
      <c r="D18">
        <f>SUMIF([1]Sectors2!$A$1:$A$30, "goal*", [1]Sectors2!$D$1:$D$30)
+SUMIF([1]Sectors2!$A$1:$A$30, "point*", [1]Sectors2!$D$1:$D$30)
+SUMIF([1]Sectors2!$A$1:$A$30, "saved*", [1]Sectors2!$D$1:$D$30)
+SUMIF([1]Sectors2!$A$1:$A$30, "wide*", [1]Sectors2!$D$1:$D$30)
+SUMIF([1]Sectors2!$A$1:$A$30, "short*", [1]Sectors2!$D$1:$D$30)
+SUMIF([1]Sectors2!$A$1:$A$30, "out*", [1]Sectors2!$D$1:$D$30)</f>
        <v>3</v>
      </c>
      <c r="F18" s="6">
        <f t="shared" si="4"/>
        <v>0.75</v>
      </c>
      <c r="G18" s="6">
        <f>H7/D18</f>
        <v>0.66666666666666663</v>
      </c>
      <c r="H18" s="6"/>
    </row>
    <row r="19" spans="2:14" ht="15" x14ac:dyDescent="0.2">
      <c r="B19" s="1">
        <v>3</v>
      </c>
      <c r="C19">
        <f>SUMIF([1]Sectors1!$A$1:$A$30, "opp goal*", [1]Sectors1!$E$1:$E$30)
+SUMIF([1]Sectors1!$A$1:$A$30, "opp point*", [1]Sectors1!$E$1:$E$30)
+SUMIF([1]Sectors1!$A$1:$A$30, "opp saved*", [1]Sectors1!$E$1:$E$30)
+SUMIF([1]Sectors1!$A$1:$A$30, "opp wide*", [1]Sectors1!$E$1:$E$30)
+SUMIF([1]Sectors1!$A$1:$A$30, "opp short*", [1]Sectors1!$E$1:$E$30)
+SUMIF([1]Sectors1!$A$1:$A$30, "opp out*", [1]Sectors1!$E$1:$E$30)</f>
        <v>3</v>
      </c>
      <c r="D19">
        <f>SUMIF([1]Sectors2!$A$1:$A$30, "goal*", [1]Sectors2!$E$1:$E$30)
+SUMIF([1]Sectors2!$A$1:$A$30, "point*", [1]Sectors2!$E$1:$E$30)
+SUMIF([1]Sectors2!$A$1:$A$30, "saved*", [1]Sectors2!$E$1:$E$30)
+SUMIF([1]Sectors2!$A$1:$A$30, "wide*", [1]Sectors2!$E$1:$E$30)
+SUMIF([1]Sectors2!$A$1:$A$30, "short*", [1]Sectors2!$E$1:$E$30)
+SUMIF([1]Sectors2!$A$1:$A$30, "out*", [1]Sectors2!$E$1:$E$30)</f>
        <v>7</v>
      </c>
      <c r="F19" s="6">
        <f>IFERROR(E8/C19,0)</f>
        <v>1</v>
      </c>
      <c r="G19" s="6">
        <f>IFERROR(H8/D19,0)</f>
        <v>0.8571428571428571</v>
      </c>
      <c r="H19" s="6"/>
      <c r="I19" s="6"/>
    </row>
    <row r="20" spans="2:14" ht="15" x14ac:dyDescent="0.2">
      <c r="B20" s="1">
        <v>4</v>
      </c>
      <c r="C20">
        <f>SUMIF([1]Sectors1!$A$1:$A$30, "opp goal*", [1]Sectors1!$F$1:$F$30)
+SUMIF([1]Sectors1!$A$1:$A$30, "opp point*", [1]Sectors1!$F$1:$F$30)
+SUMIF([1]Sectors1!$A$1:$A$30, "opp saved*", [1]Sectors1!$F$1:$F$30)
+SUMIF([1]Sectors1!$A$1:$A$30, "opp wide*", [1]Sectors1!$F$1:$F$30)
+SUMIF([1]Sectors1!$A$1:$A$30, "opp short*", [1]Sectors1!$F$1:$F$30)
+SUMIF([1]Sectors1!$A$1:$A$30, "opp out*", [1]Sectors1!$F$1:$F$30)</f>
        <v>6</v>
      </c>
      <c r="D20">
        <f>SUMIF([1]Sectors2!$A$1:$A$30, "goal*", [1]Sectors2!$F$1:$F$30)
+SUMIF([1]Sectors2!$A$1:$A$30, "point*", [1]Sectors2!$F$1:$F$30)
+SUMIF([1]Sectors2!$A$1:$A$30, "saved*", [1]Sectors2!$F$1:$F$30)
+SUMIF([1]Sectors2!$A$1:$A$30, "wide*", [1]Sectors2!$F$1:$F$30)
+SUMIF([1]Sectors2!$A$1:$A$30, "short*", [1]Sectors2!$F$1:$F$30)
+SUMIF([1]Sectors2!$A$1:$A$30, "out*", [1]Sectors2!$F$1:$F$30)</f>
        <v>2</v>
      </c>
      <c r="F20" s="6">
        <f>IFERROR(E9/C20,0)</f>
        <v>0.66666666666666663</v>
      </c>
      <c r="G20" s="6">
        <f>IFERROR(H9/D20,0)</f>
        <v>0.5</v>
      </c>
      <c r="H20" s="6"/>
    </row>
    <row r="21" spans="2:14" ht="15" x14ac:dyDescent="0.2">
      <c r="B21" s="1">
        <v>5</v>
      </c>
      <c r="C21">
        <f>SUMIF([1]Sectors1!$A$1:$A$30, "opp goal*", [1]Sectors1!$G$1:$G$30)
+SUMIF([1]Sectors1!$A$1:$A$30, "opp point*", [1]Sectors1!$G$1:$G$30)
+SUMIF([1]Sectors1!$A$1:$A$30, "opp saved*", [1]Sectors1!$G$1:$G$30)
+SUMIF([1]Sectors1!$A$1:$A$30, "opp wide*", [1]Sectors1!$G$1:$G$30)
+SUMIF([1]Sectors1!$A$1:$A$30, "opp short*", [1]Sectors1!$G$1:$G$30)
+SUMIF([1]Sectors1!$A$1:$A$30, "opp out*", [1]Sectors1!$G$1:$G$30)</f>
        <v>3</v>
      </c>
      <c r="D21">
        <f>SUMIF([1]Sectors2!$A$1:$A$30, "goal*", [1]Sectors2!$G$1:$G$30)
+SUMIF([1]Sectors2!$A$1:$A$30, "point*", [1]Sectors2!$G$1:$G$30)
+SUMIF([1]Sectors2!$A$1:$A$30, "saved*", [1]Sectors2!$G$1:$G$30)
+SUMIF([1]Sectors2!$A$1:$A$30, "wide*", [1]Sectors2!$G$1:$G$30)
+SUMIF([1]Sectors2!$A$1:$A$30, "short*", [1]Sectors2!$G$1:$G$30)
+SUMIF([1]Sectors2!$A$1:$A$30, "out*", [1]Sectors2!$G$1:$G$30)</f>
        <v>10</v>
      </c>
      <c r="F21" s="6">
        <f>IFERROR(E10/C21,0)</f>
        <v>0.33333333333333331</v>
      </c>
      <c r="G21" s="6">
        <f>IFERROR(H10/D21,0)</f>
        <v>0.8</v>
      </c>
      <c r="H21" s="6"/>
    </row>
    <row r="22" spans="2:14" ht="15" x14ac:dyDescent="0.2">
      <c r="B22" s="1" t="s">
        <v>0</v>
      </c>
      <c r="C22">
        <f>SUM(C16:C21)</f>
        <v>30</v>
      </c>
      <c r="D22">
        <f>SUM(D16:D21)</f>
        <v>30</v>
      </c>
      <c r="F22" s="6">
        <f t="shared" si="4"/>
        <v>0.6333333333333333</v>
      </c>
      <c r="G22" s="6">
        <f>H11/D22</f>
        <v>0.8</v>
      </c>
      <c r="H22" s="6"/>
    </row>
    <row r="23" spans="2:14" ht="15" x14ac:dyDescent="0.2">
      <c r="B23" s="1"/>
    </row>
    <row r="24" spans="2:14" ht="15" x14ac:dyDescent="0.2">
      <c r="B24" s="1"/>
    </row>
    <row r="25" spans="2:14" ht="15" x14ac:dyDescent="0.2">
      <c r="B25" s="1" t="s">
        <v>15</v>
      </c>
    </row>
    <row r="26" spans="2:14" ht="15" x14ac:dyDescent="0.2">
      <c r="B26" s="7"/>
      <c r="C26" s="1" t="str">
        <f>[1]Sectors!$B$1</f>
        <v>away</v>
      </c>
      <c r="D26" s="7"/>
      <c r="E26" s="7"/>
      <c r="I26" s="7"/>
      <c r="J26" s="1" t="str">
        <f>[1]Sectors!$H$1</f>
        <v>home</v>
      </c>
    </row>
    <row r="27" spans="2:14" ht="15" x14ac:dyDescent="0.2">
      <c r="B27" s="3"/>
      <c r="C27" s="7" t="s">
        <v>49</v>
      </c>
      <c r="D27" s="7" t="s">
        <v>64</v>
      </c>
      <c r="F27" s="7" t="s">
        <v>62</v>
      </c>
      <c r="G27" s="7" t="s">
        <v>63</v>
      </c>
      <c r="H27" s="7"/>
      <c r="J27" s="7" t="s">
        <v>49</v>
      </c>
      <c r="K27" s="7" t="s">
        <v>64</v>
      </c>
      <c r="M27" s="7" t="s">
        <v>62</v>
      </c>
      <c r="N27" s="7" t="s">
        <v>63</v>
      </c>
    </row>
    <row r="28" spans="2:14" ht="15" x14ac:dyDescent="0.2">
      <c r="B28" s="7" t="s">
        <v>31</v>
      </c>
      <c r="C28" s="7">
        <f>SUMIF([1]Sectors1!A:A, "opp*won*", [1]Sectors1!B:B)</f>
        <v>2</v>
      </c>
      <c r="D28" s="7">
        <f>SUMIF([1]Sectors1!A:A, "opp*lost*", [1]Sectors1!B:B)</f>
        <v>1</v>
      </c>
      <c r="F28" s="7">
        <f t="shared" ref="F28:F33" si="5">C28+K28</f>
        <v>5</v>
      </c>
      <c r="G28">
        <f t="shared" ref="G28:G33" si="6">D28+J28</f>
        <v>4</v>
      </c>
      <c r="J28" s="7">
        <f>SUMIF([1]Sectors2!A:A, "own*won", [1]Sectors2!B:B)</f>
        <v>3</v>
      </c>
      <c r="K28" s="7">
        <f>SUMIF([1]Sectors2!A:A, "own*lost", [1]Sectors2!B:B)</f>
        <v>3</v>
      </c>
      <c r="M28" s="7">
        <f>J28+D28</f>
        <v>4</v>
      </c>
      <c r="N28">
        <f>K28+C28</f>
        <v>5</v>
      </c>
    </row>
    <row r="29" spans="2:14" ht="15" x14ac:dyDescent="0.2">
      <c r="B29" s="7" t="s">
        <v>32</v>
      </c>
      <c r="C29" s="7">
        <f>SUMIF([1]Sectors1!A:A, "opp*won*", [1]Sectors1!C:C)</f>
        <v>2</v>
      </c>
      <c r="D29" s="7">
        <f>SUMIF([1]Sectors1!A:A, "opp*lost*", [1]Sectors1!C:C)</f>
        <v>1</v>
      </c>
      <c r="F29" s="7">
        <f t="shared" si="5"/>
        <v>5</v>
      </c>
      <c r="G29">
        <f t="shared" si="6"/>
        <v>4</v>
      </c>
      <c r="J29" s="7">
        <f>SUMIF([1]Sectors2!A:A, "own*won", [1]Sectors2!C:C)</f>
        <v>3</v>
      </c>
      <c r="K29" s="7">
        <f>SUMIF([1]Sectors2!A:A, "own*lost", [1]Sectors2!C:C)</f>
        <v>3</v>
      </c>
      <c r="M29" s="7">
        <f t="shared" ref="M29:M33" si="7">J29+D29</f>
        <v>4</v>
      </c>
      <c r="N29">
        <f t="shared" ref="N29:N33" si="8">K29+C29</f>
        <v>5</v>
      </c>
    </row>
    <row r="30" spans="2:14" ht="15" x14ac:dyDescent="0.2">
      <c r="B30" s="7" t="s">
        <v>33</v>
      </c>
      <c r="C30" s="7">
        <f>SUMIF([1]Sectors1!A:A, "opp*won*", [1]Sectors1!D:D)</f>
        <v>2</v>
      </c>
      <c r="D30" s="7">
        <f>SUMIF([1]Sectors1!A:A, "opp*lost*", [1]Sectors1!D:D)</f>
        <v>1</v>
      </c>
      <c r="F30" s="7">
        <f t="shared" si="5"/>
        <v>3</v>
      </c>
      <c r="G30">
        <f t="shared" si="6"/>
        <v>3</v>
      </c>
      <c r="J30" s="7">
        <f>SUMIF([1]Sectors2!A:A, "own*won", [1]Sectors2!D:D)</f>
        <v>2</v>
      </c>
      <c r="K30" s="7">
        <f>SUMIF([1]Sectors2!A:A, "own*lost", [1]Sectors2!D:D)</f>
        <v>1</v>
      </c>
      <c r="M30" s="7">
        <f t="shared" si="7"/>
        <v>3</v>
      </c>
      <c r="N30">
        <f t="shared" si="8"/>
        <v>3</v>
      </c>
    </row>
    <row r="31" spans="2:14" ht="15" x14ac:dyDescent="0.2">
      <c r="B31" s="7" t="s">
        <v>34</v>
      </c>
      <c r="C31" s="7">
        <f>SUMIF([1]Sectors1!A:A, "opp*won*", [1]Sectors1!E:E)</f>
        <v>4</v>
      </c>
      <c r="D31" s="7">
        <f>SUMIF([1]Sectors1!A:A, "opp*lost*", [1]Sectors1!E:E)</f>
        <v>1</v>
      </c>
      <c r="F31" s="7">
        <f t="shared" si="5"/>
        <v>5</v>
      </c>
      <c r="G31">
        <f t="shared" si="6"/>
        <v>3</v>
      </c>
      <c r="J31" s="7">
        <f>SUMIF([1]Sectors2!A:A, "own*won", [1]Sectors2!E:E)</f>
        <v>2</v>
      </c>
      <c r="K31" s="7">
        <f>SUMIF([1]Sectors2!A:A, "own*lost", [1]Sectors2!E:E)</f>
        <v>1</v>
      </c>
      <c r="M31" s="7">
        <f t="shared" si="7"/>
        <v>3</v>
      </c>
      <c r="N31">
        <f t="shared" si="8"/>
        <v>5</v>
      </c>
    </row>
    <row r="32" spans="2:14" ht="15" x14ac:dyDescent="0.2">
      <c r="B32" s="7" t="s">
        <v>35</v>
      </c>
      <c r="C32" s="7">
        <f>SUMIF([1]Sectors1!A:A, "opp*won*", [1]Sectors1!F:F)</f>
        <v>1</v>
      </c>
      <c r="D32" s="7">
        <f>SUMIF([1]Sectors1!A:A, "opp*lost*", [1]Sectors1!F:F)</f>
        <v>1</v>
      </c>
      <c r="F32" s="7">
        <f t="shared" si="5"/>
        <v>3</v>
      </c>
      <c r="G32">
        <f t="shared" si="6"/>
        <v>4</v>
      </c>
      <c r="J32" s="7">
        <f>SUMIF([1]Sectors2!A:A, "own*won", [1]Sectors2!F:F)</f>
        <v>3</v>
      </c>
      <c r="K32" s="7">
        <f>SUMIF([1]Sectors2!A:A, "own*lost", [1]Sectors2!F:F)</f>
        <v>2</v>
      </c>
      <c r="M32" s="7">
        <f t="shared" si="7"/>
        <v>4</v>
      </c>
      <c r="N32">
        <f t="shared" si="8"/>
        <v>3</v>
      </c>
    </row>
    <row r="33" spans="2:14" ht="15" x14ac:dyDescent="0.2">
      <c r="B33" s="7" t="s">
        <v>36</v>
      </c>
      <c r="C33" s="7">
        <f>SUMIF([1]Sectors1!A:A, "opp*won*", [1]Sectors1!G:G)</f>
        <v>2</v>
      </c>
      <c r="D33" s="7">
        <f>SUMIF([1]Sectors1!A:A, "opp*lost*", [1]Sectors1!G:G)</f>
        <v>5</v>
      </c>
      <c r="F33" s="7">
        <f t="shared" si="5"/>
        <v>5</v>
      </c>
      <c r="G33">
        <f t="shared" si="6"/>
        <v>7</v>
      </c>
      <c r="J33" s="7">
        <f>SUMIF([1]Sectors2!A:A, "own*won", [1]Sectors2!G:G)</f>
        <v>2</v>
      </c>
      <c r="K33" s="7">
        <f>SUMIF([1]Sectors2!A:A, "own*lost", [1]Sectors2!G:G)</f>
        <v>3</v>
      </c>
      <c r="M33" s="7">
        <f t="shared" si="7"/>
        <v>7</v>
      </c>
      <c r="N33">
        <f t="shared" si="8"/>
        <v>5</v>
      </c>
    </row>
    <row r="34" spans="2:14" ht="15" x14ac:dyDescent="0.2">
      <c r="B34" s="7" t="s">
        <v>0</v>
      </c>
      <c r="C34">
        <f>SUM(C28:C33)</f>
        <v>13</v>
      </c>
      <c r="D34">
        <f t="shared" ref="D34" si="9">SUM(D28:D33)</f>
        <v>10</v>
      </c>
      <c r="F34">
        <f>SUM(F28:F33)</f>
        <v>26</v>
      </c>
      <c r="G34">
        <f>SUM(G28:G33)</f>
        <v>25</v>
      </c>
      <c r="J34">
        <f t="shared" ref="J34:K34" si="10">SUM(J28:J33)</f>
        <v>15</v>
      </c>
      <c r="K34">
        <f t="shared" si="10"/>
        <v>13</v>
      </c>
      <c r="M34">
        <f>SUM(M28:M33)</f>
        <v>25</v>
      </c>
      <c r="N34">
        <f>SUM(N28:N33)</f>
        <v>26</v>
      </c>
    </row>
    <row r="36" spans="2:14" ht="15" x14ac:dyDescent="0.2">
      <c r="B36" s="7" t="s">
        <v>4</v>
      </c>
    </row>
    <row r="37" spans="2:14" ht="15" x14ac:dyDescent="0.2">
      <c r="B37" s="7"/>
      <c r="C37" s="1" t="str">
        <f>[1]Sectors!$B$1</f>
        <v>away</v>
      </c>
      <c r="D37" s="1" t="str">
        <f>[1]Sectors!$H$1</f>
        <v>home</v>
      </c>
      <c r="E37" s="7"/>
      <c r="G37" s="7"/>
      <c r="H37" s="7"/>
      <c r="I37" s="7"/>
    </row>
    <row r="38" spans="2:14" ht="15" x14ac:dyDescent="0.2">
      <c r="B38" s="3"/>
      <c r="C38" s="7" t="s">
        <v>60</v>
      </c>
      <c r="D38" s="7" t="s">
        <v>60</v>
      </c>
      <c r="E38" s="7"/>
    </row>
    <row r="39" spans="2:14" ht="15" x14ac:dyDescent="0.2">
      <c r="B39" s="7" t="s">
        <v>31</v>
      </c>
      <c r="C39" s="7">
        <f>SUMIF([1]Sectors1!$A$1:$A$30, "opp free*", [1]Sectors1!$B$1:$B$30)</f>
        <v>1</v>
      </c>
      <c r="D39" s="7">
        <f>SUMIF([1]Sectors2!$A$1:$A$30, "free*", [1]Sectors2!$B$1:$B$30)</f>
        <v>3</v>
      </c>
      <c r="E39" s="7"/>
    </row>
    <row r="40" spans="2:14" ht="15" x14ac:dyDescent="0.2">
      <c r="B40" s="7" t="s">
        <v>32</v>
      </c>
      <c r="C40" s="7">
        <f>SUMIF([1]Sectors1!$A$1:$A$30, "opp free*", [1]Sectors1!$C$1:$C$30)</f>
        <v>2</v>
      </c>
      <c r="D40" s="7">
        <f>SUMIF([1]Sectors2!$A$1:$A$30, "free*", [1]Sectors2!$C$1:$C$30)</f>
        <v>2</v>
      </c>
      <c r="E40" s="7"/>
    </row>
    <row r="41" spans="2:14" ht="15" x14ac:dyDescent="0.2">
      <c r="B41" s="7" t="s">
        <v>33</v>
      </c>
      <c r="C41" s="7">
        <f>SUMIF([1]Sectors1!$A$1:$A$30, "opp free*", [1]Sectors1!$D$1:$D$30)</f>
        <v>2</v>
      </c>
      <c r="D41" s="7">
        <f>SUMIF([1]Sectors2!$A$1:$A$30, "free*", [1]Sectors2!$D$1:$D$30)</f>
        <v>3</v>
      </c>
      <c r="E41" s="7"/>
    </row>
    <row r="42" spans="2:14" ht="15" x14ac:dyDescent="0.2">
      <c r="B42" s="7" t="s">
        <v>34</v>
      </c>
      <c r="C42" s="7">
        <f>SUMIF([1]Sectors1!$A$1:$A$30, "opp free*", [1]Sectors1!$E$1:$E$30)</f>
        <v>0</v>
      </c>
      <c r="D42" s="7">
        <f>SUMIF([1]Sectors2!$A$1:$A$30, "free*", [1]Sectors2!$E$1:$E$30)</f>
        <v>1</v>
      </c>
      <c r="E42" s="7"/>
    </row>
    <row r="43" spans="2:14" ht="15" x14ac:dyDescent="0.2">
      <c r="B43" s="7" t="s">
        <v>35</v>
      </c>
      <c r="C43" s="7">
        <f>SUMIF([1]Sectors1!$A$1:$A$30, "opp free*", [1]Sectors1!$F$1:$F$30)</f>
        <v>5</v>
      </c>
      <c r="D43" s="7">
        <f>SUMIF([1]Sectors2!$A$1:$A$30, "free*", [1]Sectors2!$F$1:$F$30)</f>
        <v>1</v>
      </c>
      <c r="E43" s="7"/>
    </row>
    <row r="44" spans="2:14" ht="15" x14ac:dyDescent="0.2">
      <c r="B44" s="7" t="s">
        <v>36</v>
      </c>
      <c r="C44" s="7">
        <f>SUMIF([1]Sectors1!$A$1:$A$30, "opp free*", [1]Sectors1!$G$1:$G$30)</f>
        <v>4</v>
      </c>
      <c r="D44" s="7">
        <f>SUMIF([1]Sectors2!$A$1:$A$30, "free*", [1]Sectors2!$G$1:$G$30)</f>
        <v>2</v>
      </c>
      <c r="E44" s="7"/>
    </row>
    <row r="45" spans="2:14" ht="15" x14ac:dyDescent="0.2">
      <c r="B45" s="7" t="s">
        <v>0</v>
      </c>
      <c r="C45">
        <f>SUM(C39:C44)</f>
        <v>14</v>
      </c>
      <c r="D45">
        <f t="shared" ref="D45" si="11">SUM(D39:D44)</f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3D21-7266-5E49-BB69-E5F30A4C013D}">
  <dimension ref="B2:P36"/>
  <sheetViews>
    <sheetView workbookViewId="0">
      <selection activeCell="F30" sqref="F30"/>
    </sheetView>
  </sheetViews>
  <sheetFormatPr baseColWidth="10" defaultColWidth="11" defaultRowHeight="13" x14ac:dyDescent="0.15"/>
  <sheetData>
    <row r="2" spans="2:15" ht="15" x14ac:dyDescent="0.2">
      <c r="B2" s="1" t="s">
        <v>15</v>
      </c>
      <c r="C2" s="1" t="str">
        <f>[1]Location1!$B$1</f>
        <v>away</v>
      </c>
      <c r="D2" s="1"/>
      <c r="E2" s="1"/>
      <c r="F2" s="1"/>
      <c r="G2" s="1"/>
      <c r="H2" s="1" t="s">
        <v>20</v>
      </c>
      <c r="I2" s="1"/>
      <c r="J2" s="1"/>
      <c r="K2" s="1"/>
      <c r="L2" s="1"/>
      <c r="N2" t="s">
        <v>4</v>
      </c>
      <c r="O2" s="1"/>
    </row>
    <row r="3" spans="2:15" ht="15" x14ac:dyDescent="0.2">
      <c r="B3" s="1"/>
      <c r="C3" s="1"/>
      <c r="D3" s="1" t="s">
        <v>16</v>
      </c>
      <c r="E3" s="1" t="s">
        <v>17</v>
      </c>
      <c r="F3" s="1" t="s">
        <v>0</v>
      </c>
      <c r="G3" s="1"/>
      <c r="H3" s="1"/>
      <c r="I3" s="1"/>
      <c r="J3" s="1" t="s">
        <v>30</v>
      </c>
      <c r="K3" s="1" t="s">
        <v>0</v>
      </c>
      <c r="L3" s="1"/>
      <c r="O3" t="s">
        <v>0</v>
      </c>
    </row>
    <row r="4" spans="2:15" ht="15" x14ac:dyDescent="0.2">
      <c r="B4" s="1"/>
      <c r="C4" s="1" t="s">
        <v>5</v>
      </c>
      <c r="D4" s="1">
        <f>IFERROR(VLOOKUP("opp*won",[1]Location1!A1:Q18,MATCH(C4,[1]Location1!2:2,0),0), 0)</f>
        <v>0</v>
      </c>
      <c r="E4" s="1">
        <f>IFERROR(VLOOKUP("opp*lost",[1]Location1!A1:Q18,MATCH(C4,[1]Location1!2:2,0),0), 0)</f>
        <v>0</v>
      </c>
      <c r="F4" s="1">
        <f t="shared" ref="F4:F21" si="0">SUM(D4:E4)</f>
        <v>0</v>
      </c>
      <c r="G4" s="1"/>
      <c r="H4" s="1"/>
      <c r="I4" s="1" t="s">
        <v>5</v>
      </c>
      <c r="J4" s="1">
        <f>IFERROR(SUMIF([1]Location1!A:A,"opp point*",INDEX([1]Location1!$A:$Z,0,MATCH($I$4,[1]Location1!$2:$2,0))),0)+
IFERROR(SUMIF([1]Location1!A:A,"opp goal*",INDEX([1]Location1!$A:$Z,0,MATCH($I$4,[1]Location1!$2:$2,0))),0)</f>
        <v>0</v>
      </c>
      <c r="K4" s="1">
        <f>IFERROR(SUMIF([1]Location1!A:A,"opp point*",INDEX([1]Location1!$A:$Z,0,MATCH($I$4,[1]Location1!$2:$2,0)))+
SUMIF([1]Location1!A:A,"opp wide*",INDEX([1]Location1!$A:$Z,0,MATCH($I$4,[1]Location1!$2:$2,0)))+
SUMIF([1]Location1!A:A,"opp short*",INDEX([1]Location1!$A:$Z,0,MATCH($I$4,[1]Location1!$2:$2,0)))+
SUMIF([1]Location1!A:A,"opp save*",INDEX([1]Location1!$A:$Z,0,MATCH($I$4,[1]Location1!$2:$2,0)))+
IFERROR(SUMIF([1]Location1!A:A,"opp goal*",INDEX([1]Location1!$A:$Z,0,MATCH($I$4,[1]Location1!$2:$2,0))),0)+
SUMIF([1]Location1!A:A,"opp 65*",INDEX([1]Location1!$A:$Z,0,MATCH($I$4,[1]Location1!$2:$2,0))),0)+
IFERROR(SUMIF([1]Location1!A:A,"opp post*",INDEX([1]Location1!$A:$Z,0,MATCH($I$4,[1]Location1!$2:$2,0))),0)</f>
        <v>0</v>
      </c>
      <c r="L4" s="1"/>
      <c r="N4" s="1" t="s">
        <v>5</v>
      </c>
      <c r="O4">
        <f>IFERROR(SUMIF([1]Location1!A:A,"free*",INDEX([1]Location1!$A:$Z,0,MATCH($N$4,[1]Location1!$2:$2,0))),0)</f>
        <v>0</v>
      </c>
    </row>
    <row r="5" spans="2:15" ht="15" x14ac:dyDescent="0.2">
      <c r="B5" s="1"/>
      <c r="C5" s="1" t="s">
        <v>6</v>
      </c>
      <c r="D5" s="1">
        <f>IFERROR(VLOOKUP("opp*won",[1]Location1!A1:Q18,MATCH(C5,[1]Location1!2:2,0),0), 0)</f>
        <v>0</v>
      </c>
      <c r="E5" s="1">
        <f>IFERROR(VLOOKUP("opp*lost",[1]Location1!A1:Q18,MATCH(C5,[1]Location1!2:2,0),0), 0)</f>
        <v>0</v>
      </c>
      <c r="F5" s="1">
        <f t="shared" si="0"/>
        <v>0</v>
      </c>
      <c r="G5" s="1"/>
      <c r="H5" s="1"/>
      <c r="I5" s="1" t="s">
        <v>6</v>
      </c>
      <c r="J5" s="1">
        <f>IFERROR(SUMIF([1]Location1!A:A,"opp point*",INDEX([1]Location1!$A:$Z,0,MATCH($I$5,[1]Location1!$2:$2,0))),0)+
IFERROR(SUMIF([1]Location1!A:A,"opp goal*",INDEX([1]Location1!$A:$Z,0,MATCH($I$5,[1]Location1!$2:$2,0))),0)</f>
        <v>1</v>
      </c>
      <c r="K5" s="1">
        <f>IFERROR(SUMIF([1]Location1!A:A,"opp point*",INDEX([1]Location1!$A:$Z,0,MATCH($I$5,[1]Location1!$2:$2,0)))+
SUMIF([1]Location1!A:A,"opp wide*",INDEX([1]Location1!$A:$Z,0,MATCH($I$5,[1]Location1!$2:$2,0)))+
SUMIF([1]Location1!A:A,"opp short*",INDEX([1]Location1!$A:$Z,0,MATCH($I$5,[1]Location1!$2:$2,0)))+
SUMIF([1]Location1!A:A,"opp save*",INDEX([1]Location1!$A:$Z,0,MATCH($I$5,[1]Location1!$2:$2,0)))+
SUMIF([1]Location1!A:A,"opp 65*",INDEX([1]Location1!$A:$Z,0,MATCH($I$5,[1]Location1!$2:$2,0))),0)+
IFERROR(SUMIF([1]Location1!A:A,"opp goal*",INDEX([1]Location1!$A:$Z,0,MATCH($I$5,[1]Location1!$2:$2,0))),0)+
IFERROR(SUMIF([1]Location1!A:A,"opp post*",INDEX([1]Location1!$A:$Z,0,MATCH($I$5,[1]Location1!$2:$2,0))),0)</f>
        <v>3</v>
      </c>
      <c r="N5" s="1" t="s">
        <v>6</v>
      </c>
      <c r="O5">
        <f>IFERROR(SUMIF([1]Location1!A:A,"opp free*",INDEX([1]Location1!$A:$Z,0,MATCH($N$5,[1]Location1!$2:$2,0))),0)</f>
        <v>0</v>
      </c>
    </row>
    <row r="6" spans="2:15" ht="15" x14ac:dyDescent="0.2">
      <c r="B6" s="1"/>
      <c r="C6" s="1" t="s">
        <v>7</v>
      </c>
      <c r="D6" s="1">
        <f>IFERROR(VLOOKUP("opp*won",[1]Location1!A1:Q18,MATCH(C6,[1]Location1!2:2,0),0), 0)</f>
        <v>0</v>
      </c>
      <c r="E6" s="1">
        <f>IFERROR(VLOOKUP("opp*lost",[1]Location1!A1:Q18,MATCH(C6,[1]Location1!2:2,0),0), 0)</f>
        <v>0</v>
      </c>
      <c r="F6" s="1">
        <f t="shared" si="0"/>
        <v>0</v>
      </c>
      <c r="G6" s="1"/>
      <c r="H6" s="1"/>
      <c r="I6" s="1" t="s">
        <v>7</v>
      </c>
      <c r="J6" s="1">
        <f>IFERROR(SUMIF([1]Location1!A:A,"opp point*",INDEX([1]Location1!$A:$Z,0,MATCH($I$6,[1]Location1!$2:$2,0))),0)+
IFERROR(SUMIF([1]Location1!A:A,"opp goal*",INDEX([1]Location1!$A:$Z,0,MATCH($I$6,[1]Location1!$2:$2,0))),0)</f>
        <v>1</v>
      </c>
      <c r="K6" s="1">
        <f>IFERROR(SUMIF([1]Location1!A:A,"opp point*",INDEX([1]Location1!$A:$Z,0,MATCH($I$6,[1]Location1!$2:$2,0)))+
SUMIF([1]Location1!A:A,"opp wide*",INDEX([1]Location1!$A:$Z,0,MATCH($I$6,[1]Location1!$2:$2,0)))+
SUMIF([1]Location1!A:A,"opp short*",INDEX([1]Location1!$A:$Z,0,MATCH($I$6,[1]Location1!$2:$2,0)))+
SUMIF([1]Location1!A:A,"opp save*",INDEX([1]Location1!$A:$Z,0,MATCH($I$6,[1]Location1!$2:$2,0)))+
SUMIF([1]Location1!A:A,"opp 65*",INDEX([1]Location1!$A:$Z,0,MATCH($I$6,[1]Location1!$2:$2,0))),0)+
IFERROR(SUMIF([1]Location1!A:A,"opp goal*",INDEX([1]Location1!$A:$Z,0,MATCH($I$6,[1]Location1!$2:$2,0))),0)+
IFERROR(SUMIF([1]Location1!A:A,"opp post*",INDEX([1]Location1!$A:$Z,0,MATCH($I$6,[1]Location1!$2:$2,0))),0)</f>
        <v>1</v>
      </c>
      <c r="N6" s="1" t="s">
        <v>7</v>
      </c>
      <c r="O6">
        <f>IFERROR(SUMIF([1]Location1!A:A,"opp free*",INDEX([1]Location1!$A:$Z,0,MATCH($N$6,[1]Location1!$2:$2,0))),0)</f>
        <v>0</v>
      </c>
    </row>
    <row r="7" spans="2:15" ht="15" x14ac:dyDescent="0.2">
      <c r="B7" s="1"/>
      <c r="C7" s="1" t="s">
        <v>8</v>
      </c>
      <c r="D7" s="1">
        <f>IFERROR(VLOOKUP("opp*won",[1]Location1!A1:Q18,MATCH(C7,[1]Location1!2:2,0),0), 0)</f>
        <v>2</v>
      </c>
      <c r="E7" s="1">
        <f>IFERROR(VLOOKUP("opp*lost",[1]Location1!A1:Q18,MATCH(C7,[1]Location1!2:2,0),0), 0)</f>
        <v>0</v>
      </c>
      <c r="F7" s="1">
        <f t="shared" si="0"/>
        <v>2</v>
      </c>
      <c r="G7" s="1"/>
      <c r="H7" s="1"/>
      <c r="I7" s="1" t="s">
        <v>8</v>
      </c>
      <c r="J7" s="1">
        <f>IFERROR(SUMIF([1]Location1!A:A,"opp point*",INDEX([1]Location1!$A:$Z,0,MATCH($I$7,[1]Location1!$2:$2,0))),0)+
IFERROR(SUMIF([1]Location1!A:A,"opp goal*",INDEX([1]Location1!$A:$Z,0,MATCH($I$7,[1]Location1!$2:$2,0))),0)</f>
        <v>1</v>
      </c>
      <c r="K7">
        <f>IFERROR(SUMIF([1]Location1!A:A,"opp point*",INDEX([1]Location1!$A:$Z,0,MATCH($I$7,[1]Location1!$2:$2,0)))+
SUMIF([1]Location1!A:A,"opp wide*",INDEX([1]Location1!$A:$Z,0,MATCH($I$7,[1]Location1!$2:$2,0)))+
SUMIF([1]Location1!A:A,"opp short*",INDEX([1]Location1!$A:$Z,0,MATCH($I$7,[1]Location1!$2:$2,0)))+
SUMIF([1]Location1!A:A,"opp save*",INDEX([1]Location1!$A:$Z,0,MATCH($I$7,[1]Location1!$2:$2,0)))+
SUMIF([1]Location1!A:A,"opp 65*",INDEX([1]Location1!$A:$Z,0,MATCH($I$7,[1]Location1!$2:$2,0))),0)+
IFERROR(SUMIF([1]Location1!A:A,"opp goal*",INDEX([1]Location1!$A:$Z,0,MATCH($I$7,[1]Location1!$2:$2,0))),0)+
IFERROR(SUMIF([1]Location1!A:A,"opp post*",INDEX([1]Location1!$A:$Z,0,MATCH($I$7,[1]Location1!$2:$2,0))),0)</f>
        <v>1</v>
      </c>
      <c r="N7" s="1" t="s">
        <v>8</v>
      </c>
      <c r="O7">
        <f>IFERROR(SUMIF([1]Location1!A:A,"opp free*",INDEX([1]Location1!$A:$Z,0,MATCH($N$7,[1]Location1!$2:$2,0))),0)</f>
        <v>0</v>
      </c>
    </row>
    <row r="8" spans="2:15" ht="15" x14ac:dyDescent="0.2">
      <c r="B8" s="1"/>
      <c r="C8" s="1" t="s">
        <v>9</v>
      </c>
      <c r="D8" s="1">
        <f>IFERROR(VLOOKUP("opp*won",[1]Location1!A1:Q18,MATCH(C8,[1]Location1!2:2,0),0), 0)</f>
        <v>0</v>
      </c>
      <c r="E8" s="1">
        <f>IFERROR(VLOOKUP("opp*lost",[1]Location1!A1:Q18,MATCH(C8,[1]Location1!2:2,0),0), 0)</f>
        <v>0</v>
      </c>
      <c r="F8" s="1">
        <f t="shared" si="0"/>
        <v>0</v>
      </c>
      <c r="G8" s="1"/>
      <c r="H8" s="1"/>
      <c r="I8" s="1" t="s">
        <v>9</v>
      </c>
      <c r="J8" s="1">
        <f>IFERROR(SUMIF([1]Location1!A:A,"opp point*",INDEX([1]Location1!$A:$Z,0,MATCH($I$8,[1]Location1!$2:$2,0))),0)+
IFERROR(SUMIF([1]Location1!A:A,"opp goal*",INDEX([1]Location1!$A:$Z,0,MATCH($I$8,[1]Location1!$2:$2,0))),0)</f>
        <v>2</v>
      </c>
      <c r="K8" s="1">
        <f>IFERROR(IFERROR(SUMIF([1]Location1!A:A,"opp point*",INDEX([1]Location1!$A:$Z,0,MATCH($I$8,[1]Location1!$2:$2,0))),0)+
IFERROR(SUMIF([1]Location1!A:A,"opp wide*",INDEX([1]Location1!$A:$Z,0,MATCH($I$8,[1]Location1!$2:$2,0))),0)+
IFERROR(SUMIF([1]Location1!A:A,"opp short*",INDEX([1]Location1!$A:$Z,0,MATCH($I$8,[1]Location1!$2:$2,0))),0)+
IFERROR(SUMIF([1]Location1!A:A,"opp save*",INDEX([1]Location1!$A:$Z,0,MATCH($I$8,[1]Location1!$2:$2,0))),0)+
IFERROR(SUMIF([1]Location1!A:A,"opp 65*",INDEX([1]Location1!$A:$Z,0,MATCH($I$8,[1]Location1!$2:$2,0))),0),0)+
IFERROR(SUMIF([1]Location1!A:A,"opp goal*",INDEX([1]Location1!$A:$Z,0,MATCH($I$8,[1]Location1!$2:$2,0))),0)+
IFERROR(SUMIF([1]Location1!A:A,"opp post*",INDEX([1]Location1!$A:$Z,0,MATCH($I$8,[1]Location1!$2:$2,0))),0)</f>
        <v>2</v>
      </c>
      <c r="N8" s="1" t="s">
        <v>9</v>
      </c>
      <c r="O8">
        <f>IFERROR(SUMIF([1]Location1!A:A,"opp free*",INDEX([1]Location1!$A:$Z,0,MATCH($N$8,[1]Location1!$2:$2,0))),0)</f>
        <v>1</v>
      </c>
    </row>
    <row r="9" spans="2:15" ht="15" x14ac:dyDescent="0.2">
      <c r="B9" s="1"/>
      <c r="C9" s="1" t="s">
        <v>10</v>
      </c>
      <c r="D9" s="1">
        <f>IFERROR(VLOOKUP("opp*won",[1]Location1!A1:Q18,MATCH(C9,[1]Location1!2:2,0),0), 0)</f>
        <v>2</v>
      </c>
      <c r="E9" s="1">
        <f>IFERROR(VLOOKUP("opp*lost",[1]Location1!A1:Q18,MATCH(C9,[1]Location1!2:2,0),0), 0)</f>
        <v>2</v>
      </c>
      <c r="F9" s="1">
        <f t="shared" si="0"/>
        <v>4</v>
      </c>
      <c r="G9" s="1"/>
      <c r="H9" s="1"/>
      <c r="I9" s="1" t="s">
        <v>10</v>
      </c>
      <c r="J9" s="1">
        <f>IFERROR(SUMIF([1]Location1!A:A,"opp point*",INDEX([1]Location1!$A:$Z,0,MATCH($I$9,[1]Location1!$2:$2,0))),0)+
IFERROR(SUMIF([1]Location1!A:A,"opp goal*",INDEX([1]Location1!$A:$Z,0,MATCH($I$9,[1]Location1!$2:$2,0))),0)</f>
        <v>3</v>
      </c>
      <c r="K9" s="1">
        <f>IFERROR(SUMIF([1]Location1!A:A,"opp point*",INDEX([1]Location1!$A:$Z,0,MATCH($I$9,[1]Location1!$2:$2,0)))+
SUMIF([1]Location1!A:A,"opp wide*",INDEX([1]Location1!$A:$Z,0,MATCH($I$9,[1]Location1!$2:$2,0)))+
SUMIF([1]Location1!A:A,"opp short*",INDEX([1]Location1!$A:$Z,0,MATCH($I$9,[1]Location1!$2:$2,0)))+
SUMIF([1]Location1!A:A,"opp save*",INDEX([1]Location1!$A:$Z,0,MATCH($I$9,[1]Location1!$2:$2,0)))+
SUMIF([1]Location1!A:A,"opp 65*",INDEX([1]Location1!$A:$Z,0,MATCH($I$9,[1]Location1!$2:$2,0))),0)+
IFERROR(SUMIF([1]Location1!A:A,"opp goal*",INDEX([1]Location1!$A:$Z,0,MATCH($I$9,[1]Location1!$2:$2,0))),0)+
IFERROR(SUMIF([1]Location1!A:A,"opp post*",INDEX([1]Location1!$A:$Z,0,MATCH($I$9,[1]Location1!$2:$2,0))),0)</f>
        <v>5</v>
      </c>
      <c r="N9" s="1" t="s">
        <v>10</v>
      </c>
      <c r="O9">
        <f>IFERROR(SUMIF([1]Location1!A:A,"opp free*",INDEX([1]Location1!$A:$Z,0,MATCH($N$9,[1]Location1!$2:$2,0))),0)</f>
        <v>0</v>
      </c>
    </row>
    <row r="10" spans="2:15" ht="15" x14ac:dyDescent="0.2">
      <c r="B10" s="1"/>
      <c r="C10" s="1" t="s">
        <v>13</v>
      </c>
      <c r="D10" s="1">
        <f>IFERROR(VLOOKUP("opp*won",[1]Location1!A1:Q18,MATCH(C10,[1]Location1!2:2,0),0), 0)</f>
        <v>1</v>
      </c>
      <c r="E10" s="1">
        <f>IFERROR(VLOOKUP("opp*lost",[1]Location1!A1:Q18,MATCH(C10,[1]Location1!2:2,0),0), 0)</f>
        <v>2</v>
      </c>
      <c r="F10" s="1">
        <f t="shared" si="0"/>
        <v>3</v>
      </c>
      <c r="G10" s="1"/>
      <c r="H10" s="1"/>
      <c r="I10" s="1" t="s">
        <v>13</v>
      </c>
      <c r="J10" s="1">
        <f>IFERROR(SUMIF([1]Location1!A:A,"opp point*",INDEX([1]Location1!$A:$Z,0,MATCH($I$10,[1]Location1!$2:$2,0))),0)+
IFERROR(SUMIF([1]Location1!A:A,"opp goal*",INDEX([1]Location1!$A:$Z,0,MATCH($I$10,[1]Location1!$2:$2,0))),0)</f>
        <v>0</v>
      </c>
      <c r="K10" s="1">
        <f>IFERROR(SUMIF([1]Location1!A:A,"opp point*",INDEX([1]Location1!$A:$Z,0,MATCH($I$10,[1]Location1!$2:$2,0)))+
SUMIF([1]Location1!A:A,"opp wide*",INDEX([1]Location1!$A:$Z,0,MATCH($I$10,[1]Location1!$2:$2,0)))+
SUMIF([1]Location1!A:A,"opp short*",INDEX([1]Location1!$A:$Z,0,MATCH($I$10,[1]Location1!$2:$2,0)))+
SUMIF([1]Location1!A:A,"opp save*",INDEX([1]Location1!$A:$Z,0,MATCH($I$10,[1]Location1!$2:$2,0)))+
SUMIF([1]Location1!A:A,"opp 65*",INDEX([1]Location1!$A:$Z,0,MATCH($I$10,[1]Location1!$2:$2,0))),0)+
IFERROR(SUMIF([1]Location1!A:A,"opp goal*",INDEX([1]Location1!$A:$Z,0,MATCH($I$10,[1]Location1!$2:$2,0))),0)+
IFERROR(SUMIF([1]Location1!A:A,"opp post*",INDEX([1]Location1!$A:$Z,0,MATCH($I$10,[1]Location1!$2:$2,0))),0)</f>
        <v>0</v>
      </c>
      <c r="N10" s="1" t="s">
        <v>13</v>
      </c>
      <c r="O10">
        <f>IFERROR(SUMIF([1]Location1!A:A,"opp free*",INDEX([1]Location1!$A:$Z,0,MATCH($N$10,[1]Location1!$2:$2,0))),0)</f>
        <v>3</v>
      </c>
    </row>
    <row r="11" spans="2:15" ht="15" x14ac:dyDescent="0.2">
      <c r="B11" s="1"/>
      <c r="C11" s="1" t="s">
        <v>11</v>
      </c>
      <c r="D11" s="1">
        <f>IFERROR(VLOOKUP("opp*won",[1]Location1!A1:Q18,MATCH(C11,[1]Location1!2:2,0),0), 0)</f>
        <v>0</v>
      </c>
      <c r="E11" s="1">
        <f>IFERROR(VLOOKUP("opp*lost",[1]Location1!A1:Q18,MATCH(C11,[1]Location1!2:2,0),0), 0)</f>
        <v>0</v>
      </c>
      <c r="F11" s="1">
        <f t="shared" si="0"/>
        <v>0</v>
      </c>
      <c r="G11" s="1"/>
      <c r="H11" s="1"/>
      <c r="I11" s="1" t="s">
        <v>11</v>
      </c>
      <c r="J11" s="1">
        <f>IFERROR(SUMIF([1]Location1!A:A,"opp point*",INDEX([1]Location1!$A:$Z,0,MATCH($I$11,[1]Location1!$2:$2,0))),0)+
IFERROR(SUMIF([1]Location1!A:A,"opp goal*",INDEX([1]Location1!$A:$Z,0,MATCH($I$11,[1]Location1!$2:$2,0))),0)</f>
        <v>1</v>
      </c>
      <c r="K11" s="1">
        <f>IFERROR(SUMIF([1]Location1!A:A,"opp point*",INDEX([1]Location1!$A:$Z,0,MATCH($I$11,[1]Location1!$2:$2,0)))+
SUMIF([1]Location1!A:A,"opp wide*",INDEX([1]Location1!$A:$Z,0,MATCH($I$11,[1]Location1!$2:$2,0)))+
SUMIF([1]Location1!A:A,"opp short*",INDEX([1]Location1!$A:$Z,0,MATCH($I$11,[1]Location1!$2:$2,0)))+
SUMIF([1]Location1!A:A,"opp save*",INDEX([1]Location1!$A:$Z,0,MATCH($I$11,[1]Location1!$2:$2,0)))+
SUMIF([1]Location1!A:A,"opp 65*",INDEX([1]Location1!$A:$Z,0,MATCH($I$11,[1]Location1!$2:$2,0))),0)+
IFERROR(SUMIF([1]Location1!A:A,"opp goal*",INDEX([1]Location1!$A:$Z,0,MATCH($I$11,[1]Location1!$2:$2,0))),0)+
IFERROR(SUMIF([1]Location1!A:A,"opp post*",INDEX([1]Location1!$A:$Z,0,MATCH($I$11,[1]Location1!$2:$2,0))),0)</f>
        <v>1</v>
      </c>
      <c r="N11" s="1" t="s">
        <v>11</v>
      </c>
      <c r="O11">
        <f>IFERROR(SUMIF([1]Location1!A:A,"opp free*",INDEX([1]Location1!$A:$Z,0,MATCH($N$11,[1]Location1!$2:$2,0))),0)</f>
        <v>1</v>
      </c>
    </row>
    <row r="12" spans="2:15" ht="15" x14ac:dyDescent="0.2">
      <c r="B12" s="1"/>
      <c r="C12" s="1" t="s">
        <v>12</v>
      </c>
      <c r="D12" s="1">
        <f>IFERROR(VLOOKUP("opp*won",[1]Location1!A1:Q18,MATCH(C12,[1]Location1!2:2,0),0), 0)</f>
        <v>0</v>
      </c>
      <c r="E12" s="1">
        <f>IFERROR(VLOOKUP("opp*lost",[1]Location1!A1:Q18,MATCH(C12,[1]Location1!2:2,0),0), 0)</f>
        <v>1</v>
      </c>
      <c r="F12" s="1">
        <f t="shared" si="0"/>
        <v>1</v>
      </c>
      <c r="G12" s="1"/>
      <c r="H12" s="1"/>
      <c r="I12" s="1" t="s">
        <v>12</v>
      </c>
      <c r="J12" s="1">
        <f>IFERROR(SUMIF([1]Location1!A:A,"opp point*",INDEX([1]Location1!$A:$Z,0,MATCH($I$12,[1]Location1!$2:$2,0))),0)+
IFERROR(SUMIF([1]Location1!A:A,"opp goal*",INDEX([1]Location1!$A:$Z,0,MATCH($I$12,[1]Location1!$2:$2,0))),0)</f>
        <v>1</v>
      </c>
      <c r="K12" s="1">
        <f>IFERROR(SUMIF([1]Location1!A:A,"opp point*",INDEX([1]Location1!$A:$Z,0,MATCH($I$12,[1]Location1!$2:$2,0)))+
SUMIF([1]Location1!A:A,"opp wide*",INDEX([1]Location1!$A:$Z,0,MATCH($I$12,[1]Location1!$2:$2,0)))+
SUMIF([1]Location1!A:A,"opp short*",INDEX([1]Location1!$A:$Z,0,MATCH($I$12,[1]Location1!$2:$2,0)))+
SUMIF([1]Location1!A:A,"opp save*",INDEX([1]Location1!$A:$Z,0,MATCH($I$12,[1]Location1!$2:$2,0)))+
SUMIF([1]Location1!A:A,"opp 65*",INDEX([1]Location1!$A:$Z,0,MATCH($I$12,[1]Location1!$2:$2,0))),0)+
IFERROR(SUMIF([1]Location1!A:A,"opp goal*",INDEX([1]Location1!$A:$Z,0,MATCH($I$12,[1]Location1!$2:$2,0))),0)+
IFERROR(SUMIF([1]Location1!A:A,"opp post*",INDEX([1]Location1!$A:$Z,0,MATCH($I$12,[1]Location1!$2:$2,0))),0)</f>
        <v>2</v>
      </c>
      <c r="N12" s="1" t="s">
        <v>12</v>
      </c>
      <c r="O12">
        <f>IFERROR(SUMIF([1]Location1!A:A,"opp free*",INDEX([1]Location1!$A:$Z,0,MATCH($N$12,[1]Location1!$2:$2,0))),0)</f>
        <v>1</v>
      </c>
    </row>
    <row r="13" spans="2:15" ht="15" x14ac:dyDescent="0.2">
      <c r="B13" s="1"/>
      <c r="C13" s="1" t="s">
        <v>69</v>
      </c>
      <c r="D13" s="1">
        <f>IFERROR(VLOOKUP("opp*won",[1]Location1!A1:Q18,MATCH(C13,[1]Location1!2:2,0),0), 0)</f>
        <v>1</v>
      </c>
      <c r="E13" s="1">
        <f>IFERROR(VLOOKUP("opp*lost",[1]Location1!A1:Q18,MATCH(C13,[1]Location1!2:2,0),0), 0)</f>
        <v>2</v>
      </c>
      <c r="F13" s="1">
        <f t="shared" si="0"/>
        <v>3</v>
      </c>
      <c r="G13" s="1"/>
      <c r="H13" s="1"/>
      <c r="I13" s="1" t="s">
        <v>69</v>
      </c>
      <c r="J13" s="1">
        <f>IFERROR(SUMIF([1]Location1!A:A,"opp point*",INDEX([1]Location1!$A:$Z,0,MATCH($I$13,[1]Location1!$2:$2,0))),0)+
IFERROR(SUMIF([1]Location1!A:A,"opp goal*",INDEX([1]Location1!$A:$Z,0,MATCH($I$13,[1]Location1!$2:$2,0))),0)</f>
        <v>2</v>
      </c>
      <c r="K13" s="1">
        <f>IFERROR(SUMIF([1]Location1!A:A,"opp point*",INDEX([1]Location1!$A:$Z,0,MATCH($I$13,[1]Location1!$2:$2,0)))+
SUMIF([1]Location1!A:A,"opp wide*",INDEX([1]Location1!$A:$Z,0,MATCH($I$13,[1]Location1!$2:$2,0)))+
SUMIF([1]Location1!A:A,"opp short*",INDEX([1]Location1!$A:$Z,0,MATCH($I$13,[1]Location1!$2:$2,0)))+
SUMIF([1]Location1!A:A,"opp save*",INDEX([1]Location1!$A:$Z,0,MATCH($I$13,[1]Location1!$2:$2,0)))+
SUMIF([1]Location1!A:A,"opp 65*",INDEX([1]Location1!$A:$Z,0,MATCH($I$13,[1]Location1!$2:$2,0)))+
IFERROR(SUMIF([1]Location1!A:A,"opp goal*",INDEX([1]Location1!$A:$Z,0,MATCH($I$13,[1]Location1!$2:$2,0))),0),0)+
IFERROR(SUMIF([1]Location1!A:A,"opp post*",INDEX([1]Location1!$A:$Z,0,MATCH($I$13,[1]Location1!$2:$2,0))),0)</f>
        <v>6</v>
      </c>
      <c r="N13" s="1" t="s">
        <v>69</v>
      </c>
      <c r="O13">
        <f>IFERROR(SUMIF([1]Location1!A:A,"opp free*",INDEX([1]Location1!$A:$Z,0,MATCH($N$13,[1]Location1!$2:$2,0))),0)</f>
        <v>0</v>
      </c>
    </row>
    <row r="14" spans="2:15" ht="15" x14ac:dyDescent="0.2">
      <c r="B14" s="1"/>
      <c r="C14" s="1" t="s">
        <v>72</v>
      </c>
      <c r="D14" s="1">
        <f>IFERROR(VLOOKUP("opp*won",[1]Location1!A1:Q18,MATCH(C14,[1]Location1!2:2,0),0), 0)</f>
        <v>2</v>
      </c>
      <c r="E14" s="1">
        <f>IFERROR(VLOOKUP("opp*lost",[1]Location1!A1:Q18,MATCH(C14,[1]Location1!2:2,0),0), 0)</f>
        <v>0</v>
      </c>
      <c r="F14" s="1">
        <f t="shared" si="0"/>
        <v>2</v>
      </c>
      <c r="G14" s="1"/>
      <c r="H14" s="1"/>
      <c r="I14" s="1" t="s">
        <v>72</v>
      </c>
      <c r="J14" s="1">
        <f>IFERROR(SUMIF([1]Location1!A:A,"opp point*",INDEX([1]Location1!$A:$Z,0,MATCH($I$14,[1]Location1!$2:$2,0))),0)+
IFERROR(SUMIF([1]Location1!A:A,"opp goal*",INDEX([1]Location1!$A:$Z,0,MATCH($I$14,[1]Location1!$2:$2,0))),0)</f>
        <v>1</v>
      </c>
      <c r="K14" s="1">
        <f>IFERROR(SUMIF([1]Location1!A:A,"opp point*",INDEX([1]Location1!$A:$Z,0,MATCH($I$14,[1]Location1!$2:$2,0))),0)+
IFERROR(SUMIF([1]Location1!A:A,"opp wide*",INDEX([1]Location1!$A:$Z,0,MATCH($I$14,[1]Location1!$2:$2,0))),0)+
IFERROR(SUMIF([1]Location1!A:A,"opp short*",INDEX([1]Location1!$A:$Z,0,MATCH($I$14,[1]Location1!$2:$2,0))),0)+
IFERROR(SUMIF([1]Location1!A:A,"opp save*",INDEX([1]Location1!$A:$Z,0,MATCH($I$14,[1]Location1!$2:$2,0))),0)+
IFERROR(SUMIF([1]Location1!A:A,"opp 65*",INDEX([1]Location1!$A:$Z,0,MATCH($I$14,[1]Location1!$2:$2,0))),0)+
IFERROR(SUMIF([1]Location1!A:A,"opp goal*",INDEX([1]Location1!$A:$Z,0,MATCH($I$14,[1]Location1!$2:$2,0))),0)+
IFERROR(SUMIF([1]Location1!A:A,"opp post*",INDEX([1]Location1!$A:$Z,0,MATCH($I$14,[1]Location1!$2:$2,0))),0)</f>
        <v>4</v>
      </c>
      <c r="N14" s="1" t="s">
        <v>72</v>
      </c>
      <c r="O14">
        <f>IFERROR(SUMIF([1]Location1!A:A,"opp free*",INDEX([1]Location1!$A:$Z,0,MATCH($N$14,[1]Location1!$2:$2,0))),0)</f>
        <v>1</v>
      </c>
    </row>
    <row r="15" spans="2:15" ht="15" x14ac:dyDescent="0.2">
      <c r="B15" s="1"/>
      <c r="C15" s="1" t="s">
        <v>73</v>
      </c>
      <c r="D15" s="1">
        <f>IFERROR(VLOOKUP("opp*won",[1]Location1!A1:Q18,MATCH(C15,[1]Location1!2:2,0),0), 0)</f>
        <v>1</v>
      </c>
      <c r="E15" s="1">
        <f>IFERROR(VLOOKUP("opp*lost",[1]Location1!A1:Q18,MATCH(C15,[1]Location1!2:2,0),0), 0)</f>
        <v>2</v>
      </c>
      <c r="F15" s="1">
        <f t="shared" si="0"/>
        <v>3</v>
      </c>
      <c r="G15" s="1"/>
      <c r="H15" s="1"/>
      <c r="I15" s="1" t="s">
        <v>73</v>
      </c>
      <c r="J15" s="1">
        <f>IFERROR(SUMIF([1]Location1!A:A,"opp point*",INDEX([1]Location1!$A:$Z,0,MATCH($I$15,[1]Location1!$2:$2,0))),0)+
IFERROR(SUMIF([1]Location1!A:A,"opp goal*",INDEX([1]Location1!$A:$Z,0,MATCH($I$15,[1]Location1!$2:$2,0))),0)</f>
        <v>2</v>
      </c>
      <c r="K15" s="1">
        <f>IFERROR(SUMIF([1]Location1!A:A,"opp point*",INDEX([1]Location1!$A:$Z,0,MATCH($I$15,[1]Location1!$2:$2,0)))+
SUMIF([1]Location1!A:A,"opp wide*",INDEX([1]Location1!$A:$Z,0,MATCH($I$15,[1]Location1!$2:$2,0)))+
SUMIF([1]Location1!A:A,"opp short*",INDEX([1]Location1!$A:$Z,0,MATCH($I$15,[1]Location1!$2:$2,0)))+
SUMIF([1]Location1!A:A,"opp save*",INDEX([1]Location1!$A:$Z,0,MATCH($I$15,[1]Location1!$2:$2,0)))+
SUMIF([1]Location1!A:A,"opp 65",INDEX([1]Location1!$A:$Z,0,MATCH($I$15,[1]Location1!$2:$2,0))),0)+
IFERROR(SUMIF([1]Location1!A:A,"opp goal*",INDEX([1]Location1!$A:$Z,0,MATCH($I$15,[1]Location1!$2:$2,0))),0)+
IFERROR(SUMIF([1]Location1!A:A,"opp post*",INDEX([1]Location1!$A:$Z,0,MATCH($I$15,[1]Location1!$2:$2,0))),0)</f>
        <v>3</v>
      </c>
      <c r="N15" s="1" t="s">
        <v>73</v>
      </c>
      <c r="O15">
        <f>IFERROR(SUMIF([1]Location1!A:A,"opp free*",INDEX([1]Location1!$A:$Z,0,MATCH($N$15,[1]Location1!$2:$2,0))),0)</f>
        <v>1</v>
      </c>
    </row>
    <row r="16" spans="2:15" ht="15" x14ac:dyDescent="0.2">
      <c r="B16" s="1"/>
      <c r="C16" s="1" t="s">
        <v>70</v>
      </c>
      <c r="D16" s="1">
        <f>IFERROR(VLOOKUP("opp*won",[1]Location1!A1:Q18,MATCH(C16,[1]Location1!2:2,0),0), 0)</f>
        <v>1</v>
      </c>
      <c r="E16" s="1">
        <f>IFERROR(VLOOKUP("opp*lost",[1]Location1!A1:Q18,MATCH(C16,[1]Location1!2:2,0),0), 0)</f>
        <v>0</v>
      </c>
      <c r="F16" s="1">
        <f t="shared" si="0"/>
        <v>1</v>
      </c>
      <c r="G16" s="1"/>
      <c r="H16" s="1"/>
      <c r="I16" s="1" t="s">
        <v>70</v>
      </c>
      <c r="J16" s="1">
        <f>IFERROR(SUMIF([1]Location1!A:A,"opp point*",INDEX([1]Location1!$A:$Z,0,MATCH($I$16,[1]Location1!$2:$2,0))),0)+
IFERROR(SUMIF([1]Location1!A:A,"opp goal*",INDEX([1]Location1!$A:$Z,0,MATCH($I$16,[1]Location1!$2:$2,0))),0)</f>
        <v>1</v>
      </c>
      <c r="K16" s="1">
        <f>IFERROR(SUMIF([1]Location1!A:A,"opp point*",INDEX([1]Location1!$A:$Z,0,MATCH($I$16,[1]Location1!$2:$2,0)))+
SUMIF([1]Location1!A:A,"opp wide*",INDEX([1]Location1!$A:$Z,0,MATCH($I$16,[1]Location1!$2:$2,0)))+
SUMIF([1]Location1!A:A,"opp short*",INDEX([1]Location1!$A:$Z,0,MATCH($I$16,[1]Location1!$2:$2,0)))+
SUMIF([1]Location1!A:A,"opp save*",INDEX([1]Location1!$A:$Z,0,MATCH($I$16,[1]Location1!$2:$2,0)))+
SUMIF([1]Location1!A:A,"opp 65*",INDEX([1]Location1!$A:$Z,0,MATCH($I$16,[1]Location1!$2:$2,0))),0)+
IFERROR(SUMIF([1]Location1!A:A,"opp goal*",INDEX([1]Location1!$A:$Z,0,MATCH($I$16,[1]Location1!$2:$2,0))),0)+
IFERROR(SUMIF([1]Location1!A:A,"opp post*",INDEX([1]Location1!$A:$Z,0,MATCH($I$16,[1]Location1!$2:$2,0))),0)</f>
        <v>1</v>
      </c>
      <c r="N16" s="1" t="s">
        <v>70</v>
      </c>
      <c r="O16">
        <f>IFERROR(SUMIF([1]Location1!A:A,"opp free*",INDEX([1]Location1!$A:$Z,0,MATCH($N$16,[1]Location1!$2:$2,0))),0)</f>
        <v>3</v>
      </c>
    </row>
    <row r="17" spans="2:16" ht="15" x14ac:dyDescent="0.2">
      <c r="B17" s="1"/>
      <c r="C17" s="1" t="s">
        <v>74</v>
      </c>
      <c r="D17" s="1">
        <f>IFERROR(VLOOKUP("opp*won",[1]Location1!A1:Q18,MATCH(C17,[1]Location1!2:2,0),0), 0)</f>
        <v>0</v>
      </c>
      <c r="E17" s="1">
        <f>IFERROR(VLOOKUP("opp*lost",[1]Location1!A1:Q18,MATCH(C17,[1]Location1!2:2,0),0), 0)</f>
        <v>0</v>
      </c>
      <c r="F17" s="1">
        <f t="shared" si="0"/>
        <v>0</v>
      </c>
      <c r="G17" s="1"/>
      <c r="H17" s="1"/>
      <c r="I17" s="1" t="s">
        <v>74</v>
      </c>
      <c r="J17" s="1">
        <f>IFERROR(SUMIF([1]Location1!A:A,"opp point*",INDEX([1]Location1!$A:$Z,0,MATCH($I$17,[1]Location1!$2:$2,0))),0)+
IFERROR(SUMIF([1]Location1!A:A,"opp goal*",INDEX([1]Location1!$A:$Z,0,MATCH($I$17,[1]Location1!$2:$2,0))),0)</f>
        <v>2</v>
      </c>
      <c r="K17" s="1">
        <f>IFERROR(SUMIF([1]Location1!A:A,"opp point*",INDEX([1]Location1!$A:$Z,0,MATCH($I$17,[1]Location1!$2:$2,0)))+
SUMIF([1]Location1!A:A,"opp wide*",INDEX([1]Location1!$A:$Z,0,MATCH($I$17,[1]Location1!$2:$2,0)))+
SUMIF([1]Location1!A:A,"opp short*",INDEX([1]Location1!$A:$Z,0,MATCH($I$17,[1]Location1!$2:$2,0)))+
SUMIF([1]Location1!A:A,"opp save*",INDEX([1]Location1!$A:$Z,0,MATCH($I$17,[1]Location1!$2:$2,0)))+
SUMIF([1]Location1!A:A,"opp 65*",INDEX([1]Location1!$A:$Z,0,MATCH($I$17,[1]Location1!$2:$2,0))),0)+
IFERROR(SUMIF([1]Location1!A:A,"opp goal*",INDEX([1]Location1!$A:$Z,0,MATCH($I$17,[1]Location1!$2:$2,0))),0)+
IFERROR(SUMIF([1]Location1!A:A,"opp post*",INDEX([1]Location1!$A:$Z,0,MATCH($I$17,[1]Location1!$2:$2,0))),0)</f>
        <v>2</v>
      </c>
      <c r="N17" s="1" t="s">
        <v>74</v>
      </c>
      <c r="O17">
        <f>IFERROR(SUMIF([1]Location1!A:A,"opp free*",INDEX([1]Location1!$A:$Z,0,MATCH($N$17,[1]Location1!$2:$2,0))),0)</f>
        <v>1</v>
      </c>
    </row>
    <row r="18" spans="2:16" ht="15" x14ac:dyDescent="0.2">
      <c r="B18" s="1"/>
      <c r="C18" s="1" t="s">
        <v>75</v>
      </c>
      <c r="D18" s="1">
        <f>IFERROR(VLOOKUP("opp*won",[1]Location1!A1:Q18,MATCH(C18,[1]Location1!2:2,0),0), 0)</f>
        <v>3</v>
      </c>
      <c r="E18" s="1">
        <f>IFERROR(VLOOKUP("opp*lost",[1]Location1!A1:Q18,MATCH(C18,[1]Location1!2:2,0),0), 0)</f>
        <v>1</v>
      </c>
      <c r="F18" s="1">
        <f t="shared" si="0"/>
        <v>4</v>
      </c>
      <c r="G18" s="1"/>
      <c r="H18" s="1"/>
      <c r="I18" s="1" t="s">
        <v>75</v>
      </c>
      <c r="J18" s="1">
        <f>IFERROR(SUMIF([1]Location1!A:A,"opp point*",INDEX([1]Location1!$A:$Z,0,MATCH($I$18,[1]Location1!$2:$2,0))),0)+
IFERROR(SUMIF([1]Location1!A:A,"opp goal*",INDEX([1]Location1!$A:$Z,0,MATCH($I$18,[1]Location1!$2:$2,0))),0)</f>
        <v>0</v>
      </c>
      <c r="K18" s="1">
        <f>IFERROR(SUMIF([1]Location1!A:A,"opp point*",INDEX([1]Location1!$A:$Z,0,MATCH($I$18,[1]Location1!$2:$2,0))),0)+
IFERROR(SUMIF([1]Location1!A:A,"opp wide*",INDEX([1]Location1!$A:$Z,0,MATCH($I$18,[1]Location1!$2:$2,0))),0)+
IFERROR(SUMIF([1]Location1!A:A,"opp short*",INDEX([1]Location1!$A:$Z,0,MATCH($I$18,[1]Location1!$2:$2,0))),0)+
IFERROR(SUMIF([1]Location1!A:A,"opp save*",INDEX([1]Location1!$A:$Z,0,MATCH($I$18,[1]Location1!$2:$2,0))),0)+
IFERROR(SUMIF([1]Location1!A:A,"opp 65*",INDEX([1]Location1!$A:$Z,0,MATCH($I$18,[1]Location1!$2:$2,0))),0)+
IFERROR(SUMIF([1]Location1!A:A,"opp goal*",INDEX([1]Location1!$A:$Z,0,MATCH($I$18,[1]Location1!$2:$2,0))),0)+
IFERROR(SUMIF([1]Location1!A:A,"opp post*",INDEX([1]Location1!$A:$Z,0,MATCH($I$18,[1]Location1!$2:$2,0))),0)</f>
        <v>0</v>
      </c>
      <c r="N18" s="1" t="s">
        <v>75</v>
      </c>
      <c r="O18">
        <f>IFERROR(SUMIF([1]Location1!A:A,"opp free*",INDEX([1]Location1!$A:$Z,0,MATCH($N$18,[1]Location1!$2:$2,0))),0)</f>
        <v>0</v>
      </c>
    </row>
    <row r="19" spans="2:16" ht="15" x14ac:dyDescent="0.2">
      <c r="B19" s="1"/>
      <c r="C19" s="1" t="s">
        <v>71</v>
      </c>
      <c r="D19" s="1">
        <f>IFERROR(VLOOKUP("opp*won",[1]Location1!A1:Q18,MATCH(C19,[1]Location1!2:2,0),0), 0)</f>
        <v>0</v>
      </c>
      <c r="E19" s="1">
        <f>IFERROR(VLOOKUP("opp*lost",[1]Location1!A1:Q18,MATCH(C19,[1]Location1!2:2,0),0), 0)</f>
        <v>0</v>
      </c>
      <c r="F19" s="1">
        <f t="shared" si="0"/>
        <v>0</v>
      </c>
      <c r="G19" s="1"/>
      <c r="H19" s="1"/>
      <c r="I19" s="1" t="s">
        <v>71</v>
      </c>
      <c r="J19" s="1">
        <f>IFERROR(SUMIF([1]Location1!A:A,"opp point*",INDEX([1]Location1!$A:$Z,0,MATCH($I$19,[1]Location1!$2:$2,0))),0)+
IFERROR(SUMIF([1]Location1!A:A,"opp goal*",INDEX([1]Location1!$A:$Z,0,MATCH($I$19,[1]Location1!$2:$2,0))),0)</f>
        <v>0</v>
      </c>
      <c r="K19" s="1">
        <f>IFERROR(SUMIF([1]Location1!A:A,"opp point*",INDEX([1]Location1!$A:$Z,0,MATCH($I$19,[1]Location1!$2:$2,0))),0)+
IFERROR(SUMIF([1]Location1!A:A,"opp wide*",INDEX([1]Location1!$A:$Z,0,MATCH($I$19,[1]Location1!$2:$2,0))),0)+
IFERROR(SUMIF([1]Location1!A:A,"opp short*",INDEX([1]Location1!$A:$Z,0,MATCH($I$19,[1]Location1!$2:$2,0))),0)+
IFERROR(SUMIF([1]Location1!A:A,"opp save*",INDEX([1]Location1!$A:$Z,0,MATCH($I$19,[1]Location1!$2:$2,0))),0)+
IFERROR(SUMIF([1]Location1!A:A,"opp 65*",INDEX([1]Location1!$A:$Z,0,MATCH($I$19,[1]Location1!$2:$2,0))),0)+
IFERROR(SUMIF([1]Location1!A:A,"opp goal*",INDEX([1]Location1!$A:$Z,0,MATCH($I$19,[1]Location1!$2:$2,0))),0)+
IFERROR(SUMIF([1]Location1!A:A,"opp post*",INDEX([1]Location1!$A:$Z,0,MATCH($I$19,[1]Location1!$2:$2,0))),0)</f>
        <v>0</v>
      </c>
      <c r="N19" s="1" t="s">
        <v>71</v>
      </c>
      <c r="O19">
        <f>IFERROR(SUMIF([1]Location1!A:A,"opp free*",INDEX([1]Location1!$A:$Z,0,MATCH($N$19,[1]Location1!$2:$2,0))),0)</f>
        <v>0</v>
      </c>
    </row>
    <row r="20" spans="2:16" ht="15" x14ac:dyDescent="0.2">
      <c r="B20" s="1"/>
      <c r="C20" s="1" t="s">
        <v>76</v>
      </c>
      <c r="D20" s="1">
        <f>IFERROR(VLOOKUP("opp*won",[1]Location1!A1:Q18,MATCH(C20,[1]Location1!2:2,0),0), 0)</f>
        <v>0</v>
      </c>
      <c r="E20" s="1">
        <f>IFERROR(VLOOKUP("opp*lost",[1]Location1!A1:Q18,MATCH(C20,[1]Location1!2:2,0),0), 0)</f>
        <v>0</v>
      </c>
      <c r="F20" s="1">
        <f t="shared" si="0"/>
        <v>0</v>
      </c>
      <c r="G20" s="1"/>
      <c r="H20" s="1"/>
      <c r="I20" s="1" t="s">
        <v>76</v>
      </c>
      <c r="J20" s="1">
        <f>IFERROR(SUMIF([1]Location1!A:A,"opp point*",INDEX([1]Location1!$A:$Z,0,MATCH($I$20,[1]Location1!$2:$2,0))),0)+
IFERROR(SUMIF([1]Location1!A:A,"opp goal*",INDEX([1]Location1!$A:$Z,0,MATCH($I$20,[1]Location1!$2:$2,0))),0)</f>
        <v>1</v>
      </c>
      <c r="K20" s="1">
        <f>IFERROR(SUMIF([1]Location1!A:A,"opp point*",INDEX([1]Location1!$A:$Z,0,MATCH($I$20,[1]Location1!$2:$2,0))),0)+
IFERROR(SUMIF([1]Location1!A:A,"opp wide*",INDEX([1]Location1!$A:$Z,0,MATCH($I$20,[1]Location1!$2:$2,0))),0)+
IFERROR(SUMIF([1]Location1!A:A,"opp short*",INDEX([1]Location1!$A:$Z,0,MATCH($I$20,[1]Location1!$2:$2,0))),0)+
IFERROR(SUMIF([1]Location1!A:A,"opp save*",INDEX([1]Location1!$A:$Z,0,MATCH($I$20,[1]Location1!$2:$2,0))),0)+
IFERROR(SUMIF([1]Location1!A:A,"opp 65*",INDEX([1]Location1!$A:$Z,0,MATCH($I$20,[1]Location1!$2:$2,0))),0)+
IFERROR(SUMIF([1]Location1!A:A,"opp goal*",INDEX([1]Location1!$A:$Z,0,MATCH($I$20,[1]Location1!$2:$2,0))),0)+
IFERROR(SUMIF([1]Location1!A:A,"opp post*",INDEX([1]Location1!$A:$Z,0,MATCH($I$20,[1]Location1!$2:$2,0))),0)</f>
        <v>1</v>
      </c>
      <c r="N20" s="1" t="s">
        <v>76</v>
      </c>
      <c r="O20">
        <f>IFERROR(SUMIF([1]Location1!A:A,"opp free*",INDEX([1]Location1!$A:$Z,0,MATCH($N$20,[1]Location1!$2:$2,0))),0)</f>
        <v>1</v>
      </c>
    </row>
    <row r="21" spans="2:16" ht="15" x14ac:dyDescent="0.2">
      <c r="B21" s="1"/>
      <c r="C21" s="1" t="s">
        <v>77</v>
      </c>
      <c r="D21" s="1">
        <f>IFERROR(VLOOKUP("opp*won",[1]Location1!A1:Q18,MATCH(C21,[1]Location1!2:2,0),0), 0)</f>
        <v>0</v>
      </c>
      <c r="E21" s="1">
        <f>IFERROR(VLOOKUP("opp*lost",[1]Location1!A1:Q18,MATCH(C21,[1]Location1!2:2,0),0), 0)</f>
        <v>0</v>
      </c>
      <c r="F21" s="1">
        <f t="shared" si="0"/>
        <v>0</v>
      </c>
      <c r="G21" s="1"/>
      <c r="H21" s="1"/>
      <c r="I21" s="1" t="s">
        <v>77</v>
      </c>
      <c r="J21" s="1">
        <f>IFERROR(SUMIF([1]Location1!A:A,"opp point*",INDEX([1]Location1!$A:$Z,0,MATCH($I$21,[1]Location1!$2:$2,0))),0)+
IFERROR(SUMIF([1]Location1!A:A,"opp goal*",INDEX([1]Location1!$A:$Z,0,MATCH($I$21,[1]Location1!$2:$2,0))),0)</f>
        <v>0</v>
      </c>
      <c r="K21" s="1">
        <f>IFERROR(SUMIF([1]Location1!A:A,"opp point*",INDEX([1]Location1!$A:$Z,0,MATCH($I$21,[1]Location1!$2:$2,0))),0)+
IFERROR(SUMIF([1]Location1!A:A,"opp wide*",INDEX([1]Location1!$A:$Z,0,MATCH($I$21,[1]Location1!$2:$2,0))),0)+
IFERROR(SUMIF([1]Location1!A:A,"opp short*",INDEX([1]Location1!$A:$Z,0,MATCH($I$21,[1]Location1!$2:$2,0))),0)+
IFERROR(SUMIF([1]Location1!A:A,"opp save*",INDEX([1]Location1!$A:$Z,0,MATCH($I$21,[1]Location1!$2:$2,0))),0)+
IFERROR(SUMIF([1]Location1!A:A,"opp 65*",INDEX([1]Location1!$A:$Z,0,MATCH($I$21,[1]Location1!$2:$2,0))),0)+
IFERROR(SUMIF([1]Location1!A:A,"opp goal*",INDEX([1]Location1!$A:$Z,0,MATCH($I$21,[1]Location1!$2:$2,0))),0)+
IFERROR(SUMIF([1]Location1!A:A,"opp post*",INDEX([1]Location1!$A:$Z,0,MATCH($I$21,[1]Location1!$2:$2,0))),0)</f>
        <v>0</v>
      </c>
      <c r="N21" s="1" t="s">
        <v>77</v>
      </c>
      <c r="O21">
        <f>IFERROR(SUMIF([1]Location1!A:A,"opp free*",INDEX([1]Location1!$A:$Z,0,MATCH($N$21,[1]Location1!$2:$2,0))),0)</f>
        <v>0</v>
      </c>
    </row>
    <row r="22" spans="2:16" ht="15" x14ac:dyDescent="0.2">
      <c r="B22" s="1"/>
      <c r="C22" s="1" t="s">
        <v>0</v>
      </c>
      <c r="D22" s="1">
        <f>SUM(D4:D18)</f>
        <v>13</v>
      </c>
      <c r="E22" s="1">
        <f>SUM(E4:E18)</f>
        <v>10</v>
      </c>
      <c r="F22" s="1">
        <f>SUM(F4:F18)</f>
        <v>23</v>
      </c>
      <c r="G22" s="1"/>
      <c r="H22" s="1"/>
      <c r="I22" s="1" t="s">
        <v>0</v>
      </c>
      <c r="J22" s="1">
        <f>SUM(J4:J21)</f>
        <v>19</v>
      </c>
      <c r="K22" s="1">
        <f>SUM(K4:K21)</f>
        <v>32</v>
      </c>
      <c r="L22" s="1"/>
      <c r="N22" s="1" t="s">
        <v>0</v>
      </c>
      <c r="O22">
        <f>SUM(O4:O21)</f>
        <v>13</v>
      </c>
    </row>
    <row r="23" spans="2:16" ht="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O23" s="1"/>
    </row>
    <row r="24" spans="2:16" ht="15" x14ac:dyDescent="0.2">
      <c r="B24" s="1"/>
      <c r="C24" s="1"/>
      <c r="D24" s="1" t="s">
        <v>16</v>
      </c>
      <c r="E24" s="1" t="s">
        <v>0</v>
      </c>
      <c r="F24" s="1" t="s">
        <v>41</v>
      </c>
      <c r="G24" s="1"/>
      <c r="H24" s="1"/>
      <c r="I24" s="1"/>
      <c r="J24" s="1" t="s">
        <v>30</v>
      </c>
      <c r="K24" s="1" t="s">
        <v>0</v>
      </c>
      <c r="L24" s="1" t="s">
        <v>41</v>
      </c>
      <c r="N24" s="1"/>
      <c r="O24" s="1" t="s">
        <v>0</v>
      </c>
      <c r="P24" s="1" t="s">
        <v>41</v>
      </c>
    </row>
    <row r="25" spans="2:16" ht="15" x14ac:dyDescent="0.2">
      <c r="B25" s="1"/>
      <c r="C25" s="1" t="s">
        <v>78</v>
      </c>
      <c r="D25" s="1">
        <f>SUMIF(C4:C21, "*C*", D4:D21)</f>
        <v>6</v>
      </c>
      <c r="E25" s="1">
        <f>SUMIF(C4:C21, "*C*", F4:F21)</f>
        <v>12</v>
      </c>
      <c r="F25" s="6">
        <f>IF(E25,D25/E25,0)</f>
        <v>0.5</v>
      </c>
      <c r="G25" s="1"/>
      <c r="H25" s="1"/>
      <c r="I25" s="1" t="s">
        <v>78</v>
      </c>
      <c r="J25" s="1">
        <f>SUMIF(I4:I21, "*C*", J4:J21)</f>
        <v>7</v>
      </c>
      <c r="K25" s="1">
        <f>SUMIF(I4:I21, "*C*", K4:K21)</f>
        <v>11</v>
      </c>
      <c r="L25" s="6">
        <f>IF(K25,J25/K25,0)</f>
        <v>0.63636363636363635</v>
      </c>
      <c r="N25" s="1" t="s">
        <v>78</v>
      </c>
      <c r="O25" s="1">
        <f>SUMIF(N4:N21, "*C*", O4:O21)</f>
        <v>2</v>
      </c>
      <c r="P25" s="6">
        <f>IF(O25,O25/O28,0)</f>
        <v>0.15384615384615385</v>
      </c>
    </row>
    <row r="26" spans="2:16" ht="15" x14ac:dyDescent="0.2">
      <c r="B26" s="1"/>
      <c r="C26" s="1" t="s">
        <v>79</v>
      </c>
      <c r="D26" s="1">
        <f>SUMIF(C4:C21, "*B*", D4:D21)</f>
        <v>2</v>
      </c>
      <c r="E26" s="1">
        <f>SUMIF(C4:C21, "*B*", F4:F21)</f>
        <v>2</v>
      </c>
      <c r="F26" s="6">
        <f t="shared" ref="F26:F28" si="1">IF(E26,D26/E26,0)</f>
        <v>1</v>
      </c>
      <c r="G26" s="1"/>
      <c r="H26" s="1"/>
      <c r="I26" s="1" t="s">
        <v>79</v>
      </c>
      <c r="J26" s="1">
        <f>SUMIF(I4:I21, "*B*", J4:J21)</f>
        <v>8</v>
      </c>
      <c r="K26" s="1">
        <f>SUMIF(I4:I21, "*B*", K4:K21)</f>
        <v>13</v>
      </c>
      <c r="L26" s="6">
        <f t="shared" ref="L26:L28" si="2">IF(K26,J26/K26,0)</f>
        <v>0.61538461538461542</v>
      </c>
      <c r="N26" s="1" t="s">
        <v>79</v>
      </c>
      <c r="O26" s="1">
        <f>SUMIF(N4:N21, "*B*", O4:O21)</f>
        <v>5</v>
      </c>
      <c r="P26" s="6">
        <f>IF(O26,O26/O28,0)</f>
        <v>0.38461538461538464</v>
      </c>
    </row>
    <row r="27" spans="2:16" ht="15" x14ac:dyDescent="0.2">
      <c r="B27" s="1"/>
      <c r="C27" s="1" t="s">
        <v>80</v>
      </c>
      <c r="D27" s="1">
        <f>SUMIF(C4:C21, "*A*", D4:D21)</f>
        <v>5</v>
      </c>
      <c r="E27" s="1">
        <f>SUMIF(C4:C21, "*A*", F4:F21)</f>
        <v>9</v>
      </c>
      <c r="F27" s="6">
        <f t="shared" si="1"/>
        <v>0.55555555555555558</v>
      </c>
      <c r="G27" s="1"/>
      <c r="H27" s="1"/>
      <c r="I27" s="1" t="s">
        <v>80</v>
      </c>
      <c r="J27" s="1">
        <f>SUMIF(I4:I21, "*A*", J4:J21)</f>
        <v>4</v>
      </c>
      <c r="K27" s="1">
        <f>SUMIF(I4:I21, "*A*", K4:K21)</f>
        <v>8</v>
      </c>
      <c r="L27" s="6">
        <f t="shared" si="2"/>
        <v>0.5</v>
      </c>
      <c r="N27" s="1" t="s">
        <v>80</v>
      </c>
      <c r="O27" s="1">
        <f>SUMIF(N4:N21, "*A*", O4:O21)</f>
        <v>6</v>
      </c>
      <c r="P27" s="6">
        <f>IF(O27,O27/O28,0)</f>
        <v>0.46153846153846156</v>
      </c>
    </row>
    <row r="28" spans="2:16" ht="15" x14ac:dyDescent="0.2">
      <c r="B28" s="1"/>
      <c r="C28" s="1" t="s">
        <v>0</v>
      </c>
      <c r="D28" s="1">
        <f>SUM(D25:D27)</f>
        <v>13</v>
      </c>
      <c r="E28" s="1">
        <f>SUM(E25:E27)</f>
        <v>23</v>
      </c>
      <c r="F28" s="6">
        <f t="shared" si="1"/>
        <v>0.56521739130434778</v>
      </c>
      <c r="G28" s="1"/>
      <c r="H28" s="1"/>
      <c r="I28" s="1" t="s">
        <v>0</v>
      </c>
      <c r="J28" s="1">
        <f>SUM(J25:J27)</f>
        <v>19</v>
      </c>
      <c r="K28">
        <f>SUM(K25:K27)</f>
        <v>32</v>
      </c>
      <c r="L28" s="6">
        <f t="shared" si="2"/>
        <v>0.59375</v>
      </c>
      <c r="N28" s="1" t="s">
        <v>0</v>
      </c>
      <c r="O28">
        <f>SUM(O25:O27)</f>
        <v>13</v>
      </c>
      <c r="P28" s="6">
        <f>IF(O28,O28/O28,0)</f>
        <v>1</v>
      </c>
    </row>
    <row r="29" spans="2:16" ht="15" x14ac:dyDescent="0.2">
      <c r="B29" s="1"/>
      <c r="C29" s="1"/>
      <c r="D29" s="1"/>
      <c r="E29" s="1"/>
      <c r="F29" s="6"/>
      <c r="G29" s="1"/>
      <c r="H29" s="1"/>
      <c r="I29" s="1"/>
      <c r="J29" s="1"/>
      <c r="N29" s="1"/>
    </row>
    <row r="30" spans="2:16" ht="15" x14ac:dyDescent="0.2">
      <c r="C30" s="1">
        <v>1</v>
      </c>
      <c r="D30" s="1">
        <f>SUMIF(C4:C21, "*1*", D4:D21)</f>
        <v>0</v>
      </c>
      <c r="E30" s="1">
        <f>SUMIF(C4:C21, "*1*", F4:F21)</f>
        <v>0</v>
      </c>
      <c r="F30" s="6">
        <f>IF(E30,D30/E30,0)</f>
        <v>0</v>
      </c>
      <c r="I30" s="1">
        <v>1</v>
      </c>
      <c r="J30" s="1">
        <f>SUMIF(I4:I21, "*1*", J4:J21)</f>
        <v>2</v>
      </c>
      <c r="K30" s="1">
        <f>SUMIF(I4:I21, "*1*", K4:K21)</f>
        <v>4</v>
      </c>
      <c r="L30" s="6">
        <f>IF(K30,J30/K30,0)</f>
        <v>0.5</v>
      </c>
      <c r="N30" s="1">
        <v>1</v>
      </c>
      <c r="O30" s="1">
        <f>SUMIF(N4:N21, "*1*", O4:O21)</f>
        <v>0</v>
      </c>
      <c r="P30" s="6">
        <f>IF(O30,O30/O33,0)</f>
        <v>0</v>
      </c>
    </row>
    <row r="31" spans="2:16" ht="15" x14ac:dyDescent="0.2">
      <c r="C31" s="1">
        <v>2</v>
      </c>
      <c r="D31" s="1">
        <f>SUMIF(C4:C21, "*2*", D4:D21)</f>
        <v>4</v>
      </c>
      <c r="E31" s="1">
        <f>SUMIF(C4:C21, "*2*", F4:F21)</f>
        <v>6</v>
      </c>
      <c r="F31" s="6">
        <f t="shared" ref="F31:F36" si="3">IF(E31,D31/E31,0)</f>
        <v>0.66666666666666663</v>
      </c>
      <c r="I31" s="1">
        <v>2</v>
      </c>
      <c r="J31" s="1">
        <f>SUMIF(I4:I21, "*2*", J4:J21)</f>
        <v>6</v>
      </c>
      <c r="K31" s="1">
        <f>SUMIF(I4:I21, "*2*", K4:K21)</f>
        <v>8</v>
      </c>
      <c r="L31" s="6">
        <f t="shared" ref="L31:L35" si="4">IF(K31,J31/K31,0)</f>
        <v>0.75</v>
      </c>
      <c r="N31" s="1">
        <v>2</v>
      </c>
      <c r="O31" s="1">
        <f>SUMIF(N4:N21, "*2*", O4:O21)</f>
        <v>1</v>
      </c>
      <c r="P31" s="6">
        <f>IF(O31,O31/O36,0)</f>
        <v>8.3333333333333329E-2</v>
      </c>
    </row>
    <row r="32" spans="2:16" ht="15" x14ac:dyDescent="0.2">
      <c r="C32" s="1">
        <v>3</v>
      </c>
      <c r="D32" s="1">
        <f>SUMIF(C4:C21, "*3*", D4:D21)</f>
        <v>1</v>
      </c>
      <c r="E32" s="1">
        <f>SUMIF(C4:C21, "*3*", F4:F21)</f>
        <v>4</v>
      </c>
      <c r="F32" s="6">
        <f t="shared" si="3"/>
        <v>0.25</v>
      </c>
      <c r="I32" s="1">
        <v>3</v>
      </c>
      <c r="J32" s="1">
        <f>SUMIF(I4:I21, "*3*", J4:J21)</f>
        <v>2</v>
      </c>
      <c r="K32" s="1">
        <f>SUMIF(I4:I21, "*3*", K4:K21)</f>
        <v>3</v>
      </c>
      <c r="L32" s="6">
        <f t="shared" si="4"/>
        <v>0.66666666666666663</v>
      </c>
      <c r="N32" s="1">
        <v>3</v>
      </c>
      <c r="O32" s="1">
        <f>SUMIF(N4:N21, "*3*", O4:O21)</f>
        <v>5</v>
      </c>
      <c r="P32" s="6">
        <f t="shared" ref="P32" si="5">IF(O32,O32/O36,0)</f>
        <v>0.41666666666666669</v>
      </c>
    </row>
    <row r="33" spans="3:16" ht="15" x14ac:dyDescent="0.2">
      <c r="C33" s="1">
        <v>4</v>
      </c>
      <c r="D33" s="1">
        <f>SUMIF(C4:C21, "*4*", D4:D21)</f>
        <v>4</v>
      </c>
      <c r="E33" s="1">
        <f>SUMIF(C4:C21, "*4*", F4:F21)</f>
        <v>8</v>
      </c>
      <c r="F33" s="6">
        <f t="shared" si="3"/>
        <v>0.5</v>
      </c>
      <c r="I33" s="1">
        <v>4</v>
      </c>
      <c r="J33" s="1">
        <f>SUMIF(I4:I21, "*4*", J4:J21)</f>
        <v>5</v>
      </c>
      <c r="K33" s="1">
        <f>SUMIF(I4:I21, "*4*", K4:K21)</f>
        <v>13</v>
      </c>
      <c r="L33" s="6">
        <f t="shared" si="4"/>
        <v>0.38461538461538464</v>
      </c>
      <c r="N33" s="1">
        <v>4</v>
      </c>
      <c r="O33" s="1">
        <f>SUMIF(N4:N21, "*4*", O4:O21)</f>
        <v>2</v>
      </c>
      <c r="P33" s="6">
        <f>IF(O33,O33/O36,0)</f>
        <v>0.16666666666666666</v>
      </c>
    </row>
    <row r="34" spans="3:16" ht="15" x14ac:dyDescent="0.2">
      <c r="C34" s="1">
        <v>5</v>
      </c>
      <c r="D34" s="1">
        <f>SUMIF(C4:C21, "*5*", D4:D21)</f>
        <v>4</v>
      </c>
      <c r="E34" s="1">
        <f>SUMIF(C4:C21, "*5*", F4:F21)</f>
        <v>5</v>
      </c>
      <c r="F34" s="6">
        <f t="shared" si="3"/>
        <v>0.8</v>
      </c>
      <c r="I34" s="1">
        <v>5</v>
      </c>
      <c r="J34" s="1">
        <f>SUMIF(I4:I21, "*5*", J4:J21)</f>
        <v>3</v>
      </c>
      <c r="K34" s="1">
        <f>SUMIF(I4:I21, "*5*", K4:K21)</f>
        <v>3</v>
      </c>
      <c r="L34" s="6">
        <f t="shared" si="4"/>
        <v>1</v>
      </c>
      <c r="N34" s="1">
        <v>5</v>
      </c>
      <c r="O34" s="1">
        <f>SUMIF(N4:N21, "*5*", O4:O21)</f>
        <v>4</v>
      </c>
      <c r="P34" s="6">
        <f>IF(O34,O34/O36,0)</f>
        <v>0.33333333333333331</v>
      </c>
    </row>
    <row r="35" spans="3:16" ht="15" x14ac:dyDescent="0.2">
      <c r="C35" s="1">
        <v>6</v>
      </c>
      <c r="D35" s="1">
        <f>SUMIF(C4:C21, "*6*", D4:D21)</f>
        <v>0</v>
      </c>
      <c r="E35" s="1">
        <f>SUMIF(C4:C21, "*6*", F4:F21)</f>
        <v>0</v>
      </c>
      <c r="F35" s="6">
        <f t="shared" si="3"/>
        <v>0</v>
      </c>
      <c r="I35" s="1">
        <v>6</v>
      </c>
      <c r="J35" s="1">
        <f>SUMIF(I4:I21, "*6*", J4:J21)</f>
        <v>1</v>
      </c>
      <c r="K35" s="1">
        <f>SUMIF(I4:I21, "*6*", K4:K21)</f>
        <v>1</v>
      </c>
      <c r="L35" s="6">
        <f t="shared" si="4"/>
        <v>1</v>
      </c>
      <c r="N35" s="1">
        <v>6</v>
      </c>
      <c r="O35" s="1">
        <f>SUMIF(N4:N21, "*6*", O4:O21)</f>
        <v>1</v>
      </c>
      <c r="P35" s="6">
        <f>IF(O35,O35/O36,0)</f>
        <v>8.3333333333333329E-2</v>
      </c>
    </row>
    <row r="36" spans="3:16" ht="15" x14ac:dyDescent="0.2">
      <c r="C36" s="1" t="s">
        <v>0</v>
      </c>
      <c r="D36">
        <f>SUM(D30:D34)</f>
        <v>13</v>
      </c>
      <c r="E36">
        <f>SUM(E30:E34)</f>
        <v>23</v>
      </c>
      <c r="F36" s="6">
        <f t="shared" si="3"/>
        <v>0.56521739130434778</v>
      </c>
      <c r="I36" s="1" t="s">
        <v>0</v>
      </c>
      <c r="J36">
        <f>SUM(J30:J34)</f>
        <v>18</v>
      </c>
      <c r="K36" s="1">
        <f>SUM(K30:K35)</f>
        <v>32</v>
      </c>
      <c r="L36" s="6">
        <f>IF(K36,J36/K36,0)</f>
        <v>0.5625</v>
      </c>
      <c r="N36" s="1" t="s">
        <v>0</v>
      </c>
      <c r="O36" s="1">
        <f>SUM(O30:O34)</f>
        <v>12</v>
      </c>
      <c r="P36" s="6">
        <f>IF(O36,O36/O36,0)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1DAA-7F18-1240-864F-2445E7956409}">
  <dimension ref="B2:T36"/>
  <sheetViews>
    <sheetView workbookViewId="0">
      <selection activeCell="E35" sqref="E35"/>
    </sheetView>
  </sheetViews>
  <sheetFormatPr baseColWidth="10" defaultColWidth="11" defaultRowHeight="13" x14ac:dyDescent="0.15"/>
  <sheetData>
    <row r="2" spans="2:18" ht="15" x14ac:dyDescent="0.2">
      <c r="B2" s="1" t="s">
        <v>15</v>
      </c>
      <c r="C2" s="1" t="str">
        <f>[1]Location2!$B$1</f>
        <v>home</v>
      </c>
      <c r="D2" s="1"/>
      <c r="E2" s="1"/>
      <c r="F2" s="1"/>
      <c r="G2" s="1"/>
      <c r="H2" s="1" t="s">
        <v>20</v>
      </c>
      <c r="I2" s="1"/>
      <c r="J2" s="1"/>
      <c r="K2" s="1"/>
      <c r="L2" s="1"/>
      <c r="N2" t="s">
        <v>4</v>
      </c>
      <c r="O2" s="1"/>
    </row>
    <row r="3" spans="2:18" ht="15" x14ac:dyDescent="0.2">
      <c r="B3" s="1"/>
      <c r="C3" s="1"/>
      <c r="D3" s="1" t="s">
        <v>16</v>
      </c>
      <c r="E3" s="1" t="s">
        <v>17</v>
      </c>
      <c r="F3" s="1" t="s">
        <v>0</v>
      </c>
      <c r="G3" s="1"/>
      <c r="H3" s="1"/>
      <c r="I3" s="1"/>
      <c r="J3" s="1" t="s">
        <v>30</v>
      </c>
      <c r="K3" s="1" t="s">
        <v>0</v>
      </c>
      <c r="L3" s="1"/>
      <c r="O3" t="s">
        <v>0</v>
      </c>
      <c r="R3" s="1"/>
    </row>
    <row r="4" spans="2:18" ht="15" x14ac:dyDescent="0.2">
      <c r="B4" s="1"/>
      <c r="C4" s="1" t="s">
        <v>5</v>
      </c>
      <c r="D4" s="1">
        <f>IFERROR(VLOOKUP("own*won",[1]Location2!A1:Q18,MATCH(C4,[1]Location2!2:2,0),0), 0)</f>
        <v>0</v>
      </c>
      <c r="E4" s="1">
        <f>IFERROR(VLOOKUP("own*lost",[1]Location2!A1:Q18,MATCH(C4,[1]Location2!2:2,0),0), 0)</f>
        <v>0</v>
      </c>
      <c r="F4" s="1">
        <f t="shared" ref="F4:F21" si="0">SUM(D4:E4)</f>
        <v>0</v>
      </c>
      <c r="H4" s="1"/>
      <c r="I4" s="1" t="s">
        <v>5</v>
      </c>
      <c r="J4" s="1">
        <f>IFERROR(SUMIF([1]Location2!$A:$A,"point*",INDEX([1]Location2!$A:$Z,0,MATCH($I$4,[1]Location2!$2:$2,0))),0)+
IFERROR(SUMIF([1]Location2!$A:$A,"goal*",INDEX([1]Location2!$A:$Z,0,MATCH($I$4,[1]Location2!$2:$2,0))),0)</f>
        <v>1</v>
      </c>
      <c r="K4" s="1">
        <f>IFERROR(SUMIF([1]Location2!$A:$A,"point*",INDEX([1]Location2!$A:$Z,0,MATCH($I$4,[1]Location2!$2:$2,0)))+
IFERROR(SUMIF([1]Location2!$A:$A,"wide*",INDEX([1]Location2!$A:$Z,0,MATCH($I$4,[1]Location2!$2:$2,0))),0)+
IFERROR(SUMIF([1]Location2!$A:$A,"short*",INDEX([1]Location2!$A:$Z,0,MATCH($I$4,[1]Location2!$2:$2,0))),0)+
IFERROR(SUMIF([1]Location2!$A:$A,"save*",INDEX([1]Location2!$A:$Z,0,MATCH($I$4,[1]Location2!$2:$2,0))),0)+
IFERROR(SUMIF([1]Location2!$A:$A,"goal*",INDEX([1]Location2!$A:$Z,0,MATCH($I$4,[1]Location2!$2:$2,0))),0)+
IFERROR(SUMIF([1]Location2!$A:$A,"post*",INDEX([1]Location2!$A:$Z,0,MATCH($I$4,[1]Location2!$2:$2,0))),0)+
IFERROR(SUMIF([1]Location2!$A:$A,"65*",INDEX([1]Location2!$A:$Z,0,MATCH($I$4,[1]Location2!$2:$2,0))),0),0)</f>
        <v>1</v>
      </c>
      <c r="L4" s="1"/>
      <c r="N4" s="1" t="s">
        <v>5</v>
      </c>
      <c r="O4">
        <f>IFERROR(SUMIF([1]Location2!A:A,"free*",INDEX([1]Location2!$A:$Z,0,MATCH($N$4,[1]Location2!$2:$2,0))),0)</f>
        <v>0</v>
      </c>
      <c r="R4" s="1"/>
    </row>
    <row r="5" spans="2:18" ht="15" x14ac:dyDescent="0.2">
      <c r="B5" s="1"/>
      <c r="C5" s="1" t="s">
        <v>6</v>
      </c>
      <c r="D5" s="1">
        <f>IFERROR(VLOOKUP("own*won",[1]Location2!A1:Q18,MATCH(C5,[1]Location2!2:2,0),0), 0)</f>
        <v>0</v>
      </c>
      <c r="E5" s="1">
        <f>IFERROR(VLOOKUP("own*lost",[1]Location2!A1:Q18,MATCH(C5,[1]Location2!2:2,0),0), 0)</f>
        <v>0</v>
      </c>
      <c r="F5" s="1">
        <f t="shared" si="0"/>
        <v>0</v>
      </c>
      <c r="H5" s="1"/>
      <c r="I5" s="1" t="s">
        <v>6</v>
      </c>
      <c r="J5" s="1">
        <f>IFERROR(SUMIF([1]Location2!$A:$A,"point*",INDEX([1]Location2!$A:$Z,0,MATCH($I$5,[1]Location2!$2:$2,0))),0)+
IFERROR(SUMIF([1]Location2!$A:$A,"goal*",INDEX([1]Location2!$A:$Z,0,MATCH($I$5,[1]Location2!$2:$2,0))),0)</f>
        <v>2</v>
      </c>
      <c r="K5">
        <f>IFERROR(SUMIF([1]Location2!$A:$A,"point*",INDEX([1]Location2!$A:$Z,0,MATCH($I$5,[1]Location2!$2:$2,0)))+
IFERROR(SUMIF([1]Location2!$A:$A,"wide*",INDEX([1]Location2!$A:$Z,0,MATCH($I$5,[1]Location2!$2:$2,0))),0)+
IFERROR(SUMIF([1]Location2!$A:$A,"short*",INDEX([1]Location2!$A:$Z,0,MATCH($I$5,[1]Location2!$2:$2,0))),0)+
IFERROR(SUMIF([1]Location2!$A:$A,"save*",INDEX([1]Location2!$A:$Z,0,MATCH($I$5,[1]Location2!$2:$2,0))),0)+
IFERROR(SUMIF([1]Location2!$A:$A,"goal*",INDEX([1]Location2!$A:$Z,0,MATCH($I$5,[1]Location2!$2:$2,0))),0)+
IFERROR(SUMIF([1]Location2!$A:$A,"post*",INDEX([1]Location2!$A:$Z,0,MATCH($I$5,[1]Location2!$2:$2,0))),0)+
IFERROR(SUMIF([1]Location2!$A:$A,"65*",INDEX([1]Location2!$A:$Z,0,MATCH($I$5,[1]Location2!$2:$2,0))),0),0)</f>
        <v>2</v>
      </c>
      <c r="N5" s="1" t="s">
        <v>6</v>
      </c>
      <c r="O5">
        <f>IFERROR(SUMIF([1]Location2!A:A,"free*",INDEX([1]Location2!$A:$Z,0,MATCH($N$5,[1]Location2!$2:$2,0))),0)</f>
        <v>1</v>
      </c>
      <c r="R5" s="1"/>
    </row>
    <row r="6" spans="2:18" ht="15" x14ac:dyDescent="0.2">
      <c r="B6" s="1"/>
      <c r="C6" s="1" t="s">
        <v>7</v>
      </c>
      <c r="D6" s="1">
        <f>IFERROR(VLOOKUP("own*won",[1]Location2!A1:Q18,MATCH(C6,[1]Location2!2:2,0),0), 0)</f>
        <v>0</v>
      </c>
      <c r="E6" s="1">
        <f>IFERROR(VLOOKUP("own*lost",[1]Location2!A1:Q18,MATCH(C6,[1]Location2!2:2,0),0), 0)</f>
        <v>0</v>
      </c>
      <c r="F6" s="1">
        <f t="shared" si="0"/>
        <v>0</v>
      </c>
      <c r="H6" s="1"/>
      <c r="I6" s="1" t="s">
        <v>7</v>
      </c>
      <c r="J6" s="1">
        <f>IFERROR(SUMIF([1]Location2!$A:$A,"point*",INDEX([1]Location2!$A:$Z,0,MATCH($I$6,[1]Location2!$2:$2,0))),0)+
IFERROR(SUMIF([1]Location2!$A:$A,"goal*",INDEX([1]Location2!$A:$Z,0,MATCH($I$6,[1]Location2!$2:$2,0))),0)</f>
        <v>0</v>
      </c>
      <c r="K6" s="1">
        <f>IFERROR(SUMIF([1]Location2!$A:$A,"point*",INDEX([1]Location2!$A:$Z,0,MATCH($I$6,[1]Location2!$2:$2,0)))+
IFERROR(SUMIF([1]Location2!$A:$A,"wide*",INDEX([1]Location2!$A:$Z,0,MATCH($I$6,[1]Location2!$2:$2,0))),0)+
IFERROR(SUMIF([1]Location2!$A:$A,"short*",INDEX([1]Location2!$A:$Z,0,MATCH($I$6,[1]Location2!$2:$2,0))),0)+
IFERROR(SUMIF([1]Location2!$A:$A,"save*",INDEX([1]Location2!$A:$Z,0,MATCH($I$6,[1]Location2!$2:$2,0))),0)+
IFERROR(SUMIF([1]Location2!$A:$A,"goal*",INDEX([1]Location2!$A:$Z,0,MATCH($I$6,[1]Location2!$2:$2,0))),0)+
IFERROR(SUMIF([1]Location2!$A:$A,"post*",INDEX([1]Location2!$A:$Z,0,MATCH($I$6,[1]Location2!$2:$2,0))),0)+
IFERROR(SUMIF([1]Location2!$A:$A,"65*",INDEX([1]Location2!$A:$Z,0,MATCH($I$6,[1]Location2!$2:$2,0))),0),0)</f>
        <v>0</v>
      </c>
      <c r="N6" s="1" t="s">
        <v>7</v>
      </c>
      <c r="O6">
        <f>IFERROR(SUMIF([1]Location2!A:A,"free*",INDEX([1]Location2!$A:$Z,0,MATCH($N$6,[1]Location2!$2:$2,0))),0)</f>
        <v>0</v>
      </c>
      <c r="R6" s="1"/>
    </row>
    <row r="7" spans="2:18" ht="15" x14ac:dyDescent="0.2">
      <c r="B7" s="1"/>
      <c r="C7" s="1" t="s">
        <v>8</v>
      </c>
      <c r="D7" s="1">
        <f>IFERROR(VLOOKUP("own*won",[1]Location2!A1:Q18,MATCH(C7,[1]Location2!2:2,0),0), 0)</f>
        <v>0</v>
      </c>
      <c r="E7" s="1">
        <f>IFERROR(VLOOKUP("own*lost",[1]Location2!A1:Q18,MATCH(C7,[1]Location2!2:2,0),0), 0)</f>
        <v>0</v>
      </c>
      <c r="F7" s="1">
        <f t="shared" si="0"/>
        <v>0</v>
      </c>
      <c r="H7" s="1"/>
      <c r="I7" s="1" t="s">
        <v>8</v>
      </c>
      <c r="J7" s="1">
        <f>IFERROR(SUMIF([1]Location2!$A:$A,"point*",INDEX([1]Location2!$A:$Z,0,MATCH($I$7,[1]Location2!$2:$2,0))),0)+
IFERROR(SUMIF([1]Location2!$A:$A,"goal*",INDEX([1]Location2!$A:$Z,0,MATCH($I$7,[1]Location2!$2:$2,0))),0)</f>
        <v>1</v>
      </c>
      <c r="K7" s="1">
        <f>IFERROR(SUMIF([1]Location2!$A:$A,"point*",INDEX([1]Location2!$A:$Z,0,MATCH($I$7,[1]Location2!$2:$2,0)))+
IFERROR(SUMIF([1]Location2!$A:$A,"wide*",INDEX([1]Location2!$A:$Z,0,MATCH($I$7,[1]Location2!$2:$2,0))),0)+
IFERROR(SUMIF([1]Location2!$A:$A,"short*",INDEX([1]Location2!$A:$Z,0,MATCH($I$7,[1]Location2!$2:$2,0))),0)+
IFERROR(SUMIF([1]Location2!$A:$A,"save*",INDEX([1]Location2!$A:$Z,0,MATCH($I$7,[1]Location2!$2:$2,0))),0)+
IFERROR(SUMIF([1]Location2!$A:$A,"goal*",INDEX([1]Location2!$A:$Z,0,MATCH($I$7,[1]Location2!$2:$2,0))),0)+
IFERROR(SUMIF([1]Location2!$A:$A,"post*",INDEX([1]Location2!$A:$Z,0,MATCH($I$7,[1]Location2!$2:$2,0))),0)+
IFERROR(SUMIF([1]Location2!$A:$A,"65*",INDEX([1]Location2!$A:$Z,0,MATCH($I$7,[1]Location2!$2:$2,0))),0),0)</f>
        <v>1</v>
      </c>
      <c r="N7" s="1" t="s">
        <v>8</v>
      </c>
      <c r="O7">
        <f>IFERROR(SUMIF([1]Location2!A:A,"free*",INDEX([1]Location2!$A:$Z,0,MATCH($N$7,[1]Location2!$2:$2,0))),0)</f>
        <v>0</v>
      </c>
      <c r="R7" s="1"/>
    </row>
    <row r="8" spans="2:18" ht="15" x14ac:dyDescent="0.2">
      <c r="B8" s="1"/>
      <c r="C8" s="1" t="s">
        <v>9</v>
      </c>
      <c r="D8" s="1">
        <f>IFERROR(VLOOKUP("own*won",[1]Location2!A1:Q18,MATCH(C8,[1]Location2!2:2,0),0), 0)</f>
        <v>2</v>
      </c>
      <c r="E8" s="1">
        <f>IFERROR(VLOOKUP("own*lost",[1]Location2!A1:Q18,MATCH(C8,[1]Location2!2:2,0),0), 0)</f>
        <v>1</v>
      </c>
      <c r="F8" s="1">
        <f t="shared" si="0"/>
        <v>3</v>
      </c>
      <c r="H8" s="1"/>
      <c r="I8" s="1" t="s">
        <v>9</v>
      </c>
      <c r="J8" s="1">
        <f>IFERROR(SUMIF([1]Location2!$A:$A,"point*",INDEX([1]Location2!$A:$Z,0,MATCH($I$8,[1]Location2!$2:$2,0))),0)+
IFERROR(SUMIF([1]Location2!$A:$A,"goal*",INDEX([1]Location2!$A:$Z,0,MATCH($I$8,[1]Location2!$2:$2,0))),0)</f>
        <v>5</v>
      </c>
      <c r="K8" s="1">
        <f>IFERROR(SUMIF([1]Location2!$A:$A,"point*",INDEX([1]Location2!$A:$Z,0,MATCH($I$8,[1]Location2!$2:$2,0)))+
IFERROR(SUMIF([1]Location2!$A:$A,"wide*",INDEX([1]Location2!$A:$Z,0,MATCH($I$8,[1]Location2!$2:$2,0))),0)+
IFERROR(SUMIF([1]Location2!$A:$A,"short*",INDEX([1]Location2!$A:$Z,0,MATCH($I$8,[1]Location2!$2:$2,0))),0)+
IFERROR(SUMIF([1]Location2!$A:$A,"save*",INDEX([1]Location2!$A:$Z,0,MATCH($I$8,[1]Location2!$2:$2,0))),0)+
IFERROR(SUMIF([1]Location2!$A:$A,"goal*",INDEX([1]Location2!$A:$Z,0,MATCH($I$8,[1]Location2!$2:$2,0))),0)+
IFERROR(SUMIF([1]Location2!$A:$A,"post*",INDEX([1]Location2!$A:$Z,0,MATCH($I$8,[1]Location2!$2:$2,0))),0)+
IFERROR(SUMIF([1]Location2!$A:$A,"65*",INDEX([1]Location2!$A:$Z,0,MATCH($I$8,[1]Location2!$2:$2,0))),0),0)</f>
        <v>5</v>
      </c>
      <c r="N8" s="1" t="s">
        <v>9</v>
      </c>
      <c r="O8">
        <f>IFERROR(SUMIF([1]Location2!A:A,"free*",INDEX([1]Location2!$A:$Z,0,MATCH($N$8,[1]Location2!$2:$2,0))),0)</f>
        <v>2</v>
      </c>
      <c r="R8" s="1"/>
    </row>
    <row r="9" spans="2:18" ht="15" x14ac:dyDescent="0.2">
      <c r="B9" s="1"/>
      <c r="C9" s="1" t="s">
        <v>10</v>
      </c>
      <c r="D9" s="1">
        <f>IFERROR(VLOOKUP("own*won",[1]Location2!A1:Q18,MATCH(C9,[1]Location2!2:2,0),0), 0)</f>
        <v>1</v>
      </c>
      <c r="E9" s="1">
        <f>IFERROR(VLOOKUP("own*lost",[1]Location2!A1:Q18,MATCH(C9,[1]Location2!2:2,0),0), 0)</f>
        <v>0</v>
      </c>
      <c r="F9" s="1">
        <f t="shared" si="0"/>
        <v>1</v>
      </c>
      <c r="H9" s="1"/>
      <c r="I9" s="1" t="s">
        <v>10</v>
      </c>
      <c r="J9" s="1">
        <f>IFERROR(SUMIF([1]Location2!$A:$A,"point*",INDEX([1]Location2!$A:$Z,0,MATCH($I$9,[1]Location2!$2:$2,0))),0)+
IFERROR(SUMIF([1]Location2!$A:$A,"goal*",INDEX([1]Location2!$A:$Z,0,MATCH($I$9,[1]Location2!$2:$2,0))),0)</f>
        <v>0</v>
      </c>
      <c r="K9" s="1">
        <f>IFERROR(SUMIF([1]Location2!$A:$A,"point*",INDEX([1]Location2!$A:$Z,0,MATCH($I$9,[1]Location2!$2:$2,0)))+
IFERROR(SUMIF([1]Location2!$A:$A,"wide*",INDEX([1]Location2!$A:$Z,0,MATCH($I$9,[1]Location2!$2:$2,0))),0)+
IFERROR(SUMIF([1]Location2!$A:$A,"short*",INDEX([1]Location2!$A:$Z,0,MATCH($I$9,[1]Location2!$2:$2,0))),0)+
IFERROR(SUMIF([1]Location2!$A:$A,"save*",INDEX([1]Location2!$A:$Z,0,MATCH($I$9,[1]Location2!$2:$2,0))),0)+
IFERROR(SUMIF([1]Location2!$A:$A,"goal*",INDEX([1]Location2!$A:$Z,0,MATCH($I$9,[1]Location2!$2:$2,0))),0)+
IFERROR(SUMIF([1]Location2!$A:$A,"post*",INDEX([1]Location2!$A:$Z,0,MATCH($I$9,[1]Location2!$2:$2,0))),0)+
IFERROR(SUMIF([1]Location2!$A:$A,"65*",INDEX([1]Location2!$A:$Z,0,MATCH($I$9,[1]Location2!$2:$2,0))),0),0)</f>
        <v>0</v>
      </c>
      <c r="N9" s="1" t="s">
        <v>10</v>
      </c>
      <c r="O9">
        <f>IFERROR(SUMIF([1]Location2!A:A,"free*",INDEX([1]Location2!$A:$Z,0,MATCH($N$9,[1]Location2!$2:$2,0))),0)</f>
        <v>0</v>
      </c>
      <c r="R9" s="1"/>
    </row>
    <row r="10" spans="2:18" ht="15" x14ac:dyDescent="0.2">
      <c r="B10" s="1"/>
      <c r="C10" s="1" t="s">
        <v>13</v>
      </c>
      <c r="D10" s="1">
        <f>IFERROR(VLOOKUP("own*won",[1]Location2!A1:Q18,MATCH(C10,[1]Location2!2:2,0),0), 0)</f>
        <v>4</v>
      </c>
      <c r="E10" s="1">
        <f>IFERROR(VLOOKUP("own*lost",[1]Location2!A1:Q18,MATCH(C10,[1]Location2!2:2,0),0), 0)</f>
        <v>3</v>
      </c>
      <c r="F10" s="1">
        <f t="shared" si="0"/>
        <v>7</v>
      </c>
      <c r="H10" s="1"/>
      <c r="I10" s="1" t="s">
        <v>13</v>
      </c>
      <c r="J10" s="1">
        <f>IFERROR(SUMIF([1]Location2!$A:$A,"point*",INDEX([1]Location2!$A:$Z,0,MATCH($I$10,[1]Location2!$2:$2,0))),0)+
IFERROR(SUMIF([1]Location2!$A:$A,"goal*",INDEX([1]Location2!$A:$Z,0,MATCH($I$10,[1]Location2!$2:$2,0))),0)</f>
        <v>1</v>
      </c>
      <c r="K10" s="1">
        <f>IFERROR(SUMIF([1]Location2!$A:$A,"point*",INDEX([1]Location2!$A:$Z,0,MATCH($I$10,[1]Location2!$2:$2,0)))+
IFERROR(SUMIF([1]Location2!$A:$A,"wide*",INDEX([1]Location2!$A:$Z,0,MATCH($I$10,[1]Location2!$2:$2,0))),0)+
IFERROR(SUMIF([1]Location2!$A:$A,"short*",INDEX([1]Location2!$A:$Z,0,MATCH($I$10,[1]Location2!$2:$2,0))),0)+
IFERROR(SUMIF([1]Location2!$A:$A,"save*",INDEX([1]Location2!$A:$Z,0,MATCH($I$10,[1]Location2!$2:$2,0))),0)+
IFERROR(SUMIF([1]Location2!$A:$A,"goal*",INDEX([1]Location2!$A:$Z,0,MATCH($I$10,[1]Location2!$2:$2,0))),0)+
IFERROR(SUMIF([1]Location2!$A:$A,"post*",INDEX([1]Location2!$A:$Z,0,MATCH($I$10,[1]Location2!$2:$2,0))),0)+
IFERROR(SUMIF([1]Location2!$A:$A,"65*",INDEX([1]Location2!$A:$Z,0,MATCH($I$10,[1]Location2!$2:$2,0))),0),0)</f>
        <v>3</v>
      </c>
      <c r="N10" s="1" t="s">
        <v>13</v>
      </c>
      <c r="O10">
        <f>IFERROR(SUMIF([1]Location2!A:A,"free*",INDEX([1]Location2!$A:$Z,0,MATCH($N$10,[1]Location2!$2:$2,0))),0)</f>
        <v>0</v>
      </c>
      <c r="R10" s="1"/>
    </row>
    <row r="11" spans="2:18" ht="15" x14ac:dyDescent="0.2">
      <c r="B11" s="1"/>
      <c r="C11" s="1" t="s">
        <v>11</v>
      </c>
      <c r="D11" s="1">
        <f>IFERROR(VLOOKUP("own*won",[1]Location2!A1:Q18,MATCH(C11,[1]Location2!2:2,0),0), 0)</f>
        <v>0</v>
      </c>
      <c r="E11" s="1">
        <f>IFERROR(VLOOKUP("own*lost",[1]Location2!A1:Q18,MATCH(C11,[1]Location2!2:2,0),0), 0)</f>
        <v>0</v>
      </c>
      <c r="F11" s="1">
        <f t="shared" si="0"/>
        <v>0</v>
      </c>
      <c r="H11" s="1"/>
      <c r="I11" s="1" t="s">
        <v>11</v>
      </c>
      <c r="J11" s="1">
        <f>IFERROR(SUMIF([1]Location2!$A:$A,"point*",INDEX([1]Location2!$A:$Z,0,MATCH($I$11,[1]Location2!$2:$2,0))),0)+
IFERROR(SUMIF([1]Location2!$A:$A,"goal*",INDEX([1]Location2!$A:$Z,0,MATCH($I$11,[1]Location2!$2:$2,0))),0)</f>
        <v>1</v>
      </c>
      <c r="K11" s="1">
        <f>IFERROR(SUMIF([1]Location2!$A:$A,"point*",INDEX([1]Location2!$A:$Z,0,MATCH($I$11,[1]Location2!$2:$2,0)))+
IFERROR(SUMIF([1]Location2!$A:$A,"wide*",INDEX([1]Location2!$A:$Z,0,MATCH($I$11,[1]Location2!$2:$2,0))),0)+
IFERROR(SUMIF([1]Location2!$A:$A,"short*",INDEX([1]Location2!$A:$Z,0,MATCH($I$11,[1]Location2!$2:$2,0))),0)+
IFERROR(SUMIF([1]Location2!$A:$A,"save*",INDEX([1]Location2!$A:$Z,0,MATCH($I$11,[1]Location2!$2:$2,0))),0)+
IFERROR(SUMIF([1]Location2!$A:$A,"goal*",INDEX([1]Location2!$A:$Z,0,MATCH($I$11,[1]Location2!$2:$2,0))),0)+
IFERROR(SUMIF([1]Location2!$A:$A,"post*",INDEX([1]Location2!$A:$Z,0,MATCH($I$11,[1]Location2!$2:$2,0))),0)+
IFERROR(SUMIF([1]Location2!$A:$A,"65*",INDEX([1]Location2!$A:$Z,0,MATCH($I$11,[1]Location2!$2:$2,0))),0),0)</f>
        <v>1</v>
      </c>
      <c r="N11" s="1" t="s">
        <v>11</v>
      </c>
      <c r="O11">
        <f>IFERROR(SUMIF([1]Location2!A:A,"free*",INDEX([1]Location2!$A:$Z,0,MATCH($N$11,[1]Location2!$2:$2,0))),0)</f>
        <v>1</v>
      </c>
      <c r="R11" s="1"/>
    </row>
    <row r="12" spans="2:18" ht="15" x14ac:dyDescent="0.2">
      <c r="B12" s="1"/>
      <c r="C12" s="1" t="s">
        <v>12</v>
      </c>
      <c r="D12" s="1">
        <f>IFERROR(VLOOKUP("own*won",[1]Location2!A1:Q18,MATCH(C12,[1]Location2!2:2,0),0), 0)</f>
        <v>2</v>
      </c>
      <c r="E12" s="1">
        <f>IFERROR(VLOOKUP("own*lost",[1]Location2!A1:Q18,MATCH(C12,[1]Location2!2:2,0),0), 0)</f>
        <v>3</v>
      </c>
      <c r="F12" s="1">
        <f t="shared" si="0"/>
        <v>5</v>
      </c>
      <c r="H12" s="1"/>
      <c r="I12" s="1" t="s">
        <v>12</v>
      </c>
      <c r="J12" s="1">
        <f>IFERROR(SUMIF([1]Location2!$A:$A,"point*",INDEX([1]Location2!$A:$Z,0,MATCH($I$12,[1]Location2!$2:$2,0))),0)+
IFERROR(SUMIF([1]Location2!$A:$A,"goal*",INDEX([1]Location2!$A:$Z,0,MATCH($I$12,[1]Location2!$2:$2,0))),0)</f>
        <v>0</v>
      </c>
      <c r="K12" s="1">
        <f>IFERROR(SUMIF([1]Location2!$A:$A,"point*",INDEX([1]Location2!$A:$Z,0,MATCH($I$12,[1]Location2!$2:$2,0)))+
IFERROR(SUMIF([1]Location2!$A:$A,"wide*",INDEX([1]Location2!$A:$Z,0,MATCH($I$12,[1]Location2!$2:$2,0))),0)+
IFERROR(SUMIF([1]Location2!$A:$A,"short*",INDEX([1]Location2!$A:$Z,0,MATCH($I$12,[1]Location2!$2:$2,0))),0)+
IFERROR(SUMIF([1]Location2!$A:$A,"save*",INDEX([1]Location2!$A:$Z,0,MATCH($I$12,[1]Location2!$2:$2,0))),0)+
IFERROR(SUMIF([1]Location2!$A:$A,"goal*",INDEX([1]Location2!$A:$Z,0,MATCH($I$12,[1]Location2!$2:$2,0))),0)+
IFERROR(SUMIF([1]Location2!$A:$A,"post*",INDEX([1]Location2!$A:$Z,0,MATCH($I$12,[1]Location2!$2:$2,0))),0)+
IFERROR(SUMIF([1]Location2!$A:$A,"65*",INDEX([1]Location2!$A:$Z,0,MATCH($I$12,[1]Location2!$2:$2,0))),0),0)</f>
        <v>1</v>
      </c>
      <c r="N12" s="1" t="s">
        <v>12</v>
      </c>
      <c r="O12">
        <f>IFERROR(SUMIF([1]Location2!A:A,"free*",INDEX([1]Location2!$A:$Z,0,MATCH($N$12,[1]Location2!$2:$2,0))),0)</f>
        <v>0</v>
      </c>
      <c r="R12" s="1"/>
    </row>
    <row r="13" spans="2:18" ht="15" x14ac:dyDescent="0.2">
      <c r="B13" s="1"/>
      <c r="C13" s="1" t="s">
        <v>69</v>
      </c>
      <c r="D13" s="1">
        <f>IFERROR(VLOOKUP("own*won",[1]Location2!A1:Q18,MATCH(C13,[1]Location2!2:2,0),0), 0)</f>
        <v>2</v>
      </c>
      <c r="E13" s="1">
        <f>IFERROR(VLOOKUP("own*lost",[1]Location2!A1:Q18,MATCH(C13,[1]Location2!2:2,0),0), 0)</f>
        <v>2</v>
      </c>
      <c r="F13" s="1">
        <f t="shared" si="0"/>
        <v>4</v>
      </c>
      <c r="H13" s="1"/>
      <c r="I13" s="1" t="s">
        <v>69</v>
      </c>
      <c r="J13" s="1">
        <f>IFERROR(SUMIF([1]Location2!$A:$A,"point*",INDEX([1]Location2!$A:$Z,0,MATCH($I$13,[1]Location2!$2:$2,0))),0)+
IFERROR(SUMIF([1]Location2!$A:$A,"goal*",INDEX([1]Location2!$A:$Z,0,MATCH($I$13,[1]Location2!$2:$2,0))),0)</f>
        <v>0</v>
      </c>
      <c r="K13" s="1">
        <f>IFERROR(SUMIF([1]Location2!$A:$A,"point*",INDEX([1]Location2!$A:$Z,0,MATCH($I$13,[1]Location2!$2:$2,0)))+
IFERROR(SUMIF([1]Location2!$A:$A,"wide*",INDEX([1]Location2!$A:$Z,0,MATCH($I$13,[1]Location2!$2:$2,0))),0)+
IFERROR(SUMIF([1]Location2!$A:$A,"short*",INDEX([1]Location2!$A:$Z,0,MATCH($I$13,[1]Location2!$2:$2,0))),0)+
IFERROR(SUMIF([1]Location2!$A:$A,"save*",INDEX([1]Location2!$A:$Z,0,MATCH($I$13,[1]Location2!$2:$2,0))),0)+
IFERROR(SUMIF([1]Location2!$A:$A,"goal*",INDEX([1]Location2!$A:$Z,0,MATCH($I$13,[1]Location2!$2:$2,0))),0)+
IFERROR(SUMIF([1]Location2!$A:$A,"post*",INDEX([1]Location2!$A:$Z,0,MATCH($I$13,[1]Location2!$2:$2,0))),0)+
IFERROR(SUMIF([1]Location2!$A:$A,"65*",INDEX([1]Location2!$A:$Z,0,MATCH($I$13,[1]Location2!$2:$2,0))),0),0)</f>
        <v>1</v>
      </c>
      <c r="N13" s="1" t="s">
        <v>69</v>
      </c>
      <c r="O13">
        <f>IFERROR(SUMIF([1]Location2!A:A,"free*",INDEX([1]Location2!$A:$Z,0,MATCH($N$13,[1]Location2!$2:$2,0))),0)</f>
        <v>2</v>
      </c>
      <c r="R13" s="1"/>
    </row>
    <row r="14" spans="2:18" ht="15" x14ac:dyDescent="0.2">
      <c r="B14" s="1"/>
      <c r="C14" s="1" t="s">
        <v>72</v>
      </c>
      <c r="D14" s="1">
        <f>IFERROR(VLOOKUP("own*won",[1]Location2!A1:Q18,MATCH(C14,[1]Location2!2:2,0),0), 0)</f>
        <v>0</v>
      </c>
      <c r="E14" s="1">
        <f>IFERROR(VLOOKUP("own*lost",[1]Location2!A1:Q18,MATCH(C14,[1]Location2!2:2,0),0), 0)</f>
        <v>0</v>
      </c>
      <c r="F14" s="1">
        <f t="shared" si="0"/>
        <v>0</v>
      </c>
      <c r="H14" s="1"/>
      <c r="I14" s="1" t="s">
        <v>72</v>
      </c>
      <c r="J14" s="1">
        <f>IFERROR(SUMIF([1]Location2!$A:$A,"point*",INDEX([1]Location2!$A:$Z,0,MATCH($I$14,[1]Location2!$2:$2,0))),0)+
IFERROR(SUMIF([1]Location2!$A:$A,"goal*",INDEX([1]Location2!$A:$Z,0,MATCH($I$14,[1]Location2!$2:$2,0))),0)</f>
        <v>2</v>
      </c>
      <c r="K14" s="1">
        <f>IFERROR(SUMIF([1]Location2!$A:$A,"point*",INDEX([1]Location2!$A:$Z,0,MATCH($I$14,[1]Location2!$2:$2,0)))+
IFERROR(SUMIF([1]Location2!$A:$A,"wide*",INDEX([1]Location2!$A:$Z,0,MATCH($I$14,[1]Location2!$2:$2,0))),0)+
IFERROR(SUMIF([1]Location2!$A:$A,"short*",INDEX([1]Location2!$A:$Z,0,MATCH($I$14,[1]Location2!$2:$2,0))),0)+
IFERROR(SUMIF([1]Location2!$A:$A,"save*",INDEX([1]Location2!$A:$Z,0,MATCH($I$14,[1]Location2!$2:$2,0))),0)+
IFERROR(SUMIF([1]Location2!$A:$A,"goal*",INDEX([1]Location2!$A:$Z,0,MATCH($I$14,[1]Location2!$2:$2,0))),0)+
IFERROR(SUMIF([1]Location2!$A:$A,"post*",INDEX([1]Location2!$A:$Z,0,MATCH($I$14,[1]Location2!$2:$2,0))),0)+
IFERROR(SUMIF([1]Location2!$A:$A,"65*",INDEX([1]Location2!$A:$Z,0,MATCH($I$14,[1]Location2!$2:$2,0))),0),0)</f>
        <v>4</v>
      </c>
      <c r="N14" s="1" t="s">
        <v>72</v>
      </c>
      <c r="O14">
        <f>IFERROR(SUMIF([1]Location2!A:A,"free*",INDEX([1]Location2!$A:$Z,0,MATCH($N$14,[1]Location2!$2:$2,0))),0)</f>
        <v>1</v>
      </c>
      <c r="R14" s="1"/>
    </row>
    <row r="15" spans="2:18" ht="15" x14ac:dyDescent="0.2">
      <c r="B15" s="1"/>
      <c r="C15" s="1" t="s">
        <v>73</v>
      </c>
      <c r="D15" s="1">
        <f>IFERROR(VLOOKUP("own*won",[1]Location2!A1:Q18,MATCH(C15,[1]Location2!2:2,0),0), 0)</f>
        <v>3</v>
      </c>
      <c r="E15" s="1">
        <f>IFERROR(VLOOKUP("own*lost",[1]Location2!A1:Q18,MATCH(C15,[1]Location2!2:2,0),0), 0)</f>
        <v>3</v>
      </c>
      <c r="F15" s="1">
        <f t="shared" si="0"/>
        <v>6</v>
      </c>
      <c r="H15" s="1"/>
      <c r="I15" s="1" t="s">
        <v>73</v>
      </c>
      <c r="J15" s="1">
        <f>IFERROR(SUMIF([1]Location2!$A:$A,"point*",INDEX([1]Location2!$A:$Z,0,MATCH($I$15,[1]Location2!$2:$2,0))),0)+
IFERROR(SUMIF([1]Location2!$A:$A,"goal*",INDEX([1]Location2!$A:$Z,0,MATCH($I$15,[1]Location2!$2:$2,0))),0)</f>
        <v>4</v>
      </c>
      <c r="K15" s="1">
        <f>IFERROR(SUMIF([1]Location2!$A:$A,"point*",INDEX([1]Location2!$A:$Z,0,MATCH($I$15,[1]Location2!$2:$2,0)))+
IFERROR(SUMIF([1]Location2!$A:$A,"wide*",INDEX([1]Location2!$A:$Z,0,MATCH($I$15,[1]Location2!$2:$2,0))),0)+
IFERROR(SUMIF([1]Location2!$A:$A,"short*",INDEX([1]Location2!$A:$Z,0,MATCH($I$15,[1]Location2!$2:$2,0))),0)+
IFERROR(SUMIF([1]Location2!$A:$A,"save*",INDEX([1]Location2!$A:$Z,0,MATCH($I$15,[1]Location2!$2:$2,0))),0)+
IFERROR(SUMIF([1]Location2!$A:$A,"goal*",INDEX([1]Location2!$A:$Z,0,MATCH($I$15,[1]Location2!$2:$2,0))),0)+
IFERROR(SUMIF([1]Location2!$A:$A,"post*",INDEX([1]Location2!$A:$Z,0,MATCH($I$15,[1]Location2!$2:$2,0))),0)+
IFERROR(SUMIF([1]Location2!$A:$A,"65*",INDEX([1]Location2!$A:$Z,0,MATCH($I$15,[1]Location2!$2:$2,0))),0),0)</f>
        <v>5</v>
      </c>
      <c r="N15" s="1" t="s">
        <v>73</v>
      </c>
      <c r="O15">
        <f>IFERROR(SUMIF([1]Location2!A:A,"free*",INDEX([1]Location2!$A:$Z,0,MATCH($N$15,[1]Location2!$2:$2,0))),0)</f>
        <v>3</v>
      </c>
      <c r="R15" s="1"/>
    </row>
    <row r="16" spans="2:18" ht="15" x14ac:dyDescent="0.2">
      <c r="B16" s="1"/>
      <c r="C16" s="1" t="s">
        <v>70</v>
      </c>
      <c r="D16" s="1">
        <f>IFERROR(VLOOKUP("own*won",[1]Location2!A1:Q18,MATCH(C16,[1]Location2!2:2,0),0), 0)</f>
        <v>1</v>
      </c>
      <c r="E16" s="1">
        <f>IFERROR(VLOOKUP("own*lost",[1]Location2!A1:Q18,MATCH(C16,[1]Location2!2:2,0),0), 0)</f>
        <v>0</v>
      </c>
      <c r="F16" s="1">
        <f t="shared" si="0"/>
        <v>1</v>
      </c>
      <c r="H16" s="1"/>
      <c r="I16" s="1" t="s">
        <v>70</v>
      </c>
      <c r="J16" s="1">
        <f>IFERROR(SUMIF([1]Location2!$A:$A,"point*",INDEX([1]Location2!$A:$Z,0,MATCH($I$16,[1]Location2!$2:$2,0))),0)+
IFERROR(SUMIF([1]Location2!$A:$A,"goal*",INDEX([1]Location2!$A:$Z,0,MATCH($I$16,[1]Location2!$2:$2,0))),0)</f>
        <v>3</v>
      </c>
      <c r="K16" s="1">
        <f>IFERROR(SUMIF([1]Location2!$A:$A,"point*",INDEX([1]Location2!$A:$Z,0,MATCH($I$16,[1]Location2!$2:$2,0)))+
IFERROR(SUMIF([1]Location2!$A:$A,"wide*",INDEX([1]Location2!$A:$Z,0,MATCH($I$16,[1]Location2!$2:$2,0))),0)+
IFERROR(SUMIF([1]Location2!$A:$A,"short*",INDEX([1]Location2!$A:$Z,0,MATCH($I$16,[1]Location2!$2:$2,0))),0)+
IFERROR(SUMIF([1]Location2!$A:$A,"save*",INDEX([1]Location2!$A:$Z,0,MATCH($I$16,[1]Location2!$2:$2,0))),0)+
IFERROR(SUMIF([1]Location2!$A:$A,"goal*",INDEX([1]Location2!$A:$Z,0,MATCH($I$16,[1]Location2!$2:$2,0))),0)+
IFERROR(SUMIF([1]Location2!$A:$A,"post*",INDEX([1]Location2!$A:$Z,0,MATCH($I$16,[1]Location2!$2:$2,0))),0)+
IFERROR(SUMIF([1]Location2!$A:$A,"65*",INDEX([1]Location2!$A:$Z,0,MATCH($I$16,[1]Location2!$2:$2,0))),0),0)</f>
        <v>3</v>
      </c>
      <c r="N16" s="1" t="s">
        <v>70</v>
      </c>
      <c r="O16">
        <f>IFERROR(SUMIF([1]Location2!A:A,"free*",INDEX([1]Location2!$A:$Z,0,MATCH($N$16,[1]Location2!$2:$2,0))),0)</f>
        <v>0</v>
      </c>
      <c r="R16" s="1"/>
    </row>
    <row r="17" spans="2:20" ht="15" x14ac:dyDescent="0.2">
      <c r="B17" s="1"/>
      <c r="C17" s="1" t="s">
        <v>74</v>
      </c>
      <c r="D17" s="1">
        <f>IFERROR(VLOOKUP("own*won",[1]Location2!A1:Q18,MATCH(C17,[1]Location2!2:2,0),0), 0)</f>
        <v>0</v>
      </c>
      <c r="E17" s="1">
        <f>IFERROR(VLOOKUP("own*lost",[1]Location2!A1:Q18,MATCH(C17,[1]Location2!2:2,0),0), 0)</f>
        <v>1</v>
      </c>
      <c r="F17" s="1">
        <f t="shared" si="0"/>
        <v>1</v>
      </c>
      <c r="H17" s="1"/>
      <c r="I17" s="1" t="s">
        <v>74</v>
      </c>
      <c r="J17" s="1">
        <f>IFERROR(SUMIF([1]Location2!$A:$A,"point*",INDEX([1]Location2!$A:$Z,0,MATCH($I$17,[1]Location2!$2:$2,0))),0)+
IFERROR(SUMIF([1]Location2!$A:$A,"goal*",INDEX([1]Location2!$A:$Z,0,MATCH($I$17,[1]Location2!$2:$2,0))),0)</f>
        <v>0</v>
      </c>
      <c r="K17" s="1">
        <f>IFERROR(SUMIF([1]Location2!$A:$A,"point*",INDEX([1]Location2!$A:$Z,0,MATCH($I$17,[1]Location2!$2:$2,0)))+
IFERROR(SUMIF([1]Location2!$A:$A,"wide*",INDEX([1]Location2!$A:$Z,0,MATCH($I$17,[1]Location2!$2:$2,0))),0)+
IFERROR(SUMIF([1]Location2!$A:$A,"short*",INDEX([1]Location2!$A:$Z,0,MATCH($I$17,[1]Location2!$2:$2,0))),0)+
IFERROR(SUMIF([1]Location2!$A:$A,"save*",INDEX([1]Location2!$A:$Z,0,MATCH($I$17,[1]Location2!$2:$2,0))),0)+
IFERROR(SUMIF([1]Location2!$A:$A,"goal*",INDEX([1]Location2!$A:$Z,0,MATCH($I$17,[1]Location2!$2:$2,0))),0)+
IFERROR(SUMIF([1]Location2!$A:$A,"post*",INDEX([1]Location2!$A:$Z,0,MATCH($I$17,[1]Location2!$2:$2,0))),0)+
IFERROR(SUMIF([1]Location2!$A:$A,"65*",INDEX([1]Location2!$A:$Z,0,MATCH($I$17,[1]Location2!$2:$2,0))),0),0)</f>
        <v>1</v>
      </c>
      <c r="N17" s="1" t="s">
        <v>74</v>
      </c>
      <c r="O17">
        <f>IFERROR(SUMIF([1]Location2!A:A,"free*",INDEX([1]Location2!$A:$Z,0,MATCH($N$17,[1]Location2!$2:$2,0))),0)</f>
        <v>1</v>
      </c>
      <c r="R17" s="1"/>
    </row>
    <row r="18" spans="2:20" ht="15" x14ac:dyDescent="0.2">
      <c r="B18" s="1"/>
      <c r="C18" s="1" t="s">
        <v>75</v>
      </c>
      <c r="D18" s="1">
        <f>IFERROR(VLOOKUP("own*won",[1]Location2!A1:Q18,MATCH(C18,[1]Location2!2:2,0),0), 0)</f>
        <v>0</v>
      </c>
      <c r="E18" s="1">
        <f>IFERROR(VLOOKUP("own*lost",[1]Location2!A1:Q18,MATCH(C18,[1]Location2!2:2,0),0), 0)</f>
        <v>0</v>
      </c>
      <c r="F18" s="1">
        <f t="shared" si="0"/>
        <v>0</v>
      </c>
      <c r="H18" s="1"/>
      <c r="I18" s="1" t="s">
        <v>75</v>
      </c>
      <c r="J18" s="1">
        <f>IFERROR(SUMIF([1]Location2!$A:$A,"point*",INDEX([1]Location2!$A:$Z,0,MATCH($I$18,[1]Location2!$2:$2,0))),0)+
IFERROR(SUMIF([1]Location2!$A:$A,"goal*",INDEX([1]Location2!$A:$Z,0,MATCH($I$18,[1]Location2!$2:$2,0))),0)</f>
        <v>0</v>
      </c>
      <c r="K18" s="1">
        <f>IFERROR(SUMIF([1]Location2!$A:$A,"point*",INDEX([1]Location2!$A:$Z,0,MATCH($I$18,[1]Location2!$2:$2,0)))+
IFERROR(SUMIF([1]Location2!$A:$A,"wide*",INDEX([1]Location2!$A:$Z,0,MATCH($I$18,[1]Location2!$2:$2,0))),0)+
IFERROR(SUMIF([1]Location2!$A:$A,"short*",INDEX([1]Location2!$A:$Z,0,MATCH($I$18,[1]Location2!$2:$2,0))),0)+
IFERROR(SUMIF([1]Location2!$A:$A,"save*",INDEX([1]Location2!$A:$Z,0,MATCH($I$18,[1]Location2!$2:$2,0))),0)+
IFERROR(SUMIF([1]Location2!$A:$A,"goal*",INDEX([1]Location2!$A:$Z,0,MATCH($I$18,[1]Location2!$2:$2,0))),0)+
IFERROR(SUMIF([1]Location2!$A:$A,"post*",INDEX([1]Location2!$A:$Z,0,MATCH($I$18,[1]Location2!$2:$2,0))),0)+
IFERROR(SUMIF([1]Location2!$A:$A,"65*",INDEX([1]Location2!$A:$Z,0,MATCH($I$18,[1]Location2!$2:$2,0))),0),0)</f>
        <v>0</v>
      </c>
      <c r="N18" s="1" t="s">
        <v>75</v>
      </c>
      <c r="O18">
        <f>IFERROR(SUMIF([1]Location2!A:A,"free*",INDEX([1]Location2!$A:$Z,0,MATCH($N$18,[1]Location2!$2:$2,0))),0)</f>
        <v>0</v>
      </c>
      <c r="R18" s="1"/>
    </row>
    <row r="19" spans="2:20" ht="15" x14ac:dyDescent="0.2">
      <c r="B19" s="1"/>
      <c r="C19" s="1" t="s">
        <v>71</v>
      </c>
      <c r="D19" s="1">
        <f>IFERROR(VLOOKUP("own*won",[1]Location2!A1:Q18,MATCH(C19,[1]Location2!2:2,0),0), 0)</f>
        <v>0</v>
      </c>
      <c r="E19" s="1">
        <f>IFERROR(VLOOKUP("own*lost",[1]Location2!A1:Q18,MATCH(C19,[1]Location2!2:2,0),0), 0)</f>
        <v>0</v>
      </c>
      <c r="F19" s="1">
        <f t="shared" si="0"/>
        <v>0</v>
      </c>
      <c r="H19" s="1"/>
      <c r="I19" s="1" t="s">
        <v>71</v>
      </c>
      <c r="J19" s="1">
        <f>IFERROR(SUMIF([1]Location2!$A:$A,"point*",INDEX([1]Location2!$A:$Z,0,MATCH($I$19,[1]Location2!$2:$2,0))),0)+
IFERROR(SUMIF([1]Location2!$A:$A,"goal*",INDEX([1]Location2!$A:$Z,0,MATCH($I$419,[1]Location2!$2:$2,0))),0)</f>
        <v>2</v>
      </c>
      <c r="K19" s="1">
        <f>IFERROR(SUMIF([1]Location2!$A:$A,"point*",INDEX([1]Location2!$A:$Z,0,MATCH($I$19,[1]Location2!$2:$2,0)))+
IFERROR(SUMIF([1]Location2!$A:$A,"wide*",INDEX([1]Location2!$A:$Z,0,MATCH($I$19,[1]Location2!$2:$2,0))),0)+
IFERROR(SUMIF([1]Location2!$A:$A,"short*",INDEX([1]Location2!$A:$Z,0,MATCH($I$19,[1]Location2!$2:$2,0))),0)+
IFERROR(SUMIF([1]Location2!$A:$A,"save*",INDEX([1]Location2!$A:$Z,0,MATCH($I$19,[1]Location2!$2:$2,0))),0)+
IFERROR(SUMIF([1]Location2!$A:$A,"goal*",INDEX([1]Location2!$A:$Z,0,MATCH($I$19,[1]Location2!$2:$2,0))),0)+
IFERROR(SUMIF([1]Location2!$A:$A,"post*",INDEX([1]Location2!$A:$Z,0,MATCH($I$19,[1]Location2!$2:$2,0))),0)+
IFERROR(SUMIF([1]Location2!$A:$A,"65*",INDEX([1]Location2!$A:$Z,0,MATCH($I$19,[1]Location2!$2:$2,0))),0),0)</f>
        <v>2</v>
      </c>
      <c r="N19" s="1" t="s">
        <v>71</v>
      </c>
      <c r="O19">
        <f>IFERROR(SUMIF([1]Location2!A:A,"free*",INDEX([1]Location2!$A:$Z,0,MATCH($N$19,[1]Location2!$2:$2,0))),0)</f>
        <v>0</v>
      </c>
      <c r="R19" s="1"/>
    </row>
    <row r="20" spans="2:20" ht="15" x14ac:dyDescent="0.2">
      <c r="B20" s="1"/>
      <c r="C20" s="1" t="s">
        <v>76</v>
      </c>
      <c r="D20" s="1">
        <f>IFERROR(VLOOKUP("own*won",[1]Location2!A1:Q18,MATCH(C20,[1]Location2!2:2,0),0), 0)</f>
        <v>0</v>
      </c>
      <c r="E20" s="1">
        <f>IFERROR(VLOOKUP("own*lost",[1]Location2!A1:Q18,MATCH(C20,[1]Location2!2:2,0),0), 0)</f>
        <v>0</v>
      </c>
      <c r="F20" s="1">
        <f t="shared" si="0"/>
        <v>0</v>
      </c>
      <c r="H20" s="1"/>
      <c r="I20" s="1" t="s">
        <v>76</v>
      </c>
      <c r="J20" s="1">
        <f>IFERROR(SUMIF([1]Location2!$A:$A,"point*",INDEX([1]Location2!$A:$Z,0,MATCH($I$20,[1]Location2!$2:$2,0))),0)+
IFERROR(SUMIF([1]Location2!$A:$A,"goal*",INDEX([1]Location2!$A:$Z,0,MATCH($I$20,[1]Location2!$2:$2,0))),0)</f>
        <v>1</v>
      </c>
      <c r="K20" s="1">
        <f>IFERROR(SUMIF([1]Location2!$A:$A,"point*",INDEX([1]Location2!$A:$Z,0,MATCH($I$20,[1]Location2!$2:$2,0)))+
IFERROR(SUMIF([1]Location2!$A:$A,"wide*",INDEX([1]Location2!$A:$Z,0,MATCH($I$20,[1]Location2!$2:$2,0))),0)+
IFERROR(SUMIF([1]Location2!$A:$A,"short*",INDEX([1]Location2!$A:$Z,0,MATCH($I$20,[1]Location2!$2:$2,0))),0)+
IFERROR(SUMIF([1]Location2!$A:$A,"save*",INDEX([1]Location2!$A:$Z,0,MATCH($I$20,[1]Location2!$2:$2,0))),0)+
IFERROR(SUMIF([1]Location2!$A:$A,"goal*",INDEX([1]Location2!$A:$Z,0,MATCH($I$20,[1]Location2!$2:$2,0))),0)+
IFERROR(SUMIF([1]Location2!$A:$A,"post*",INDEX([1]Location2!$A:$Z,0,MATCH($I$20,[1]Location2!$2:$2,0))),0)+
IFERROR(SUMIF([1]Location2!$A:$A,"65*",INDEX([1]Location2!$A:$Z,0,MATCH($I$20,[1]Location2!$2:$2,0))),0),0)</f>
        <v>1</v>
      </c>
      <c r="N20" s="1" t="s">
        <v>76</v>
      </c>
      <c r="O20">
        <f>IFERROR(SUMIF([1]Location2!A:A,"free*",INDEX([1]Location2!$A:$Z,0,MATCH($N$20,[1]Location2!$2:$2,0))),0)</f>
        <v>0</v>
      </c>
      <c r="R20" s="1"/>
    </row>
    <row r="21" spans="2:20" ht="15" x14ac:dyDescent="0.2">
      <c r="B21" s="1"/>
      <c r="C21" s="1" t="s">
        <v>77</v>
      </c>
      <c r="D21" s="1">
        <f>IFERROR(VLOOKUP("own*won",[1]Location2!A1:Q18,MATCH(C21,[1]Location2!2:2,0),0), 0)</f>
        <v>0</v>
      </c>
      <c r="E21" s="1">
        <f>IFERROR(VLOOKUP("own*lost",[1]Location2!A1:Q18,MATCH(C21,[1]Location2!2:2,0),0), 0)</f>
        <v>0</v>
      </c>
      <c r="F21" s="1">
        <f t="shared" si="0"/>
        <v>0</v>
      </c>
      <c r="H21" s="1"/>
      <c r="I21" s="1" t="s">
        <v>77</v>
      </c>
      <c r="J21" s="1">
        <f>IFERROR(SUMIF([1]Location2!$A:$A,"point*",INDEX([1]Location2!$A:$Z,0,MATCH($I$21,[1]Location2!$2:$2,0))),0)+
IFERROR(SUMIF([1]Location2!$A:$A,"goal*",INDEX([1]Location2!$A:$Z,0,MATCH($I$21,[1]Location2!$2:$2,0))),0)</f>
        <v>0</v>
      </c>
      <c r="K21" s="1">
        <f>IFERROR(SUMIF([1]Location2!$A:$A,"point*",INDEX([1]Location2!$A:$Z,0,MATCH($I$21,[1]Location2!$2:$2,0)))+
IFERROR(SUMIF([1]Location2!$A:$A,"wide*",INDEX([1]Location2!$A:$Z,0,MATCH($I$21,[1]Location2!$2:$2,0))),0)+
IFERROR(SUMIF([1]Location2!$A:$A,"short*",INDEX([1]Location2!$A:$Z,0,MATCH($I$21,[1]Location2!$2:$2,0))),0)+
IFERROR(SUMIF([1]Location2!$A:$A,"save*",INDEX([1]Location2!$A:$Z,0,MATCH($I$21,[1]Location2!$2:$2,0))),0)+
IFERROR(SUMIF([1]Location2!$A:$A,"goal*",INDEX([1]Location2!$A:$Z,0,MATCH($I$21,[1]Location2!$2:$2,0))),0)+
IFERROR(SUMIF([1]Location2!$A:$A,"post*",INDEX([1]Location2!$A:$Z,0,MATCH($I$21,[1]Location2!$2:$2,0))),0)+
IFERROR(SUMIF([1]Location2!$A:$A,"65*",INDEX([1]Location2!$A:$Z,0,MATCH($I$21,[1]Location2!$2:$2,0))),0),0)</f>
        <v>0</v>
      </c>
      <c r="N21" s="1" t="s">
        <v>77</v>
      </c>
      <c r="O21">
        <f>IFERROR(SUMIF([1]Location2!A:A,"free*",INDEX([1]Location2!$A:$Z,0,MATCH($N$21,[1]Location2!$2:$2,0))),0)</f>
        <v>1</v>
      </c>
      <c r="R21" s="1"/>
    </row>
    <row r="22" spans="2:20" ht="15" x14ac:dyDescent="0.2">
      <c r="B22" s="1"/>
      <c r="C22" s="1" t="s">
        <v>0</v>
      </c>
      <c r="D22" s="1">
        <f>SUM(D4:D18)</f>
        <v>15</v>
      </c>
      <c r="E22" s="1">
        <f>SUM(E4:E18)</f>
        <v>13</v>
      </c>
      <c r="F22" s="1">
        <f>SUM(F4:F18)</f>
        <v>28</v>
      </c>
      <c r="G22" s="1"/>
      <c r="H22" s="1"/>
      <c r="I22" s="1" t="s">
        <v>0</v>
      </c>
      <c r="J22" s="1">
        <f>SUM(J4:J21)</f>
        <v>23</v>
      </c>
      <c r="K22" s="1">
        <f>SUM(K4:K21)</f>
        <v>31</v>
      </c>
      <c r="L22" s="1"/>
      <c r="N22" s="1" t="s">
        <v>0</v>
      </c>
      <c r="O22">
        <f>SUM(O4:O21)</f>
        <v>12</v>
      </c>
      <c r="R22" s="1"/>
      <c r="S22" s="1"/>
      <c r="T22" s="1"/>
    </row>
    <row r="23" spans="2:20" ht="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O23" s="1"/>
    </row>
    <row r="24" spans="2:20" ht="15" x14ac:dyDescent="0.2">
      <c r="B24" s="1"/>
      <c r="C24" s="1"/>
      <c r="D24" s="1" t="s">
        <v>16</v>
      </c>
      <c r="E24" s="1" t="s">
        <v>0</v>
      </c>
      <c r="F24" s="1" t="s">
        <v>41</v>
      </c>
      <c r="G24" s="1"/>
      <c r="H24" s="1"/>
      <c r="I24" s="1"/>
      <c r="J24" s="1" t="s">
        <v>30</v>
      </c>
      <c r="K24" s="1" t="s">
        <v>0</v>
      </c>
      <c r="L24" s="1" t="s">
        <v>41</v>
      </c>
      <c r="N24" s="1"/>
      <c r="O24" s="1" t="s">
        <v>0</v>
      </c>
      <c r="P24" s="1" t="s">
        <v>41</v>
      </c>
    </row>
    <row r="25" spans="2:20" ht="15" x14ac:dyDescent="0.2">
      <c r="B25" s="1"/>
      <c r="C25" s="1" t="s">
        <v>78</v>
      </c>
      <c r="D25" s="1">
        <f>SUMIF(C4:C21, "*c*", D4:D21)</f>
        <v>6</v>
      </c>
      <c r="E25" s="1">
        <f>SUMIF(C4:C21, "*c*", F4:F21)</f>
        <v>12</v>
      </c>
      <c r="F25" s="6">
        <f>IF(E25,D25/E25,0)</f>
        <v>0.5</v>
      </c>
      <c r="G25" s="1"/>
      <c r="H25" s="1"/>
      <c r="I25" s="1" t="s">
        <v>78</v>
      </c>
      <c r="J25" s="1">
        <f>SUMIF(I4:I21, "*C*", J4:J21)</f>
        <v>4</v>
      </c>
      <c r="K25" s="1">
        <f>SUMIF(I4:I21, "*C*", K4:K21)</f>
        <v>6</v>
      </c>
      <c r="L25" s="6">
        <f>IF(K25,J25/K25,0)</f>
        <v>0.66666666666666663</v>
      </c>
      <c r="N25" s="1" t="s">
        <v>78</v>
      </c>
      <c r="O25" s="1">
        <f>SUMIF(N4:N18, "*C*", O4:O18)</f>
        <v>3</v>
      </c>
      <c r="P25" s="6">
        <f>IF(O25,O25/O28,0)</f>
        <v>0.27272727272727271</v>
      </c>
    </row>
    <row r="26" spans="2:20" ht="15" x14ac:dyDescent="0.2">
      <c r="B26" s="1"/>
      <c r="C26" s="1" t="s">
        <v>79</v>
      </c>
      <c r="D26" s="1">
        <f>SUMIF(C4:C21, "*b*", D4:D21)</f>
        <v>2</v>
      </c>
      <c r="E26" s="1">
        <f>SUMIF(C4:C21, "*b*", F4:F21)</f>
        <v>4</v>
      </c>
      <c r="F26" s="6">
        <f t="shared" ref="F26:F28" si="1">IF(E26,D26/E26,0)</f>
        <v>0.5</v>
      </c>
      <c r="G26" s="1"/>
      <c r="H26" s="1"/>
      <c r="I26" s="1" t="s">
        <v>79</v>
      </c>
      <c r="J26" s="1">
        <f>SUMIF(I4:I21, "*B*", J4:J21)</f>
        <v>11</v>
      </c>
      <c r="K26" s="1">
        <f>SUMIF(I4:I21, "*B*", K4:K21)</f>
        <v>14</v>
      </c>
      <c r="L26" s="6">
        <f t="shared" ref="L26:L28" si="2">IF(K26,J26/K26,0)</f>
        <v>0.7857142857142857</v>
      </c>
      <c r="N26" s="1" t="s">
        <v>79</v>
      </c>
      <c r="O26" s="1">
        <f>SUMIF(N4:N18, "*B*", O4:O18)</f>
        <v>6</v>
      </c>
      <c r="P26" s="6">
        <f>IF(O26,O26/O28,0)</f>
        <v>0.54545454545454541</v>
      </c>
    </row>
    <row r="27" spans="2:20" ht="15" x14ac:dyDescent="0.2">
      <c r="B27" s="1"/>
      <c r="C27" s="1" t="s">
        <v>80</v>
      </c>
      <c r="D27" s="1">
        <f>SUMIF(C4:C21, "*c*", D4:D21)</f>
        <v>6</v>
      </c>
      <c r="E27" s="1">
        <f>SUMIF(C4:C21, "*a*", F4:F21)</f>
        <v>12</v>
      </c>
      <c r="F27" s="6">
        <f t="shared" si="1"/>
        <v>0.5</v>
      </c>
      <c r="G27" s="1"/>
      <c r="H27" s="1"/>
      <c r="I27" s="1" t="s">
        <v>80</v>
      </c>
      <c r="J27" s="1">
        <f>SUMIF(I4:I21, "*A*", J4:J21)</f>
        <v>8</v>
      </c>
      <c r="K27" s="1">
        <f>SUMIF(I4:I21, "*A*", K4:K21)</f>
        <v>11</v>
      </c>
      <c r="L27" s="6">
        <f t="shared" si="2"/>
        <v>0.72727272727272729</v>
      </c>
      <c r="N27" s="1" t="s">
        <v>80</v>
      </c>
      <c r="O27" s="1">
        <f>SUMIF(N4:N18, "*A*", O4:O18)</f>
        <v>2</v>
      </c>
      <c r="P27" s="6">
        <f>IF(O27,O27/O28,0)</f>
        <v>0.18181818181818182</v>
      </c>
    </row>
    <row r="28" spans="2:20" ht="15" x14ac:dyDescent="0.2">
      <c r="B28" s="1"/>
      <c r="C28" s="1" t="s">
        <v>0</v>
      </c>
      <c r="D28" s="1">
        <f>SUM(D25:D27)</f>
        <v>14</v>
      </c>
      <c r="E28" s="1">
        <f>SUM(E25:E27)</f>
        <v>28</v>
      </c>
      <c r="F28" s="6">
        <f t="shared" si="1"/>
        <v>0.5</v>
      </c>
      <c r="G28" s="1"/>
      <c r="H28" s="1"/>
      <c r="I28" s="1" t="s">
        <v>0</v>
      </c>
      <c r="J28" s="1">
        <f>SUM(J25:J27)</f>
        <v>23</v>
      </c>
      <c r="K28">
        <f>SUM(K25:K27)</f>
        <v>31</v>
      </c>
      <c r="L28" s="6">
        <f t="shared" si="2"/>
        <v>0.74193548387096775</v>
      </c>
      <c r="N28" s="1" t="s">
        <v>0</v>
      </c>
      <c r="O28">
        <f>SUM(O25:O27)</f>
        <v>11</v>
      </c>
      <c r="P28" s="6">
        <f>IF(O28,O28/O28,0)</f>
        <v>1</v>
      </c>
    </row>
    <row r="29" spans="2:20" ht="15" x14ac:dyDescent="0.2">
      <c r="B29" s="1"/>
      <c r="C29" s="1"/>
      <c r="D29" s="1"/>
      <c r="E29" s="1"/>
      <c r="F29" s="6"/>
      <c r="G29" s="1"/>
      <c r="H29" s="1"/>
      <c r="I29" s="1"/>
      <c r="J29" s="1"/>
      <c r="N29" s="1"/>
    </row>
    <row r="30" spans="2:20" ht="15" x14ac:dyDescent="0.2">
      <c r="C30" s="1">
        <v>1</v>
      </c>
      <c r="D30" s="1">
        <f>SUMIF(C4:C21, "*1*", D4:D21)</f>
        <v>0</v>
      </c>
      <c r="E30" s="1">
        <f>SUMIF(C4:C21, "*1*", F4:F21)</f>
        <v>0</v>
      </c>
      <c r="F30" s="6">
        <f>IF(E30,D30/E30,0)</f>
        <v>0</v>
      </c>
      <c r="I30" s="1">
        <v>1</v>
      </c>
      <c r="J30" s="1">
        <f>SUMIF(I4:I21, "*1*", J4:J21)</f>
        <v>3</v>
      </c>
      <c r="K30" s="1">
        <f>SUMIF(I4:I21, "*1*", K4:K21)</f>
        <v>3</v>
      </c>
      <c r="L30" s="6">
        <f>IF(K30,J30/K30,0)</f>
        <v>1</v>
      </c>
      <c r="N30" s="1">
        <v>1</v>
      </c>
      <c r="O30" s="1">
        <f>SUMIF(N4:N21, "*1*", O4:O21)</f>
        <v>1</v>
      </c>
      <c r="P30" s="6">
        <f>IF(O30,O30/O33,0)</f>
        <v>0.16666666666666666</v>
      </c>
    </row>
    <row r="31" spans="2:20" ht="15" x14ac:dyDescent="0.2">
      <c r="C31" s="1">
        <v>2</v>
      </c>
      <c r="D31" s="1">
        <f>SUMIF(C4:C21, "*2*", D4:D21)</f>
        <v>3</v>
      </c>
      <c r="E31" s="1">
        <f>SUMIF(C4:C21, "*2*", F4:F21)</f>
        <v>4</v>
      </c>
      <c r="F31" s="6">
        <f t="shared" ref="F31:F36" si="3">IF(E31,D31/E31,0)</f>
        <v>0.75</v>
      </c>
      <c r="I31" s="1">
        <v>2</v>
      </c>
      <c r="J31" s="1">
        <f>SUMIF(I4:I21, "*2*", J4:J21)</f>
        <v>6</v>
      </c>
      <c r="K31" s="1">
        <f>SUMIF(I4:I21, "*2*", K4:K21)</f>
        <v>6</v>
      </c>
      <c r="L31" s="6">
        <f t="shared" ref="L31:L35" si="4">IF(K31,J31/K31,0)</f>
        <v>1</v>
      </c>
      <c r="N31" s="1">
        <v>2</v>
      </c>
      <c r="O31" s="1">
        <f>SUMIF(N4:N21, "*2*", O4:O21)</f>
        <v>2</v>
      </c>
      <c r="P31" s="6">
        <f>IF(O31,O31/O36,0)</f>
        <v>0.18181818181818182</v>
      </c>
    </row>
    <row r="32" spans="2:20" ht="15" x14ac:dyDescent="0.2">
      <c r="C32" s="1">
        <v>3</v>
      </c>
      <c r="D32" s="1">
        <f>SUMIF(C4:C21, "*3*", D4:D21)</f>
        <v>6</v>
      </c>
      <c r="E32" s="1">
        <f>SUMIF(C4:C21, "*3*", F4:F21)</f>
        <v>12</v>
      </c>
      <c r="F32" s="6">
        <f t="shared" si="3"/>
        <v>0.5</v>
      </c>
      <c r="I32" s="1">
        <v>3</v>
      </c>
      <c r="J32" s="1">
        <f>SUMIF(I4:I21, "*3*", J4:J21)</f>
        <v>2</v>
      </c>
      <c r="K32" s="1">
        <f>SUMIF(I4:I21, "*3*", K4:K21)</f>
        <v>5</v>
      </c>
      <c r="L32" s="6">
        <f t="shared" si="4"/>
        <v>0.4</v>
      </c>
      <c r="N32" s="1">
        <v>3</v>
      </c>
      <c r="O32" s="1">
        <f>SUMIF(N4:N21, "*3*", O4:O21)</f>
        <v>1</v>
      </c>
      <c r="P32" s="6">
        <f t="shared" ref="P32" si="5">IF(O32,O32/O36,0)</f>
        <v>9.0909090909090912E-2</v>
      </c>
    </row>
    <row r="33" spans="3:16" ht="15" x14ac:dyDescent="0.2">
      <c r="C33" s="1">
        <v>4</v>
      </c>
      <c r="D33" s="1">
        <f>SUMIF(C4:C21, "*4*", D4:D21)</f>
        <v>5</v>
      </c>
      <c r="E33" s="1">
        <f>SUMIF(C4:C21, "*4*", F4:F21)</f>
        <v>10</v>
      </c>
      <c r="F33" s="6">
        <f t="shared" si="3"/>
        <v>0.5</v>
      </c>
      <c r="I33" s="1">
        <v>4</v>
      </c>
      <c r="J33" s="1">
        <f>SUMIF(I4:I21, "*4*", J4:J21)</f>
        <v>6</v>
      </c>
      <c r="K33" s="1">
        <f>SUMIF(I4:I21, "*4*", K4:K21)</f>
        <v>10</v>
      </c>
      <c r="L33" s="6">
        <f t="shared" si="4"/>
        <v>0.6</v>
      </c>
      <c r="N33" s="1">
        <v>4</v>
      </c>
      <c r="O33" s="1">
        <f>SUMIF(N4:N21, "*4*", O4:O21)</f>
        <v>6</v>
      </c>
      <c r="P33" s="6">
        <f>IF(O33,O33/O36,0)</f>
        <v>0.54545454545454541</v>
      </c>
    </row>
    <row r="34" spans="3:16" ht="15" x14ac:dyDescent="0.2">
      <c r="C34" s="1">
        <v>5</v>
      </c>
      <c r="D34" s="1">
        <f>SUMIF(C4:C21, "*5*", D4:D21)</f>
        <v>1</v>
      </c>
      <c r="E34" s="1">
        <f>SUMIF(C4:C21, "*5*", F4:F21)</f>
        <v>2</v>
      </c>
      <c r="F34" s="6">
        <f t="shared" si="3"/>
        <v>0.5</v>
      </c>
      <c r="I34" s="1">
        <v>5</v>
      </c>
      <c r="J34" s="1">
        <f>SUMIF(I4:I21, "*5*", J4:J21)</f>
        <v>3</v>
      </c>
      <c r="K34" s="1">
        <f>SUMIF(I4:I21, "*5*", K4:K21)</f>
        <v>4</v>
      </c>
      <c r="L34" s="6">
        <f t="shared" si="4"/>
        <v>0.75</v>
      </c>
      <c r="N34" s="1">
        <v>5</v>
      </c>
      <c r="O34" s="1">
        <f>SUMIF(N4:N21, "*5*", O4:O21)</f>
        <v>1</v>
      </c>
      <c r="P34" s="6">
        <f>IF(O34,O34/O36,0)</f>
        <v>9.0909090909090912E-2</v>
      </c>
    </row>
    <row r="35" spans="3:16" ht="15" x14ac:dyDescent="0.2">
      <c r="C35" s="1">
        <v>6</v>
      </c>
      <c r="D35" s="1">
        <f>SUMIF(C4:C21, "*6*", D4:D21)</f>
        <v>0</v>
      </c>
      <c r="E35" s="1">
        <f>SUMIF(C4:C21, "*6*", F4:F21)</f>
        <v>0</v>
      </c>
      <c r="F35" s="6">
        <f t="shared" si="3"/>
        <v>0</v>
      </c>
      <c r="I35" s="1">
        <v>6</v>
      </c>
      <c r="J35" s="1">
        <f>SUMIF(I4:I21, "*6*", J4:J21)</f>
        <v>3</v>
      </c>
      <c r="K35" s="1">
        <f>SUMIF(I4:I21, "*6*", K4:K21)</f>
        <v>3</v>
      </c>
      <c r="L35" s="6">
        <f t="shared" si="4"/>
        <v>1</v>
      </c>
      <c r="N35" s="1">
        <v>6</v>
      </c>
      <c r="O35" s="1">
        <f>SUMIF(N4:N21, "*6*", O4:O21)</f>
        <v>1</v>
      </c>
      <c r="P35" s="6">
        <f>IF(O35,O35/O36,0)</f>
        <v>9.0909090909090912E-2</v>
      </c>
    </row>
    <row r="36" spans="3:16" ht="15" x14ac:dyDescent="0.2">
      <c r="C36" s="1" t="s">
        <v>0</v>
      </c>
      <c r="D36">
        <f>SUM(D30:D34)</f>
        <v>15</v>
      </c>
      <c r="E36">
        <f>SUM(E30:E34)</f>
        <v>28</v>
      </c>
      <c r="F36" s="6">
        <f t="shared" si="3"/>
        <v>0.5357142857142857</v>
      </c>
      <c r="I36" s="1" t="s">
        <v>0</v>
      </c>
      <c r="J36">
        <f>SUM(J30:J35)</f>
        <v>23</v>
      </c>
      <c r="K36" s="1">
        <f>SUM(K30:K35)</f>
        <v>31</v>
      </c>
      <c r="L36" s="6">
        <f>IF(K36,J36/K36,0)</f>
        <v>0.74193548387096775</v>
      </c>
      <c r="N36" s="1" t="s">
        <v>0</v>
      </c>
      <c r="O36" s="1">
        <f>SUM(O30:O34)</f>
        <v>11</v>
      </c>
      <c r="P36" s="6">
        <f>IF(O36,O36/O36,0)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3C72-E6F2-B04A-8720-955927129A5B}">
  <dimension ref="K11:M19"/>
  <sheetViews>
    <sheetView showGridLines="0" showRowColHeaders="0" showRuler="0" showWhiteSpace="0" view="pageLayout" zoomScale="50" zoomScaleNormal="100" zoomScalePageLayoutView="50" workbookViewId="0">
      <selection activeCell="BT9" sqref="BT9"/>
    </sheetView>
  </sheetViews>
  <sheetFormatPr baseColWidth="10" defaultColWidth="11" defaultRowHeight="13" x14ac:dyDescent="0.15"/>
  <sheetData>
    <row r="11" spans="11:13" x14ac:dyDescent="0.15">
      <c r="K11" s="3"/>
      <c r="L11" s="3"/>
      <c r="M11" s="3"/>
    </row>
    <row r="12" spans="11:13" x14ac:dyDescent="0.15">
      <c r="K12" s="3"/>
      <c r="L12" s="3"/>
      <c r="M12" s="3"/>
    </row>
    <row r="13" spans="11:13" x14ac:dyDescent="0.15">
      <c r="K13" s="3"/>
      <c r="L13" s="3"/>
      <c r="M13" s="3"/>
    </row>
    <row r="14" spans="11:13" x14ac:dyDescent="0.15">
      <c r="K14" s="3"/>
      <c r="L14" s="3"/>
      <c r="M14" s="3"/>
    </row>
    <row r="15" spans="11:13" x14ac:dyDescent="0.15">
      <c r="K15" s="3"/>
      <c r="L15" s="3"/>
      <c r="M15" s="3"/>
    </row>
    <row r="16" spans="11:13" x14ac:dyDescent="0.15">
      <c r="K16" s="3"/>
      <c r="L16" s="3"/>
      <c r="M16" s="3"/>
    </row>
    <row r="17" spans="11:13" x14ac:dyDescent="0.15">
      <c r="K17" s="3"/>
      <c r="L17" s="3"/>
      <c r="M17" s="3"/>
    </row>
    <row r="18" spans="11:13" x14ac:dyDescent="0.15">
      <c r="K18" s="3"/>
      <c r="L18" s="3"/>
      <c r="M18" s="3"/>
    </row>
    <row r="19" spans="11:13" x14ac:dyDescent="0.15">
      <c r="K19" s="3"/>
      <c r="L19" s="3"/>
      <c r="M19" s="3"/>
    </row>
  </sheetData>
  <pageMargins left="0.7" right="0.7" top="0.75" bottom="0.75" header="0.3" footer="0.3"/>
  <pageSetup paperSize="9" orientation="portrait" r:id="rId1"/>
  <headerFooter differentFirst="1">
    <oddFooter>&amp;CAuthor:
Rory Moynihan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5698-D2D4-CB44-B952-E9C9815007AC}">
  <dimension ref="A1:I25"/>
  <sheetViews>
    <sheetView workbookViewId="0">
      <selection activeCell="N26" sqref="N26"/>
    </sheetView>
  </sheetViews>
  <sheetFormatPr baseColWidth="10" defaultRowHeight="13" x14ac:dyDescent="0.15"/>
  <sheetData>
    <row r="1" spans="1:9" x14ac:dyDescent="0.15">
      <c r="A1" s="3" t="s">
        <v>81</v>
      </c>
      <c r="B1" s="3" t="s">
        <v>67</v>
      </c>
      <c r="C1" s="3" t="s">
        <v>68</v>
      </c>
    </row>
    <row r="2" spans="1:9" x14ac:dyDescent="0.15">
      <c r="A2" s="8">
        <v>1</v>
      </c>
      <c r="B2">
        <f>IFERROR(INDEX([1]Possessions!$B$1:$B$21, MATCH(A2,[1]Possessions!$A$1:$A$21,0)),0)</f>
        <v>0</v>
      </c>
      <c r="C2">
        <f>IFERROR(INDEX([1]Tackles!$B$1:$B$21, MATCH(A2,[1]Tackles!$A$1:$A$21,0)),0)</f>
        <v>0</v>
      </c>
    </row>
    <row r="3" spans="1:9" x14ac:dyDescent="0.15">
      <c r="A3" s="8">
        <v>2</v>
      </c>
      <c r="B3">
        <f>IFERROR(INDEX([1]Possessions!$B$1:$B$21, MATCH(A3,[1]Possessions!$A$1:$A$21,0)),0)</f>
        <v>0</v>
      </c>
      <c r="C3">
        <f>IFERROR(INDEX([1]Tackles!$B$1:$B$21, MATCH(A3,[1]Tackles!$A$1:$A$21,0)),0)</f>
        <v>2</v>
      </c>
    </row>
    <row r="4" spans="1:9" x14ac:dyDescent="0.15">
      <c r="A4" s="8">
        <v>3</v>
      </c>
      <c r="B4">
        <f>IFERROR(INDEX([1]Possessions!$B$1:$B$21, MATCH(A4,[1]Possessions!$A$1:$A$21,0)),0)</f>
        <v>0</v>
      </c>
      <c r="C4">
        <f>IFERROR(INDEX([1]Tackles!$B$1:$B$21, MATCH(A4,[1]Tackles!$A$1:$A$21,0)),0)</f>
        <v>2</v>
      </c>
    </row>
    <row r="5" spans="1:9" x14ac:dyDescent="0.15">
      <c r="A5" s="8">
        <v>4</v>
      </c>
      <c r="B5">
        <f>IFERROR(INDEX([1]Possessions!$B$1:$B$21, MATCH(A5,[1]Possessions!$A$1:$A$21,0)),0)</f>
        <v>4</v>
      </c>
      <c r="C5">
        <f>IFERROR(INDEX([1]Tackles!$B$1:$B$21, MATCH(A5,[1]Tackles!$A$1:$A$21,0)),0)</f>
        <v>1</v>
      </c>
    </row>
    <row r="6" spans="1:9" x14ac:dyDescent="0.15">
      <c r="A6" s="8">
        <v>5</v>
      </c>
      <c r="B6">
        <f>IFERROR(INDEX([1]Possessions!$B$1:$B$21, MATCH(A6,[1]Possessions!$A$1:$A$21,0)),0)</f>
        <v>3</v>
      </c>
      <c r="C6">
        <f>IFERROR(INDEX([1]Tackles!$B$1:$B$21, MATCH(A6,[1]Tackles!$A$1:$A$21,0)),0)</f>
        <v>6</v>
      </c>
    </row>
    <row r="7" spans="1:9" ht="18" x14ac:dyDescent="0.25">
      <c r="A7" s="8">
        <v>6</v>
      </c>
      <c r="B7">
        <f>IFERROR(INDEX([1]Possessions!$B$1:$B$21, MATCH(A7,[1]Possessions!$A$1:$A$21,0)),0)</f>
        <v>7</v>
      </c>
      <c r="C7">
        <f>IFERROR(INDEX([1]Tackles!$B$1:$B$21, MATCH(A7,[1]Tackles!$A$1:$A$21,0)),0)</f>
        <v>1</v>
      </c>
      <c r="I7" s="9"/>
    </row>
    <row r="8" spans="1:9" x14ac:dyDescent="0.15">
      <c r="A8" s="8">
        <v>7</v>
      </c>
      <c r="B8">
        <f>IFERROR(INDEX([1]Possessions!$B$1:$B$21, MATCH(A8,[1]Possessions!$A$1:$A$21,0)),0)</f>
        <v>6</v>
      </c>
      <c r="C8">
        <f>IFERROR(INDEX([1]Tackles!$B$1:$B$21, MATCH(A8,[1]Tackles!$A$1:$A$21,0)),0)</f>
        <v>2</v>
      </c>
    </row>
    <row r="9" spans="1:9" x14ac:dyDescent="0.15">
      <c r="A9" s="8">
        <v>8</v>
      </c>
      <c r="B9">
        <f>IFERROR(INDEX([1]Possessions!$B$1:$B$21, MATCH(A9,[1]Possessions!$A$1:$A$21,0)),0)</f>
        <v>0</v>
      </c>
      <c r="C9">
        <f>IFERROR(INDEX([1]Tackles!$B$1:$B$21, MATCH(A9,[1]Tackles!$A$1:$A$21,0)),0)</f>
        <v>4</v>
      </c>
    </row>
    <row r="10" spans="1:9" x14ac:dyDescent="0.15">
      <c r="A10" s="8">
        <v>9</v>
      </c>
      <c r="B10">
        <f>IFERROR(INDEX([1]Possessions!$B$1:$B$21, MATCH(A10,[1]Possessions!$A$1:$A$21,0)),0)</f>
        <v>6</v>
      </c>
      <c r="C10">
        <f>IFERROR(INDEX([1]Tackles!$B$1:$B$21, MATCH(A10,[1]Tackles!$A$1:$A$21,0)),0)</f>
        <v>4</v>
      </c>
    </row>
    <row r="11" spans="1:9" x14ac:dyDescent="0.15">
      <c r="A11" s="8">
        <v>10</v>
      </c>
      <c r="B11">
        <f>IFERROR(INDEX([1]Possessions!$B$1:$B$21, MATCH(A11,[1]Possessions!$A$1:$A$21,0)),0)</f>
        <v>12</v>
      </c>
      <c r="C11">
        <f>IFERROR(INDEX([1]Tackles!$B$1:$B$21, MATCH(A11,[1]Tackles!$A$1:$A$21,0)),0)</f>
        <v>1</v>
      </c>
    </row>
    <row r="12" spans="1:9" x14ac:dyDescent="0.15">
      <c r="A12" s="8">
        <v>11</v>
      </c>
      <c r="B12">
        <f>IFERROR(INDEX([1]Possessions!$B$1:$B$21, MATCH(A12,[1]Possessions!$A$1:$A$21,0)),0)</f>
        <v>11</v>
      </c>
      <c r="C12">
        <f>IFERROR(INDEX([1]Tackles!$B$1:$B$21, MATCH(A12,[1]Tackles!$A$1:$A$21,0)),0)</f>
        <v>4</v>
      </c>
    </row>
    <row r="13" spans="1:9" x14ac:dyDescent="0.15">
      <c r="A13" s="8">
        <v>12</v>
      </c>
      <c r="B13">
        <f>IFERROR(INDEX([1]Possessions!$B$1:$B$21, MATCH(A13,[1]Possessions!$A$1:$A$21,0)),0)</f>
        <v>1</v>
      </c>
      <c r="C13">
        <f>IFERROR(INDEX([1]Tackles!$B$1:$B$21, MATCH(A13,[1]Tackles!$A$1:$A$21,0)),0)</f>
        <v>0</v>
      </c>
    </row>
    <row r="14" spans="1:9" x14ac:dyDescent="0.15">
      <c r="A14" s="8">
        <v>13</v>
      </c>
      <c r="B14">
        <f>IFERROR(INDEX([1]Possessions!$B$1:$B$21, MATCH(A14,[1]Possessions!$A$1:$A$21,0)),0)</f>
        <v>2</v>
      </c>
      <c r="C14">
        <f>IFERROR(INDEX([1]Tackles!$B$1:$B$21, MATCH(A14,[1]Tackles!$A$1:$A$21,0)),0)</f>
        <v>0</v>
      </c>
    </row>
    <row r="15" spans="1:9" x14ac:dyDescent="0.15">
      <c r="A15" s="8">
        <v>14</v>
      </c>
      <c r="B15">
        <f>IFERROR(INDEX([1]Possessions!$B$1:$B$21, MATCH(A15,[1]Possessions!$A$1:$A$21,0)),0)</f>
        <v>3</v>
      </c>
      <c r="C15">
        <f>IFERROR(INDEX([1]Tackles!$B$1:$B$21, MATCH(A15,[1]Tackles!$A$1:$A$21,0)),0)</f>
        <v>4</v>
      </c>
    </row>
    <row r="16" spans="1:9" x14ac:dyDescent="0.15">
      <c r="A16" s="8">
        <v>15</v>
      </c>
      <c r="B16">
        <f>IFERROR(INDEX([1]Possessions!$B$1:$B$21, MATCH(A16,[1]Possessions!$A$1:$A$21,0)),0)</f>
        <v>8</v>
      </c>
      <c r="C16">
        <f>IFERROR(INDEX([1]Tackles!$B$1:$B$21, MATCH(A16,[1]Tackles!$A$1:$A$21,0)),0)</f>
        <v>2</v>
      </c>
    </row>
    <row r="17" spans="1:3" x14ac:dyDescent="0.15">
      <c r="A17" s="8">
        <v>16</v>
      </c>
      <c r="B17">
        <f>IFERROR(INDEX([1]Possessions!$B$1:$B$21, MATCH(A17,[1]Possessions!$A$1:$A$21,0)),0)</f>
        <v>1</v>
      </c>
      <c r="C17">
        <f>IFERROR(INDEX([1]Tackles!$B$1:$B$21, MATCH(A17,[1]Tackles!$A$1:$A$21,0)),0)</f>
        <v>1</v>
      </c>
    </row>
    <row r="18" spans="1:3" x14ac:dyDescent="0.15">
      <c r="A18" s="8">
        <v>17</v>
      </c>
      <c r="B18">
        <f>IFERROR(INDEX([1]Possessions!$B$1:$B$21, MATCH(A18,[1]Possessions!$A$1:$A$21,0)),0)</f>
        <v>0</v>
      </c>
      <c r="C18">
        <f>IFERROR(INDEX([1]Tackles!$B$1:$B$21, MATCH(A18,[1]Tackles!$A$1:$A$21,0)),0)</f>
        <v>0</v>
      </c>
    </row>
    <row r="19" spans="1:3" x14ac:dyDescent="0.15">
      <c r="A19" s="8">
        <v>18</v>
      </c>
      <c r="B19">
        <f>IFERROR(INDEX([1]Possessions!$B$1:$B$21, MATCH(A19,[1]Possessions!$A$1:$A$21,0)),0)</f>
        <v>4</v>
      </c>
      <c r="C19">
        <f>IFERROR(INDEX([1]Tackles!$B$1:$B$21, MATCH(A19,[1]Tackles!$A$1:$A$21,0)),0)</f>
        <v>4</v>
      </c>
    </row>
    <row r="20" spans="1:3" x14ac:dyDescent="0.15">
      <c r="A20" s="8">
        <v>19</v>
      </c>
      <c r="B20">
        <f>IFERROR(INDEX([1]Possessions!$B$1:$B$21, MATCH(A20,[1]Possessions!$A$1:$A$21,0)),0)</f>
        <v>0</v>
      </c>
      <c r="C20">
        <f>IFERROR(INDEX([1]Tackles!$B$1:$B$21, MATCH(A20,[1]Tackles!$A$1:$A$21,0)),0)</f>
        <v>0</v>
      </c>
    </row>
    <row r="21" spans="1:3" x14ac:dyDescent="0.15">
      <c r="A21" s="8">
        <v>20</v>
      </c>
      <c r="B21">
        <f>IFERROR(INDEX([1]Possessions!$B$1:$B$21, MATCH(A21,[1]Possessions!$A$1:$A$21,0)),0)</f>
        <v>1</v>
      </c>
      <c r="C21">
        <f>IFERROR(INDEX([1]Tackles!$B$1:$B$21, MATCH(A21,[1]Tackles!$A$1:$A$21,0)),0)</f>
        <v>0</v>
      </c>
    </row>
    <row r="22" spans="1:3" x14ac:dyDescent="0.15">
      <c r="A22" s="8">
        <v>21</v>
      </c>
      <c r="B22">
        <f>IFERROR(INDEX([1]Possessions!$B$1:$B$21, MATCH(A22,[1]Possessions!$A$1:$A$21,0)),0)</f>
        <v>0</v>
      </c>
      <c r="C22">
        <f>IFERROR(INDEX([1]Tackles!$B$1:$B$21, MATCH(A22,[1]Tackles!$A$1:$A$21,0)),0)</f>
        <v>0</v>
      </c>
    </row>
    <row r="25" spans="1:3" x14ac:dyDescent="0.15">
      <c r="B25">
        <f>SUM(B2:B24)</f>
        <v>69</v>
      </c>
      <c r="C25">
        <f>SUM(C2:C24)</f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CBB3-2F17-654D-9459-4162304B79F0}">
  <dimension ref="B11:M52"/>
  <sheetViews>
    <sheetView showGridLines="0" showRowColHeaders="0" tabSelected="1" showRuler="0" view="pageLayout" topLeftCell="AQ1" zoomScale="120" zoomScaleNormal="100" zoomScalePageLayoutView="120" workbookViewId="0">
      <selection activeCell="AW15" sqref="AW15"/>
    </sheetView>
  </sheetViews>
  <sheetFormatPr baseColWidth="10" defaultColWidth="11" defaultRowHeight="13" x14ac:dyDescent="0.15"/>
  <sheetData>
    <row r="11" spans="11:13" x14ac:dyDescent="0.15">
      <c r="K11" s="3"/>
      <c r="L11" s="3"/>
      <c r="M11" s="3"/>
    </row>
    <row r="12" spans="11:13" x14ac:dyDescent="0.15">
      <c r="K12" s="3"/>
      <c r="L12" s="3"/>
      <c r="M12" s="3"/>
    </row>
    <row r="13" spans="11:13" x14ac:dyDescent="0.15">
      <c r="K13" s="3"/>
      <c r="L13" s="3"/>
      <c r="M13" s="3"/>
    </row>
    <row r="14" spans="11:13" ht="14" customHeight="1" x14ac:dyDescent="0.15">
      <c r="K14" s="3"/>
      <c r="L14" s="3"/>
      <c r="M14" s="3"/>
    </row>
    <row r="15" spans="11:13" ht="14" customHeight="1" x14ac:dyDescent="0.15">
      <c r="K15" s="3"/>
      <c r="L15" s="3"/>
      <c r="M15" s="3"/>
    </row>
    <row r="16" spans="11:13" ht="14" customHeight="1" x14ac:dyDescent="0.15">
      <c r="K16" s="3"/>
      <c r="L16" s="3"/>
      <c r="M16" s="3"/>
    </row>
    <row r="17" spans="2:13" ht="14" customHeight="1" x14ac:dyDescent="0.15">
      <c r="K17" s="3"/>
      <c r="L17" s="3"/>
      <c r="M17" s="3"/>
    </row>
    <row r="18" spans="2:13" x14ac:dyDescent="0.15">
      <c r="K18" s="3"/>
      <c r="L18" s="3"/>
      <c r="M18" s="3"/>
    </row>
    <row r="19" spans="2:13" x14ac:dyDescent="0.15">
      <c r="K19" s="3"/>
      <c r="L19" s="3"/>
      <c r="M19" s="3"/>
    </row>
    <row r="28" spans="2:13" ht="14" thickBot="1" x14ac:dyDescent="0.2"/>
    <row r="29" spans="2:13" ht="14" customHeight="1" thickTop="1" x14ac:dyDescent="0.15">
      <c r="B29" s="30" t="s">
        <v>65</v>
      </c>
      <c r="C29" s="14" t="str">
        <f>MatchANALYSIS!D3</f>
        <v>home</v>
      </c>
      <c r="D29" s="15"/>
      <c r="E29" s="10" t="str">
        <f>MatchANALYSIS!C3</f>
        <v>away</v>
      </c>
      <c r="F29" s="11"/>
    </row>
    <row r="30" spans="2:13" ht="14" customHeight="1" thickBot="1" x14ac:dyDescent="0.2">
      <c r="B30" s="31"/>
      <c r="C30" s="16"/>
      <c r="D30" s="17"/>
      <c r="E30" s="12"/>
      <c r="F30" s="13"/>
    </row>
    <row r="31" spans="2:13" ht="14" customHeight="1" thickTop="1" x14ac:dyDescent="0.15">
      <c r="B31" s="30" t="str">
        <f>MatchANALYSIS!$B$2</f>
        <v>Score</v>
      </c>
      <c r="C31" s="14">
        <f>MatchANALYSIS!D7</f>
        <v>28</v>
      </c>
      <c r="D31" s="15"/>
      <c r="E31" s="10">
        <f>MatchANALYSIS!C7</f>
        <v>21</v>
      </c>
      <c r="F31" s="11"/>
    </row>
    <row r="32" spans="2:13" ht="14" customHeight="1" thickBot="1" x14ac:dyDescent="0.2">
      <c r="B32" s="31"/>
      <c r="C32" s="16"/>
      <c r="D32" s="17"/>
      <c r="E32" s="12"/>
      <c r="F32" s="13"/>
    </row>
    <row r="33" spans="2:6" ht="14" customHeight="1" thickTop="1" x14ac:dyDescent="0.15">
      <c r="B33" s="30" t="str">
        <f>MatchANALYSIS!$F$21</f>
        <v>Efficiency</v>
      </c>
      <c r="C33" s="22">
        <f>MatchANALYSIS!H21</f>
        <v>0.75</v>
      </c>
      <c r="D33" s="23"/>
      <c r="E33" s="18">
        <f>MatchANALYSIS!G21</f>
        <v>0.5757575757575758</v>
      </c>
      <c r="F33" s="19"/>
    </row>
    <row r="34" spans="2:6" ht="14" customHeight="1" thickBot="1" x14ac:dyDescent="0.2">
      <c r="B34" s="31"/>
      <c r="C34" s="24"/>
      <c r="D34" s="25"/>
      <c r="E34" s="20"/>
      <c r="F34" s="21"/>
    </row>
    <row r="35" spans="2:6" ht="14" customHeight="1" thickTop="1" x14ac:dyDescent="0.15">
      <c r="B35" s="30" t="s">
        <v>15</v>
      </c>
      <c r="C35" s="22">
        <f>MatchANALYSIS!D15</f>
        <v>0.49019607843137253</v>
      </c>
      <c r="D35" s="23"/>
      <c r="E35" s="18">
        <f>MatchANALYSIS!C15</f>
        <v>0.50980392156862742</v>
      </c>
      <c r="F35" s="19"/>
    </row>
    <row r="36" spans="2:6" ht="14" customHeight="1" thickBot="1" x14ac:dyDescent="0.2">
      <c r="B36" s="31"/>
      <c r="C36" s="24"/>
      <c r="D36" s="25"/>
      <c r="E36" s="20"/>
      <c r="F36" s="21"/>
    </row>
    <row r="37" spans="2:6" ht="14" customHeight="1" thickTop="1" x14ac:dyDescent="0.15">
      <c r="B37" s="30" t="s">
        <v>4</v>
      </c>
      <c r="C37" s="14">
        <f>MatchANALYSIS!H28</f>
        <v>12</v>
      </c>
      <c r="D37" s="15"/>
      <c r="E37" s="10">
        <f>MatchANALYSIS!G28</f>
        <v>14</v>
      </c>
      <c r="F37" s="11"/>
    </row>
    <row r="38" spans="2:6" ht="14" customHeight="1" thickBot="1" x14ac:dyDescent="0.2">
      <c r="B38" s="31"/>
      <c r="C38" s="16"/>
      <c r="D38" s="17"/>
      <c r="E38" s="12"/>
      <c r="F38" s="13"/>
    </row>
    <row r="39" spans="2:6" ht="14" thickTop="1" x14ac:dyDescent="0.15"/>
    <row r="41" spans="2:6" ht="14" thickBot="1" x14ac:dyDescent="0.2"/>
    <row r="42" spans="2:6" ht="14" customHeight="1" thickTop="1" x14ac:dyDescent="0.15">
      <c r="B42" s="30" t="s">
        <v>66</v>
      </c>
      <c r="C42" s="14" t="str">
        <f>MatchANALYSIS!D3</f>
        <v>home</v>
      </c>
      <c r="D42" s="15"/>
      <c r="E42" s="26" t="s">
        <v>66</v>
      </c>
      <c r="F42" s="27"/>
    </row>
    <row r="43" spans="2:6" ht="14" customHeight="1" thickBot="1" x14ac:dyDescent="0.2">
      <c r="B43" s="31"/>
      <c r="C43" s="16"/>
      <c r="D43" s="17"/>
      <c r="E43" s="28"/>
      <c r="F43" s="29"/>
    </row>
    <row r="44" spans="2:6" ht="14" customHeight="1" thickTop="1" x14ac:dyDescent="0.15">
      <c r="B44" s="30" t="s">
        <v>14</v>
      </c>
      <c r="C44" s="14">
        <f>MatchANALYSIS!D7</f>
        <v>28</v>
      </c>
      <c r="D44" s="15"/>
      <c r="E44" s="26">
        <v>25</v>
      </c>
      <c r="F44" s="27"/>
    </row>
    <row r="45" spans="2:6" ht="14" customHeight="1" thickBot="1" x14ac:dyDescent="0.2">
      <c r="B45" s="31"/>
      <c r="C45" s="16"/>
      <c r="D45" s="17"/>
      <c r="E45" s="28"/>
      <c r="F45" s="29"/>
    </row>
    <row r="46" spans="2:6" ht="14" customHeight="1" thickTop="1" x14ac:dyDescent="0.15">
      <c r="B46" s="30" t="s">
        <v>29</v>
      </c>
      <c r="C46" s="22">
        <f>MatchANALYSIS!H21</f>
        <v>0.75</v>
      </c>
      <c r="D46" s="23"/>
      <c r="E46" s="32">
        <v>0.66</v>
      </c>
      <c r="F46" s="27"/>
    </row>
    <row r="47" spans="2:6" ht="14" customHeight="1" thickBot="1" x14ac:dyDescent="0.2">
      <c r="B47" s="31"/>
      <c r="C47" s="24"/>
      <c r="D47" s="25"/>
      <c r="E47" s="28"/>
      <c r="F47" s="29"/>
    </row>
    <row r="48" spans="2:6" ht="14" customHeight="1" thickTop="1" x14ac:dyDescent="0.15">
      <c r="B48" s="30" t="s">
        <v>15</v>
      </c>
      <c r="C48" s="22">
        <f>MatchANALYSIS!D15</f>
        <v>0.49019607843137253</v>
      </c>
      <c r="D48" s="23"/>
      <c r="E48" s="32">
        <v>0.53</v>
      </c>
      <c r="F48" s="27"/>
    </row>
    <row r="49" spans="2:6" ht="14" customHeight="1" thickBot="1" x14ac:dyDescent="0.2">
      <c r="B49" s="31"/>
      <c r="C49" s="24"/>
      <c r="D49" s="25"/>
      <c r="E49" s="28"/>
      <c r="F49" s="29"/>
    </row>
    <row r="50" spans="2:6" ht="14" customHeight="1" thickTop="1" x14ac:dyDescent="0.15">
      <c r="B50" s="30" t="s">
        <v>4</v>
      </c>
      <c r="C50" s="14">
        <f>MatchANALYSIS!H28</f>
        <v>12</v>
      </c>
      <c r="D50" s="15"/>
      <c r="E50" s="26">
        <v>10</v>
      </c>
      <c r="F50" s="27"/>
    </row>
    <row r="51" spans="2:6" ht="14" customHeight="1" thickBot="1" x14ac:dyDescent="0.2">
      <c r="B51" s="31"/>
      <c r="C51" s="16"/>
      <c r="D51" s="17"/>
      <c r="E51" s="28"/>
      <c r="F51" s="29"/>
    </row>
    <row r="52" spans="2:6" ht="14" thickTop="1" x14ac:dyDescent="0.15"/>
  </sheetData>
  <mergeCells count="30">
    <mergeCell ref="B29:B30"/>
    <mergeCell ref="B31:B32"/>
    <mergeCell ref="B33:B34"/>
    <mergeCell ref="B35:B36"/>
    <mergeCell ref="B37:B38"/>
    <mergeCell ref="C50:D51"/>
    <mergeCell ref="E50:F51"/>
    <mergeCell ref="B50:B51"/>
    <mergeCell ref="C46:D47"/>
    <mergeCell ref="E46:F47"/>
    <mergeCell ref="C48:D49"/>
    <mergeCell ref="E48:F49"/>
    <mergeCell ref="B46:B47"/>
    <mergeCell ref="B48:B49"/>
    <mergeCell ref="C42:D43"/>
    <mergeCell ref="E42:F43"/>
    <mergeCell ref="C44:D45"/>
    <mergeCell ref="E44:F45"/>
    <mergeCell ref="B42:B43"/>
    <mergeCell ref="B44:B45"/>
    <mergeCell ref="E35:F36"/>
    <mergeCell ref="E37:F38"/>
    <mergeCell ref="C33:D34"/>
    <mergeCell ref="C35:D36"/>
    <mergeCell ref="C37:D38"/>
    <mergeCell ref="E29:F30"/>
    <mergeCell ref="E31:F32"/>
    <mergeCell ref="C31:D32"/>
    <mergeCell ref="C29:D30"/>
    <mergeCell ref="E33:F34"/>
  </mergeCells>
  <pageMargins left="0.7" right="0.7" top="0.75" bottom="0.75" header="0.3" footer="0.3"/>
  <pageSetup paperSize="9" orientation="portrait" r:id="rId1"/>
  <headerFooter differentFirst="1">
    <oddHeader>&amp;C&amp;"Verdana,Italic"&amp;K00-024Galway U20 2019</oddHeader>
    <oddFooter>&amp;C&amp;"System Font,Italic"&amp;K00-023&amp;D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MatchANALYSIS</vt:lpstr>
      <vt:lpstr>Players1ANALYSIS</vt:lpstr>
      <vt:lpstr>Players2ANALYSIS</vt:lpstr>
      <vt:lpstr>TimeSectorANALYSIS</vt:lpstr>
      <vt:lpstr>Location1ANALYSIS</vt:lpstr>
      <vt:lpstr>Location2ANALYSIS</vt:lpstr>
      <vt:lpstr>Report</vt:lpstr>
      <vt:lpstr>P&amp;T</vt:lpstr>
      <vt:lpstr>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Rory Moynihan</dc:creator>
  <cp:keywords/>
  <dc:description/>
  <cp:lastModifiedBy>Microsoft Office User</cp:lastModifiedBy>
  <cp:revision/>
  <cp:lastPrinted>2019-06-12T12:38:42Z</cp:lastPrinted>
  <dcterms:created xsi:type="dcterms:W3CDTF">2011-04-04T13:53:55Z</dcterms:created>
  <dcterms:modified xsi:type="dcterms:W3CDTF">2019-06-13T11:14:49Z</dcterms:modified>
  <cp:category/>
  <cp:contentStatus/>
</cp:coreProperties>
</file>