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\Dropbox\Senior Design\"/>
    </mc:Choice>
  </mc:AlternateContent>
  <bookViews>
    <workbookView xWindow="2685" yWindow="60" windowWidth="19560" windowHeight="11925"/>
  </bookViews>
  <sheets>
    <sheet name="IterTow" sheetId="1" r:id="rId1"/>
    <sheet name="WingLD" sheetId="3" r:id="rId2"/>
    <sheet name="Wing" sheetId="4" r:id="rId3"/>
    <sheet name="Fuse" sheetId="5" r:id="rId4"/>
    <sheet name="Tail" sheetId="6" r:id="rId5"/>
    <sheet name="TO_L" sheetId="8" r:id="rId6"/>
    <sheet name="Flaps" sheetId="9" r:id="rId7"/>
    <sheet name="RefWT" sheetId="10" r:id="rId8"/>
    <sheet name="Stab" sheetId="11" r:id="rId9"/>
  </sheets>
  <externalReferences>
    <externalReference r:id="rId10"/>
    <externalReference r:id="rId11"/>
    <externalReference r:id="rId12"/>
    <externalReference r:id="rId13"/>
  </externalReferences>
  <definedNames>
    <definedName name="A">IterTow!$B$10</definedName>
    <definedName name="a_0L">Wing!$F$7</definedName>
    <definedName name="AH">RefWT!$F$25</definedName>
    <definedName name="AHT">Tail!$B$58</definedName>
    <definedName name="AV">Tail!$B$17</definedName>
    <definedName name="avt">RefWT!$F$45</definedName>
    <definedName name="b">Wing!$B$17</definedName>
    <definedName name="bh">Tail!$B$62</definedName>
    <definedName name="BW">RefWT!$F$69</definedName>
    <definedName name="CD_0">WingLD!$B$16</definedName>
    <definedName name="CL_G">TO_L!$B$5</definedName>
    <definedName name="CLMAX">WingLD!#REF!</definedName>
    <definedName name="CLMX">WingLD!$B$3</definedName>
    <definedName name="CM">IterTow!$B$4</definedName>
    <definedName name="CMN">IterTow!$B$7</definedName>
    <definedName name="CMX">IterTow!$B$8</definedName>
    <definedName name="cr">Wing!$B$19</definedName>
    <definedName name="CT">IterTow!$B$11</definedName>
    <definedName name="D">Fuse!$B$13</definedName>
    <definedName name="ETOW">[1]Sheet1!#REF!</definedName>
    <definedName name="exp">IterTow!$B$19</definedName>
    <definedName name="FIN">Fuse!$B$14</definedName>
    <definedName name="FQ">Fuse!$E$15</definedName>
    <definedName name="FR">IterTow!$B$15</definedName>
    <definedName name="FT">IterTow!$B$16</definedName>
    <definedName name="FW">RefWT!$F$27</definedName>
    <definedName name="GAM">RefWT!$F$13</definedName>
    <definedName name="GAMHT">RefWT!$F$35</definedName>
    <definedName name="GAMVT">RefWT!$F$59</definedName>
    <definedName name="H">IterTow!$B$5</definedName>
    <definedName name="HC">[2]Sheet1!#REF!</definedName>
    <definedName name="HHT">RefWT!$F$46</definedName>
    <definedName name="HRHT">[3]Sheet1!#REF!</definedName>
    <definedName name="HTkOff">#REF!</definedName>
    <definedName name="hv">Tail!$B$20</definedName>
    <definedName name="HVT">RefWT!$F$47</definedName>
    <definedName name="k">WingLD!$B$22</definedName>
    <definedName name="KCB">RefWT!$F$95</definedName>
    <definedName name="KDOOR">RefWT!$F$73</definedName>
    <definedName name="KDW">RefWT!$F$3</definedName>
    <definedName name="KDWF">RefWT!$F$72</definedName>
    <definedName name="KLG">RefWT!$F$74</definedName>
    <definedName name="KM">[3]Sheet1!#REF!</definedName>
    <definedName name="KMP">RefWT!$F$96</definedName>
    <definedName name="KNP">RefWT!$F$112</definedName>
    <definedName name="KRHT">RefWT!$F$49</definedName>
    <definedName name="KTPG">RefWT!$F$97</definedName>
    <definedName name="KVS">RefWT!$F$4</definedName>
    <definedName name="KWS">RefWT!$F$71</definedName>
    <definedName name="KY">RefWT!$F$28</definedName>
    <definedName name="KZ">RefWT!$F$48</definedName>
    <definedName name="LAM">RefWT!$F$14</definedName>
    <definedName name="lambda">Wing!$B$8</definedName>
    <definedName name="LAMHT">RefWT!$F$36</definedName>
    <definedName name="LAMLE">Wing!$B$6</definedName>
    <definedName name="LAMtc">Flaps!$B$9</definedName>
    <definedName name="LAMVT">RefWT!$F$60</definedName>
    <definedName name="LF">RefWT!$F$75</definedName>
    <definedName name="LHT">Tail!$B$54</definedName>
    <definedName name="liftctr">Stab!$B$9</definedName>
    <definedName name="LL">Fuse!$B$15</definedName>
    <definedName name="LM">RefWT!$F$98</definedName>
    <definedName name="LN">RefWT!$F$113</definedName>
    <definedName name="LT">IterTow!$B$13</definedName>
    <definedName name="LV">Tail!$B$13</definedName>
    <definedName name="LVT">RefWT!$F$50</definedName>
    <definedName name="M">RefWT!$F$51</definedName>
    <definedName name="mac">Wing!$B$21</definedName>
    <definedName name="MC">IterTow!$B$4</definedName>
    <definedName name="MCC">[4]Sheet1!$B$4</definedName>
    <definedName name="MMX">IterTow!$B$3</definedName>
    <definedName name="n">RefWT!$F$5</definedName>
    <definedName name="NMSS">RefWT!$F$101</definedName>
    <definedName name="NMW">RefWT!$F$100</definedName>
    <definedName name="NNW">RefWT!$F$115</definedName>
    <definedName name="NONexp">IterTow!$B$20</definedName>
    <definedName name="nu">Fuse!$B$10</definedName>
    <definedName name="q">Fuse!$B$8</definedName>
    <definedName name="RA">IterTow!$B$6</definedName>
    <definedName name="S">WingLD!$B$27</definedName>
    <definedName name="sf">RefWT!$F$9</definedName>
    <definedName name="SFACT">IterTow!$B$17</definedName>
    <definedName name="SHT">RefWT!$F$32</definedName>
    <definedName name="SR">RefWT!$F$55</definedName>
    <definedName name="SVT">Tail!$B$19</definedName>
    <definedName name="sw">RefWT!$F$7</definedName>
    <definedName name="SWF">RefWT!$F$79</definedName>
    <definedName name="T">IterTow!$B$9</definedName>
    <definedName name="tc">Wing!$B$7</definedName>
    <definedName name="tcht">RefWT!$F$33</definedName>
    <definedName name="tcvt">RefWT!$F$57</definedName>
    <definedName name="TMX">WingLD!$B$4</definedName>
    <definedName name="V">Fuse!$B$6</definedName>
    <definedName name="V_50">TO_L!$B$29</definedName>
    <definedName name="VPR">RefWT!$F$82</definedName>
    <definedName name="VS">RefWT!$F$102</definedName>
    <definedName name="w">TO_L!#REF!</definedName>
    <definedName name="W_TO">TO_L!#REF!</definedName>
    <definedName name="WDG">RefWT!$F$11</definedName>
    <definedName name="WF">RefWT!$F$81</definedName>
    <definedName name="WFW">RefWT!$F$12</definedName>
    <definedName name="WI">[3]Sheet1!#REF!</definedName>
    <definedName name="WL">IterTow!$F$37</definedName>
    <definedName name="WP">RefWT!$F$83</definedName>
    <definedName name="WS">WingLD!$B$8</definedName>
    <definedName name="WTO">IterTow!$F$24</definedName>
    <definedName name="xcg">Stab!$B$31</definedName>
    <definedName name="xcgol">Stab!$B$30</definedName>
  </definedNames>
  <calcPr calcId="152511"/>
  <fileRecoveryPr repairLoad="1"/>
</workbook>
</file>

<file path=xl/calcChain.xml><?xml version="1.0" encoding="utf-8"?>
<calcChain xmlns="http://schemas.openxmlformats.org/spreadsheetml/2006/main">
  <c r="B142" i="10" l="1"/>
  <c r="B16" i="11"/>
  <c r="B6" i="6" l="1"/>
  <c r="B7" i="6"/>
  <c r="E47" i="3"/>
  <c r="E54" i="3" s="1"/>
  <c r="C23" i="1"/>
  <c r="C27" i="1"/>
  <c r="C28" i="1"/>
  <c r="C29" i="1"/>
  <c r="C30" i="1"/>
  <c r="C41" i="1"/>
  <c r="D29" i="1"/>
  <c r="D30" i="1"/>
  <c r="E29" i="1"/>
  <c r="E30" i="1"/>
  <c r="F29" i="1"/>
  <c r="F30" i="1"/>
  <c r="B48" i="3"/>
  <c r="E3" i="8"/>
  <c r="B11" i="8"/>
  <c r="B109" i="11"/>
  <c r="B22" i="3"/>
  <c r="E52" i="3" s="1"/>
  <c r="B18" i="3"/>
  <c r="B24" i="3" s="1"/>
  <c r="B19" i="3"/>
  <c r="B70" i="11"/>
  <c r="E18" i="11"/>
  <c r="B15" i="5"/>
  <c r="F75" i="10"/>
  <c r="B7" i="5"/>
  <c r="B6" i="5"/>
  <c r="A4" i="10"/>
  <c r="A5" i="10"/>
  <c r="F14" i="10"/>
  <c r="F13" i="10"/>
  <c r="E20" i="11"/>
  <c r="B5" i="4"/>
  <c r="B28" i="4"/>
  <c r="F28" i="10"/>
  <c r="F35" i="10"/>
  <c r="F25" i="10"/>
  <c r="F33" i="10"/>
  <c r="F36" i="10"/>
  <c r="E21" i="11"/>
  <c r="F51" i="10"/>
  <c r="F50" i="10"/>
  <c r="F48" i="10" s="1"/>
  <c r="F45" i="10"/>
  <c r="F60" i="10"/>
  <c r="F59" i="10"/>
  <c r="E22" i="11"/>
  <c r="A70" i="10"/>
  <c r="F81" i="10"/>
  <c r="A96" i="10"/>
  <c r="A97" i="10"/>
  <c r="E23" i="11"/>
  <c r="E16" i="11"/>
  <c r="B17" i="11"/>
  <c r="E17" i="11"/>
  <c r="E19" i="11"/>
  <c r="B71" i="11"/>
  <c r="B85" i="11"/>
  <c r="B78" i="11"/>
  <c r="B82" i="11"/>
  <c r="B80" i="11"/>
  <c r="B79" i="11"/>
  <c r="B72" i="11"/>
  <c r="B45" i="11"/>
  <c r="F21" i="4"/>
  <c r="B3" i="4"/>
  <c r="B18" i="4"/>
  <c r="B23" i="4"/>
  <c r="D26" i="11"/>
  <c r="C26" i="11"/>
  <c r="E26" i="11"/>
  <c r="G19" i="11"/>
  <c r="G17" i="11"/>
  <c r="G16" i="11"/>
  <c r="B97" i="10"/>
  <c r="F83" i="10"/>
  <c r="C81" i="10"/>
  <c r="B70" i="10"/>
  <c r="B71" i="10"/>
  <c r="F76" i="10"/>
  <c r="F70" i="10"/>
  <c r="F29" i="10"/>
  <c r="F10" i="10"/>
  <c r="F2" i="10"/>
  <c r="B113" i="10"/>
  <c r="F114" i="10"/>
  <c r="F99" i="10"/>
  <c r="F86" i="10"/>
  <c r="F85" i="10"/>
  <c r="F77" i="10"/>
  <c r="F52" i="10"/>
  <c r="F30" i="10"/>
  <c r="B10" i="9"/>
  <c r="B26" i="9"/>
  <c r="B13" i="9"/>
  <c r="B12" i="9"/>
  <c r="F89" i="9"/>
  <c r="B8" i="9"/>
  <c r="B56" i="9"/>
  <c r="B5" i="9"/>
  <c r="B4" i="9"/>
  <c r="B3" i="9"/>
  <c r="B39" i="9"/>
  <c r="B54" i="9"/>
  <c r="B66" i="9"/>
  <c r="B61" i="9"/>
  <c r="B30" i="9"/>
  <c r="B69" i="9"/>
  <c r="B70" i="9"/>
  <c r="B44" i="9"/>
  <c r="B58" i="9"/>
  <c r="D91" i="9"/>
  <c r="C90" i="9"/>
  <c r="C92" i="9"/>
  <c r="B91" i="9"/>
  <c r="B82" i="9"/>
  <c r="B76" i="9"/>
  <c r="B7" i="9"/>
  <c r="B35" i="9"/>
  <c r="B3" i="8"/>
  <c r="B2" i="8"/>
  <c r="B10" i="8"/>
  <c r="B9" i="5"/>
  <c r="A24" i="5"/>
  <c r="A23" i="5"/>
  <c r="E23" i="5"/>
  <c r="E13" i="5"/>
  <c r="E15" i="5"/>
  <c r="E26" i="5"/>
  <c r="E30" i="5"/>
  <c r="E24" i="5"/>
  <c r="A25" i="5"/>
  <c r="E25" i="5"/>
  <c r="E27" i="5"/>
  <c r="E28" i="5"/>
  <c r="E29" i="5"/>
  <c r="E31" i="5"/>
  <c r="B5" i="6"/>
  <c r="E3" i="6"/>
  <c r="E4" i="6"/>
  <c r="E7" i="6" s="1"/>
  <c r="E6" i="6"/>
  <c r="H21" i="6"/>
  <c r="K4" i="4"/>
  <c r="K5" i="4"/>
  <c r="K7" i="4"/>
  <c r="E2" i="6"/>
  <c r="B8" i="6"/>
  <c r="H63" i="6"/>
  <c r="B66" i="6"/>
  <c r="B24" i="6"/>
  <c r="B5" i="5"/>
  <c r="B4" i="5"/>
  <c r="B47" i="3"/>
  <c r="E18" i="3"/>
  <c r="E24" i="3" s="1"/>
  <c r="E19" i="3"/>
  <c r="E23" i="3"/>
  <c r="K3" i="4"/>
  <c r="B48" i="4"/>
  <c r="A48" i="4"/>
  <c r="C47" i="4"/>
  <c r="A47" i="4"/>
  <c r="F20" i="4"/>
  <c r="F9" i="4"/>
  <c r="B9" i="3"/>
  <c r="E48" i="3"/>
  <c r="E63" i="3"/>
  <c r="B63" i="3"/>
  <c r="B35" i="3"/>
  <c r="B36" i="3" s="1"/>
  <c r="B37" i="3" s="1"/>
  <c r="B38" i="3"/>
  <c r="E32" i="3"/>
  <c r="B17" i="3"/>
  <c r="E67" i="3"/>
  <c r="E68" i="3" s="1"/>
  <c r="E66" i="3"/>
  <c r="B67" i="3"/>
  <c r="B66" i="3"/>
  <c r="B68" i="3"/>
  <c r="E37" i="3"/>
  <c r="E36" i="3"/>
  <c r="E38" i="3"/>
  <c r="E22" i="3"/>
  <c r="E17" i="3"/>
  <c r="E16" i="3"/>
  <c r="E9" i="3"/>
  <c r="G29" i="1"/>
  <c r="G30" i="1"/>
  <c r="H29" i="1"/>
  <c r="H30" i="1"/>
  <c r="I29" i="1"/>
  <c r="I30" i="1"/>
  <c r="B32" i="5"/>
  <c r="B49" i="9"/>
  <c r="C39" i="9"/>
  <c r="B64" i="9" s="1"/>
  <c r="B52" i="9"/>
  <c r="B62" i="9"/>
  <c r="B89" i="9"/>
  <c r="B90" i="9"/>
  <c r="B92" i="9"/>
  <c r="C91" i="9"/>
  <c r="C48" i="4"/>
  <c r="D89" i="9"/>
  <c r="H89" i="9"/>
  <c r="B67" i="9"/>
  <c r="E90" i="9"/>
  <c r="E91" i="9"/>
  <c r="B68" i="9"/>
  <c r="D90" i="9"/>
  <c r="D92" i="9"/>
  <c r="E92" i="9"/>
  <c r="B23" i="5"/>
  <c r="B31" i="5"/>
  <c r="B29" i="5"/>
  <c r="F23" i="5"/>
  <c r="B28" i="5"/>
  <c r="B25" i="5"/>
  <c r="C23" i="5"/>
  <c r="B24" i="5"/>
  <c r="B26" i="5"/>
  <c r="B22" i="5"/>
  <c r="C22" i="5"/>
  <c r="D22" i="5"/>
  <c r="D32" i="5"/>
  <c r="E32" i="5"/>
  <c r="F32" i="5"/>
  <c r="B6" i="11"/>
  <c r="F17" i="11"/>
  <c r="F19" i="11"/>
  <c r="F16" i="11"/>
  <c r="F29" i="5"/>
  <c r="E22" i="5"/>
  <c r="B30" i="5"/>
  <c r="B27" i="5"/>
  <c r="C26" i="5"/>
  <c r="F26" i="5"/>
  <c r="C24" i="5"/>
  <c r="F24" i="5"/>
  <c r="F25" i="5"/>
  <c r="C25" i="5"/>
  <c r="F28" i="5"/>
  <c r="C27" i="5"/>
  <c r="F27" i="5"/>
  <c r="F30" i="5"/>
  <c r="F31" i="5"/>
  <c r="F34" i="5"/>
  <c r="E25" i="3" l="1"/>
  <c r="B12" i="4" s="1"/>
  <c r="E53" i="3"/>
  <c r="E55" i="3" s="1"/>
  <c r="B8" i="5"/>
  <c r="F31" i="10" s="1"/>
  <c r="B10" i="5"/>
  <c r="G28" i="5" s="1"/>
  <c r="H28" i="5" s="1"/>
  <c r="G90" i="9"/>
  <c r="G92" i="9" s="1"/>
  <c r="G91" i="9"/>
  <c r="E39" i="3"/>
  <c r="C31" i="1"/>
  <c r="C32" i="1" s="1"/>
  <c r="C33" i="1" s="1"/>
  <c r="C34" i="1" s="1"/>
  <c r="C35" i="1" s="1"/>
  <c r="C36" i="1" s="1"/>
  <c r="C37" i="1" s="1"/>
  <c r="C39" i="1" s="1"/>
  <c r="B71" i="9"/>
  <c r="B39" i="3"/>
  <c r="B40" i="3"/>
  <c r="B41" i="3" s="1"/>
  <c r="G30" i="5"/>
  <c r="H30" i="5" s="1"/>
  <c r="I30" i="5" s="1"/>
  <c r="K8" i="4"/>
  <c r="K6" i="4"/>
  <c r="H61" i="6"/>
  <c r="H62" i="6" s="1"/>
  <c r="H19" i="6"/>
  <c r="H20" i="6" s="1"/>
  <c r="B52" i="3"/>
  <c r="B53" i="3"/>
  <c r="B54" i="3" s="1"/>
  <c r="E5" i="6"/>
  <c r="B23" i="3"/>
  <c r="B25" i="3" s="1"/>
  <c r="E26" i="3" l="1"/>
  <c r="G27" i="5"/>
  <c r="H27" i="5" s="1"/>
  <c r="I27" i="5" s="1"/>
  <c r="F53" i="10"/>
  <c r="I28" i="5"/>
  <c r="G26" i="5"/>
  <c r="H26" i="5" s="1"/>
  <c r="I26" i="5" s="1"/>
  <c r="F6" i="10"/>
  <c r="F78" i="10"/>
  <c r="G29" i="5"/>
  <c r="H29" i="5" s="1"/>
  <c r="I29" i="5" s="1"/>
  <c r="G25" i="5"/>
  <c r="H25" i="5" s="1"/>
  <c r="I25" i="5" s="1"/>
  <c r="G24" i="5"/>
  <c r="H24" i="5" s="1"/>
  <c r="I24" i="5" s="1"/>
  <c r="G31" i="5"/>
  <c r="H31" i="5" s="1"/>
  <c r="I31" i="5" s="1"/>
  <c r="G32" i="5"/>
  <c r="H32" i="5" s="1"/>
  <c r="I32" i="5" s="1"/>
  <c r="G23" i="5"/>
  <c r="H23" i="5" s="1"/>
  <c r="I23" i="5" s="1"/>
  <c r="I90" i="9"/>
  <c r="I92" i="9" s="1"/>
  <c r="I91" i="9"/>
  <c r="B77" i="9"/>
  <c r="B42" i="3"/>
  <c r="B43" i="3"/>
  <c r="C24" i="1"/>
  <c r="C25" i="1" s="1"/>
  <c r="D23" i="1" s="1"/>
  <c r="C40" i="1"/>
  <c r="B11" i="4"/>
  <c r="B26" i="3"/>
  <c r="B50" i="3" s="1"/>
  <c r="E50" i="3" s="1"/>
  <c r="E56" i="3" s="1"/>
  <c r="E57" i="3" s="1"/>
  <c r="I34" i="5" l="1"/>
  <c r="B42" i="5" s="1"/>
  <c r="B55" i="3"/>
  <c r="B57" i="3" s="1"/>
  <c r="D27" i="1"/>
  <c r="D28" i="1" s="1"/>
  <c r="D41" i="1"/>
  <c r="B56" i="3" l="1"/>
  <c r="D31" i="1"/>
  <c r="D32" i="1" s="1"/>
  <c r="D33" i="1" s="1"/>
  <c r="D34" i="1" s="1"/>
  <c r="D35" i="1" l="1"/>
  <c r="D36" i="1" s="1"/>
  <c r="D37" i="1" s="1"/>
  <c r="D39" i="1" s="1"/>
  <c r="D24" i="1" l="1"/>
  <c r="D25" i="1" s="1"/>
  <c r="E23" i="1" s="1"/>
  <c r="D40" i="1"/>
  <c r="E27" i="1" l="1"/>
  <c r="E28" i="1" s="1"/>
  <c r="E41" i="1"/>
  <c r="E31" i="1" l="1"/>
  <c r="E32" i="1" s="1"/>
  <c r="E33" i="1" s="1"/>
  <c r="E34" i="1" s="1"/>
  <c r="E35" i="1" l="1"/>
  <c r="E36" i="1" s="1"/>
  <c r="E37" i="1" s="1"/>
  <c r="E39" i="1" s="1"/>
  <c r="E24" i="1" l="1"/>
  <c r="E25" i="1" s="1"/>
  <c r="F23" i="1" s="1"/>
  <c r="E40" i="1"/>
  <c r="F27" i="1" l="1"/>
  <c r="F28" i="1" s="1"/>
  <c r="F41" i="1"/>
  <c r="B20" i="3" l="1"/>
  <c r="B9" i="4"/>
  <c r="F31" i="1"/>
  <c r="F32" i="1" s="1"/>
  <c r="F33" i="1" s="1"/>
  <c r="F34" i="1" s="1"/>
  <c r="F35" i="1" l="1"/>
  <c r="B60" i="3"/>
  <c r="E60" i="3"/>
  <c r="B27" i="3"/>
  <c r="B4" i="4" l="1"/>
  <c r="B61" i="3"/>
  <c r="B73" i="11"/>
  <c r="B6" i="3"/>
  <c r="B4" i="6"/>
  <c r="B16" i="5"/>
  <c r="B40" i="11"/>
  <c r="E61" i="3"/>
  <c r="E65" i="3" s="1"/>
  <c r="E69" i="3" s="1"/>
  <c r="E70" i="3" s="1"/>
  <c r="E8" i="3"/>
  <c r="B7" i="8"/>
  <c r="F7" i="10"/>
  <c r="F9" i="10" s="1"/>
  <c r="B46" i="5"/>
  <c r="B69" i="3"/>
  <c r="B65" i="3"/>
  <c r="F36" i="1"/>
  <c r="F37" i="1" s="1"/>
  <c r="E20" i="3"/>
  <c r="E27" i="3" s="1"/>
  <c r="B10" i="4"/>
  <c r="B14" i="4" s="1"/>
  <c r="E5" i="3" l="1"/>
  <c r="F103" i="10"/>
  <c r="B120" i="10"/>
  <c r="C131" i="10" s="1"/>
  <c r="F116" i="10"/>
  <c r="E6" i="3"/>
  <c r="E11" i="3" s="1"/>
  <c r="E12" i="3" s="1"/>
  <c r="B106" i="10"/>
  <c r="C130" i="10" s="1"/>
  <c r="B121" i="10"/>
  <c r="D131" i="10" s="1"/>
  <c r="B27" i="8"/>
  <c r="B105" i="10"/>
  <c r="B130" i="10" s="1"/>
  <c r="E10" i="3"/>
  <c r="B107" i="10"/>
  <c r="D130" i="10" s="1"/>
  <c r="B119" i="10"/>
  <c r="B131" i="10" s="1"/>
  <c r="F39" i="1"/>
  <c r="B104" i="11"/>
  <c r="B17" i="4"/>
  <c r="F30" i="4"/>
  <c r="B13" i="4"/>
  <c r="F69" i="10" l="1"/>
  <c r="F71" i="10" s="1"/>
  <c r="B42" i="4"/>
  <c r="B41" i="4"/>
  <c r="B74" i="11"/>
  <c r="B19" i="4"/>
  <c r="B2" i="6"/>
  <c r="B19" i="6" s="1"/>
  <c r="B28" i="8"/>
  <c r="E32" i="8"/>
  <c r="F24" i="1"/>
  <c r="F40" i="1"/>
  <c r="B138" i="10" s="1"/>
  <c r="C145" i="10" s="1"/>
  <c r="G20" i="4" l="1"/>
  <c r="G22" i="4"/>
  <c r="A41" i="4" s="1"/>
  <c r="G19" i="4"/>
  <c r="B20" i="4"/>
  <c r="A40" i="4"/>
  <c r="G21" i="4"/>
  <c r="G18" i="4"/>
  <c r="B21" i="4"/>
  <c r="B105" i="11"/>
  <c r="B90" i="11"/>
  <c r="D90" i="11" s="1"/>
  <c r="H25" i="6"/>
  <c r="B84" i="11"/>
  <c r="B88" i="11" s="1"/>
  <c r="F56" i="10"/>
  <c r="F55" i="10"/>
  <c r="F80" i="10"/>
  <c r="B20" i="6"/>
  <c r="C147" i="10"/>
  <c r="B18" i="11"/>
  <c r="B6" i="8"/>
  <c r="B5" i="3"/>
  <c r="B8" i="3" s="1"/>
  <c r="F11" i="10"/>
  <c r="B10" i="3"/>
  <c r="B12" i="8"/>
  <c r="F25" i="1"/>
  <c r="G23" i="1" s="1"/>
  <c r="B30" i="8"/>
  <c r="B29" i="8"/>
  <c r="B31" i="8" s="1"/>
  <c r="E30" i="8"/>
  <c r="C146" i="10"/>
  <c r="F25" i="4" l="1"/>
  <c r="A42" i="4"/>
  <c r="B18" i="10"/>
  <c r="B126" i="10" s="1"/>
  <c r="F34" i="10"/>
  <c r="B89" i="10"/>
  <c r="C129" i="10" s="1"/>
  <c r="B20" i="10"/>
  <c r="D126" i="10" s="1"/>
  <c r="B150" i="10"/>
  <c r="C150" i="10" s="1"/>
  <c r="F84" i="10"/>
  <c r="B19" i="10"/>
  <c r="C126" i="10" s="1"/>
  <c r="B90" i="10"/>
  <c r="D129" i="10" s="1"/>
  <c r="F58" i="10"/>
  <c r="B88" i="10"/>
  <c r="B129" i="10" s="1"/>
  <c r="C144" i="10" s="1"/>
  <c r="E38" i="8"/>
  <c r="E31" i="8"/>
  <c r="E37" i="8" s="1"/>
  <c r="G18" i="11"/>
  <c r="F18" i="11"/>
  <c r="G41" i="1"/>
  <c r="G27" i="1"/>
  <c r="G28" i="1" s="1"/>
  <c r="B24" i="4"/>
  <c r="F31" i="4"/>
  <c r="B11" i="3"/>
  <c r="B12" i="3" s="1"/>
  <c r="E10" i="8"/>
  <c r="E11" i="8" s="1"/>
  <c r="B13" i="8"/>
  <c r="E4" i="8"/>
  <c r="E12" i="8" s="1"/>
  <c r="E33" i="8" s="1"/>
  <c r="E40" i="8" s="1"/>
  <c r="E39" i="8"/>
  <c r="B32" i="8"/>
  <c r="B14" i="8"/>
  <c r="B21" i="6"/>
  <c r="B35" i="6"/>
  <c r="B36" i="6"/>
  <c r="F47" i="10"/>
  <c r="B10" i="11"/>
  <c r="B43" i="11" s="1"/>
  <c r="B59" i="11" s="1"/>
  <c r="C59" i="11" s="1"/>
  <c r="B3" i="6"/>
  <c r="B61" i="6" s="1"/>
  <c r="B62" i="10" l="1"/>
  <c r="B128" i="10" s="1"/>
  <c r="B143" i="10" s="1"/>
  <c r="B63" i="10"/>
  <c r="C128" i="10" s="1"/>
  <c r="B64" i="10"/>
  <c r="D128" i="10" s="1"/>
  <c r="B141" i="10"/>
  <c r="E13" i="8"/>
  <c r="E18" i="8" s="1"/>
  <c r="B41" i="11"/>
  <c r="B11" i="9"/>
  <c r="B25" i="4"/>
  <c r="D48" i="4"/>
  <c r="E42" i="8"/>
  <c r="E43" i="8" s="1"/>
  <c r="F20" i="6"/>
  <c r="A36" i="6" s="1"/>
  <c r="F22" i="6"/>
  <c r="B23" i="6"/>
  <c r="H22" i="6" s="1"/>
  <c r="A34" i="6"/>
  <c r="B22" i="6"/>
  <c r="F23" i="6"/>
  <c r="A35" i="6" s="1"/>
  <c r="F21" i="6"/>
  <c r="G31" i="1"/>
  <c r="G32" i="1" s="1"/>
  <c r="G33" i="1" s="1"/>
  <c r="G34" i="1" s="1"/>
  <c r="E27" i="8"/>
  <c r="E28" i="8" s="1"/>
  <c r="B62" i="6"/>
  <c r="F32" i="10"/>
  <c r="B49" i="11" s="1"/>
  <c r="H67" i="6"/>
  <c r="E19" i="8"/>
  <c r="B15" i="8"/>
  <c r="B108" i="11"/>
  <c r="E14" i="8"/>
  <c r="F27" i="4"/>
  <c r="F26" i="4"/>
  <c r="B79" i="6" l="1"/>
  <c r="F26" i="10"/>
  <c r="B80" i="6"/>
  <c r="B38" i="10"/>
  <c r="B127" i="10" s="1"/>
  <c r="B39" i="10"/>
  <c r="C127" i="10" s="1"/>
  <c r="C132" i="10" s="1"/>
  <c r="B63" i="6"/>
  <c r="B40" i="10"/>
  <c r="D127" i="10" s="1"/>
  <c r="D132" i="10" s="1"/>
  <c r="E20" i="8"/>
  <c r="E15" i="8"/>
  <c r="E21" i="8" s="1"/>
  <c r="B25" i="6"/>
  <c r="H26" i="6"/>
  <c r="H24" i="6"/>
  <c r="H23" i="6"/>
  <c r="G35" i="1"/>
  <c r="G36" i="1" s="1"/>
  <c r="G37" i="1" s="1"/>
  <c r="G39" i="1" s="1"/>
  <c r="B113" i="11"/>
  <c r="B112" i="11"/>
  <c r="B114" i="11" s="1"/>
  <c r="B115" i="11" s="1"/>
  <c r="B118" i="11" s="1"/>
  <c r="C141" i="10"/>
  <c r="B26" i="4"/>
  <c r="B27" i="4" s="1"/>
  <c r="F29" i="4"/>
  <c r="F33" i="4" s="1"/>
  <c r="F28" i="4"/>
  <c r="H90" i="9"/>
  <c r="F90" i="9"/>
  <c r="B46" i="9"/>
  <c r="B63" i="9" s="1"/>
  <c r="B22" i="11"/>
  <c r="C143" i="10"/>
  <c r="E23" i="8" l="1"/>
  <c r="B29" i="4"/>
  <c r="B33" i="4" s="1"/>
  <c r="G24" i="1"/>
  <c r="G25" i="1" s="1"/>
  <c r="H23" i="1" s="1"/>
  <c r="G40" i="1"/>
  <c r="B65" i="6"/>
  <c r="H64" i="6" s="1"/>
  <c r="A78" i="6"/>
  <c r="F63" i="6"/>
  <c r="B64" i="6"/>
  <c r="F65" i="6"/>
  <c r="A79" i="6" s="1"/>
  <c r="F64" i="6"/>
  <c r="F62" i="6"/>
  <c r="A80" i="6" s="1"/>
  <c r="H28" i="6"/>
  <c r="B28" i="6" s="1"/>
  <c r="F91" i="9"/>
  <c r="F92" i="9" s="1"/>
  <c r="B72" i="9"/>
  <c r="H91" i="9" s="1"/>
  <c r="H92" i="9" s="1"/>
  <c r="G20" i="11"/>
  <c r="F20" i="11"/>
  <c r="G22" i="11"/>
  <c r="F22" i="11"/>
  <c r="B132" i="10"/>
  <c r="H41" i="1" l="1"/>
  <c r="H27" i="1"/>
  <c r="H28" i="1" s="1"/>
  <c r="H68" i="6"/>
  <c r="B67" i="6"/>
  <c r="C142" i="10"/>
  <c r="C148" i="10" s="1"/>
  <c r="B21" i="11"/>
  <c r="B149" i="10"/>
  <c r="H66" i="6"/>
  <c r="H65" i="6"/>
  <c r="B30" i="4"/>
  <c r="H70" i="6" l="1"/>
  <c r="B70" i="6" s="1"/>
  <c r="B23" i="11"/>
  <c r="B24" i="11" s="1"/>
  <c r="C149" i="10"/>
  <c r="H31" i="1"/>
  <c r="H32" i="1" s="1"/>
  <c r="H33" i="1" s="1"/>
  <c r="H34" i="1" s="1"/>
  <c r="G21" i="11"/>
  <c r="F21" i="11"/>
  <c r="H35" i="1" l="1"/>
  <c r="H36" i="1" s="1"/>
  <c r="H37" i="1" s="1"/>
  <c r="H39" i="1" s="1"/>
  <c r="G23" i="11"/>
  <c r="F23" i="11"/>
  <c r="F24" i="11" s="1"/>
  <c r="F26" i="11" l="1"/>
  <c r="B26" i="11" s="1"/>
  <c r="G26" i="11" s="1"/>
  <c r="B31" i="11"/>
  <c r="H24" i="1"/>
  <c r="H25" i="1" s="1"/>
  <c r="I23" i="1" s="1"/>
  <c r="H40" i="1"/>
  <c r="I27" i="1" l="1"/>
  <c r="I28" i="1" s="1"/>
  <c r="I41" i="1"/>
  <c r="B48" i="11"/>
  <c r="B58" i="11" s="1"/>
  <c r="B61" i="11" s="1"/>
  <c r="C61" i="11" s="1"/>
  <c r="B30" i="11"/>
  <c r="B83" i="11"/>
  <c r="B87" i="11" s="1"/>
  <c r="I31" i="1" l="1"/>
  <c r="I32" i="1" s="1"/>
  <c r="I33" i="1" s="1"/>
  <c r="I34" i="1" s="1"/>
  <c r="B89" i="11"/>
  <c r="B34" i="11"/>
  <c r="B42" i="11"/>
  <c r="G60" i="11" l="1"/>
  <c r="C34" i="11"/>
  <c r="D89" i="11"/>
  <c r="B91" i="11"/>
  <c r="D91" i="11" s="1"/>
  <c r="B60" i="11"/>
  <c r="I35" i="1"/>
  <c r="I36" i="1" s="1"/>
  <c r="I37" i="1" s="1"/>
  <c r="I39" i="1" s="1"/>
  <c r="B93" i="11" l="1"/>
  <c r="I24" i="1"/>
  <c r="I25" i="1" s="1"/>
  <c r="I40" i="1"/>
  <c r="C60" i="11"/>
  <c r="B63" i="11"/>
  <c r="C63" i="11" s="1"/>
  <c r="C93" i="11" l="1"/>
  <c r="B95" i="11"/>
  <c r="C95" i="11" s="1"/>
  <c r="B106" i="11"/>
  <c r="B119" i="11" s="1"/>
  <c r="B121" i="11" s="1"/>
</calcChain>
</file>

<file path=xl/sharedStrings.xml><?xml version="1.0" encoding="utf-8"?>
<sst xmlns="http://schemas.openxmlformats.org/spreadsheetml/2006/main" count="984" uniqueCount="522">
  <si>
    <t>Max. Mach</t>
  </si>
  <si>
    <t>Cruise Mach</t>
  </si>
  <si>
    <t>Cruise Alt. (ft)</t>
  </si>
  <si>
    <t>Oper. Rad. (nm)</t>
  </si>
  <si>
    <t>Engine: TSFC Min.</t>
  </si>
  <si>
    <t>Engine: TSFC Max.</t>
  </si>
  <si>
    <t>Engine: Thrust (lbs)</t>
  </si>
  <si>
    <t>Aspect Ratio</t>
  </si>
  <si>
    <t>Combat: Time (min)</t>
  </si>
  <si>
    <t>Combat: Altitude (ft)</t>
  </si>
  <si>
    <t>Loiter: Time (min)</t>
  </si>
  <si>
    <t>Loiter: Altitude (ft)</t>
  </si>
  <si>
    <t>Fuel Reserve (%)</t>
  </si>
  <si>
    <t>Trapped Fuel (%)</t>
  </si>
  <si>
    <t>Structure Factor</t>
  </si>
  <si>
    <t>Payload: Exp. (lb)</t>
  </si>
  <si>
    <t>Payload: Non-exp. (lb)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</si>
  <si>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</si>
  <si>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</si>
  <si>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</si>
  <si>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</si>
  <si>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</si>
  <si>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</si>
  <si>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</si>
  <si>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Weight: T-O (estimated)</t>
  </si>
  <si>
    <t>Weight: T-O (final)</t>
  </si>
  <si>
    <t>Surplus Empty Wt. (lbs)</t>
  </si>
  <si>
    <t>1. Start-up &amp; T-O</t>
  </si>
  <si>
    <t>2. Climb &amp; Accel. to Cruise</t>
  </si>
  <si>
    <t>3a. L/D</t>
  </si>
  <si>
    <t>3b. V (f/s)</t>
  </si>
  <si>
    <t>3c. Cruise to destination</t>
  </si>
  <si>
    <t>4. Accel. to high speed</t>
  </si>
  <si>
    <t>5. Combat</t>
  </si>
  <si>
    <t>6. Drop Exp. Payload</t>
  </si>
  <si>
    <t>7. Cruise back</t>
  </si>
  <si>
    <t>7. Loiter</t>
  </si>
  <si>
    <t>8. Land</t>
  </si>
  <si>
    <t>Total Fuel Wt. (lbs)</t>
  </si>
  <si>
    <t>Available Empty Wt. (lbs)</t>
  </si>
  <si>
    <t>Required Empty Wt. (lbs)</t>
  </si>
  <si>
    <t>Take-off</t>
  </si>
  <si>
    <t>Landing</t>
  </si>
  <si>
    <t>H (f)</t>
  </si>
  <si>
    <t>CL(max)</t>
  </si>
  <si>
    <t>T(max) (lb)</t>
  </si>
  <si>
    <t>W_TO (lb)</t>
  </si>
  <si>
    <t>W_L (lb)</t>
  </si>
  <si>
    <t>S (f^2)</t>
  </si>
  <si>
    <t>W/S (lb/f^2)</t>
  </si>
  <si>
    <t>SIGMA</t>
  </si>
  <si>
    <t>T/W</t>
  </si>
  <si>
    <t>TOP</t>
  </si>
  <si>
    <t>LP</t>
  </si>
  <si>
    <t>S_TO (f)</t>
  </si>
  <si>
    <t>Cruise Start</t>
  </si>
  <si>
    <t>Cruise End</t>
  </si>
  <si>
    <t>CD_0</t>
  </si>
  <si>
    <t>A</t>
  </si>
  <si>
    <t>W (lb)</t>
  </si>
  <si>
    <t>k</t>
  </si>
  <si>
    <t>V (f/s)</t>
  </si>
  <si>
    <t>rho (lbm/f^3)</t>
  </si>
  <si>
    <t>q (lbf/f^2)</t>
  </si>
  <si>
    <t>W/S_optimum</t>
  </si>
  <si>
    <t>W/S_actual</t>
  </si>
  <si>
    <t>Climb</t>
  </si>
  <si>
    <t>Acceleration</t>
  </si>
  <si>
    <t>Climb Mach</t>
  </si>
  <si>
    <t>dH/dt (f/min)</t>
  </si>
  <si>
    <t>n</t>
  </si>
  <si>
    <t>G (rad)</t>
  </si>
  <si>
    <t>Gamma (deg)</t>
  </si>
  <si>
    <t>T/W min</t>
  </si>
  <si>
    <t>T/W min - G</t>
  </si>
  <si>
    <t>W/S_+ (lb/f^2)</t>
  </si>
  <si>
    <t>W/S_- (lb/f^2)</t>
  </si>
  <si>
    <t>Turn - Inst.</t>
  </si>
  <si>
    <t xml:space="preserve">Turn- Sustained </t>
  </si>
  <si>
    <t>CL_max</t>
  </si>
  <si>
    <t>T/W_max</t>
  </si>
  <si>
    <t>psi_dot (rad/s)</t>
  </si>
  <si>
    <t>psi_dot (deg/s)</t>
  </si>
  <si>
    <t>Ceiling</t>
  </si>
  <si>
    <t xml:space="preserve">CL_required </t>
  </si>
  <si>
    <t>dH/dt-min (f/min)</t>
  </si>
  <si>
    <t>Design Parameters</t>
  </si>
  <si>
    <t>Airfoil Data</t>
  </si>
  <si>
    <t xml:space="preserve">  Air Properties</t>
  </si>
  <si>
    <t>M</t>
  </si>
  <si>
    <t>Name</t>
  </si>
  <si>
    <t>ft</t>
  </si>
  <si>
    <t>S</t>
  </si>
  <si>
    <t xml:space="preserve"> V </t>
  </si>
  <si>
    <t>f/s</t>
  </si>
  <si>
    <t>1/deg</t>
  </si>
  <si>
    <r>
      <t>r</t>
    </r>
    <r>
      <rPr>
        <sz val="10"/>
        <rFont val="Arial"/>
      </rPr>
      <t xml:space="preserve"> </t>
    </r>
  </si>
  <si>
    <t>lbm/f^3</t>
  </si>
  <si>
    <t>deg</t>
  </si>
  <si>
    <t>a.c.</t>
  </si>
  <si>
    <t>c</t>
  </si>
  <si>
    <t xml:space="preserve">q </t>
  </si>
  <si>
    <t>lbf/f^2</t>
  </si>
  <si>
    <t>t/c</t>
  </si>
  <si>
    <r>
      <t>m</t>
    </r>
    <r>
      <rPr>
        <sz val="10"/>
        <rFont val="Arial"/>
      </rPr>
      <t xml:space="preserve">  </t>
    </r>
  </si>
  <si>
    <t xml:space="preserve">lbm/(f-s) </t>
  </si>
  <si>
    <t>l</t>
  </si>
  <si>
    <t>f^2/s</t>
  </si>
  <si>
    <t>W c-start</t>
  </si>
  <si>
    <t xml:space="preserve">W c-end </t>
  </si>
  <si>
    <t>q c-start</t>
  </si>
  <si>
    <t>(t/c)max</t>
  </si>
  <si>
    <t>q c-end</t>
  </si>
  <si>
    <t>Cl c-start</t>
  </si>
  <si>
    <t>Cl c-end</t>
  </si>
  <si>
    <t>Calculations</t>
  </si>
  <si>
    <t>Sweep Angles</t>
  </si>
  <si>
    <t>b</t>
  </si>
  <si>
    <t>x/c</t>
  </si>
  <si>
    <t>LE</t>
  </si>
  <si>
    <t>1/4C</t>
  </si>
  <si>
    <t>a.c</t>
  </si>
  <si>
    <t>m.a.c.</t>
  </si>
  <si>
    <t>TE</t>
  </si>
  <si>
    <t>Viscous Drag</t>
  </si>
  <si>
    <t>V_eff</t>
  </si>
  <si>
    <t>q_eff</t>
  </si>
  <si>
    <t>Re_mac</t>
  </si>
  <si>
    <t>sqrt(Re)</t>
  </si>
  <si>
    <t>Cf</t>
  </si>
  <si>
    <t>L/D</t>
  </si>
  <si>
    <t>S_wet</t>
  </si>
  <si>
    <t>F</t>
  </si>
  <si>
    <t>Q</t>
  </si>
  <si>
    <t>Total Drag</t>
  </si>
  <si>
    <t>lbf</t>
  </si>
  <si>
    <t>Plotting:</t>
  </si>
  <si>
    <t>Spanwise View</t>
  </si>
  <si>
    <t>x</t>
  </si>
  <si>
    <t>y</t>
  </si>
  <si>
    <t xml:space="preserve">Lift Curves </t>
  </si>
  <si>
    <t>a</t>
  </si>
  <si>
    <t>Cl</t>
  </si>
  <si>
    <t>CL</t>
  </si>
  <si>
    <r>
      <t>ft</t>
    </r>
    <r>
      <rPr>
        <vertAlign val="superscript"/>
        <sz val="8"/>
        <rFont val="Arial"/>
        <family val="2"/>
      </rPr>
      <t>2</t>
    </r>
  </si>
  <si>
    <r>
      <t>Cl</t>
    </r>
    <r>
      <rPr>
        <vertAlign val="subscript"/>
        <sz val="10"/>
        <rFont val="Arial"/>
        <family val="2"/>
      </rPr>
      <t>max</t>
    </r>
  </si>
  <si>
    <r>
      <t>Cl</t>
    </r>
    <r>
      <rPr>
        <vertAlign val="subscript"/>
        <sz val="10"/>
        <rFont val="Symbol"/>
        <family val="1"/>
      </rPr>
      <t>a</t>
    </r>
  </si>
  <si>
    <r>
      <t>L</t>
    </r>
    <r>
      <rPr>
        <vertAlign val="subscript"/>
        <sz val="10"/>
        <rFont val="Arial"/>
        <family val="2"/>
      </rPr>
      <t>LE</t>
    </r>
  </si>
  <si>
    <r>
      <t>a</t>
    </r>
    <r>
      <rPr>
        <vertAlign val="subscript"/>
        <sz val="10"/>
        <rFont val="Arial"/>
        <family val="2"/>
      </rPr>
      <t>0L</t>
    </r>
  </si>
  <si>
    <r>
      <t>Cd</t>
    </r>
    <r>
      <rPr>
        <sz val="8"/>
        <rFont val="Arial"/>
      </rPr>
      <t>0</t>
    </r>
  </si>
  <si>
    <r>
      <t xml:space="preserve">n </t>
    </r>
    <r>
      <rPr>
        <sz val="10"/>
        <rFont val="Arial"/>
      </rPr>
      <t>(cruise)</t>
    </r>
  </si>
  <si>
    <r>
      <t>r</t>
    </r>
    <r>
      <rPr>
        <vertAlign val="subscript"/>
        <sz val="10"/>
        <rFont val="Arial"/>
        <family val="2"/>
      </rPr>
      <t>le</t>
    </r>
  </si>
  <si>
    <r>
      <t>Cl</t>
    </r>
    <r>
      <rPr>
        <vertAlign val="subscript"/>
        <sz val="10"/>
        <rFont val="Arial"/>
        <family val="2"/>
      </rPr>
      <t>minD</t>
    </r>
  </si>
  <si>
    <r>
      <t>L</t>
    </r>
    <r>
      <rPr>
        <vertAlign val="subscript"/>
        <sz val="10"/>
        <rFont val="Arial"/>
        <family val="2"/>
      </rPr>
      <t xml:space="preserve">x/c </t>
    </r>
    <r>
      <rPr>
        <sz val="10"/>
        <rFont val="Arial"/>
      </rPr>
      <t>(deg)</t>
    </r>
  </si>
  <si>
    <r>
      <t>M</t>
    </r>
    <r>
      <rPr>
        <vertAlign val="subscript"/>
        <sz val="10"/>
        <rFont val="Arial"/>
        <family val="2"/>
      </rPr>
      <t>eff</t>
    </r>
  </si>
  <si>
    <r>
      <t>c</t>
    </r>
    <r>
      <rPr>
        <vertAlign val="subscript"/>
        <sz val="10"/>
        <rFont val="Arial"/>
        <family val="2"/>
      </rPr>
      <t>r</t>
    </r>
  </si>
  <si>
    <r>
      <t>c</t>
    </r>
    <r>
      <rPr>
        <vertAlign val="subscript"/>
        <sz val="10"/>
        <rFont val="Arial"/>
        <family val="2"/>
      </rPr>
      <t>t</t>
    </r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</si>
  <si>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</rPr>
      <t>a</t>
    </r>
  </si>
  <si>
    <r>
      <t>C</t>
    </r>
    <r>
      <rPr>
        <vertAlign val="subscript"/>
        <sz val="10"/>
        <rFont val="Arial"/>
        <family val="2"/>
      </rPr>
      <t>Lo</t>
    </r>
  </si>
  <si>
    <r>
      <t>a</t>
    </r>
    <r>
      <rPr>
        <vertAlign val="subscript"/>
        <sz val="10"/>
        <rFont val="Arial"/>
        <family val="2"/>
      </rPr>
      <t>trim</t>
    </r>
  </si>
  <si>
    <r>
      <t>C</t>
    </r>
    <r>
      <rPr>
        <vertAlign val="subscript"/>
        <sz val="10"/>
        <rFont val="Arial"/>
        <family val="2"/>
      </rPr>
      <t>Ltrim</t>
    </r>
  </si>
  <si>
    <r>
      <t>C</t>
    </r>
    <r>
      <rPr>
        <vertAlign val="subscript"/>
        <sz val="10"/>
        <rFont val="Arial"/>
        <family val="2"/>
      </rPr>
      <t>D</t>
    </r>
  </si>
  <si>
    <r>
      <t>C</t>
    </r>
    <r>
      <rPr>
        <vertAlign val="subscript"/>
        <sz val="10"/>
        <rFont val="Arial"/>
        <family val="2"/>
      </rPr>
      <t>D0</t>
    </r>
  </si>
  <si>
    <t xml:space="preserve">    Fuselage Design</t>
  </si>
  <si>
    <t>Flight Regime Data:</t>
  </si>
  <si>
    <t xml:space="preserve"> V (f/s)</t>
  </si>
  <si>
    <r>
      <t>r</t>
    </r>
    <r>
      <rPr>
        <sz val="10"/>
        <rFont val="Arial"/>
      </rPr>
      <t xml:space="preserve"> (lbm/f^3)</t>
    </r>
  </si>
  <si>
    <r>
      <t>m</t>
    </r>
    <r>
      <rPr>
        <sz val="10"/>
        <rFont val="Arial"/>
      </rPr>
      <t xml:space="preserve">  (lbm/(f-s)) </t>
    </r>
  </si>
  <si>
    <t>Dimension Data:</t>
  </si>
  <si>
    <t>Form Factors:</t>
  </si>
  <si>
    <t>D-max (ft)</t>
  </si>
  <si>
    <t>L (ft)</t>
  </si>
  <si>
    <t>F*Q</t>
  </si>
  <si>
    <t>Viscous Drag Calculations:</t>
  </si>
  <si>
    <t>x/L</t>
  </si>
  <si>
    <t>x (ft)</t>
  </si>
  <si>
    <t>x-L/4 (ft)</t>
  </si>
  <si>
    <t>D (ft)</t>
  </si>
  <si>
    <t>P (ft)</t>
  </si>
  <si>
    <t>Sw(ft^2)</t>
  </si>
  <si>
    <t>Drag (lbf)</t>
  </si>
  <si>
    <t>-</t>
  </si>
  <si>
    <t>Totals:</t>
  </si>
  <si>
    <t xml:space="preserve">Total Drag: </t>
  </si>
  <si>
    <t>(lbf)</t>
  </si>
  <si>
    <t>Equiv. CD</t>
  </si>
  <si>
    <r>
      <t xml:space="preserve">n </t>
    </r>
    <r>
      <rPr>
        <sz val="10"/>
        <rFont val="Arial"/>
      </rPr>
      <t>(cruise) (f^2/s)</t>
    </r>
  </si>
  <si>
    <r>
      <t>Re</t>
    </r>
    <r>
      <rPr>
        <vertAlign val="subscript"/>
        <sz val="10"/>
        <rFont val="Arial"/>
        <family val="2"/>
      </rPr>
      <t>x</t>
    </r>
  </si>
  <si>
    <r>
      <t>C</t>
    </r>
    <r>
      <rPr>
        <vertAlign val="subscript"/>
        <sz val="10"/>
        <rFont val="Arial"/>
        <family val="2"/>
      </rPr>
      <t>F</t>
    </r>
  </si>
  <si>
    <t xml:space="preserve">   Main Wing Reference</t>
  </si>
  <si>
    <t>Vertical Tail</t>
  </si>
  <si>
    <t>Cvt</t>
  </si>
  <si>
    <t>NACA 64-004</t>
  </si>
  <si>
    <t>Lvt</t>
  </si>
  <si>
    <t>Avt</t>
  </si>
  <si>
    <t>Cd</t>
  </si>
  <si>
    <t>Svt</t>
  </si>
  <si>
    <t>1/4 chord</t>
  </si>
  <si>
    <t>M_eff</t>
  </si>
  <si>
    <t>Horizontal Tail</t>
  </si>
  <si>
    <t>Cht</t>
  </si>
  <si>
    <t>Lht</t>
  </si>
  <si>
    <t>Aht</t>
  </si>
  <si>
    <t>Sht</t>
  </si>
  <si>
    <t>Mission Requirements</t>
  </si>
  <si>
    <t>D</t>
  </si>
  <si>
    <t>f</t>
  </si>
  <si>
    <t>Cone-Cylinder</t>
  </si>
  <si>
    <t>Take-Off</t>
  </si>
  <si>
    <t>mu_TO</t>
  </si>
  <si>
    <t>T_max (lb)</t>
  </si>
  <si>
    <t>f_LG</t>
  </si>
  <si>
    <t>CL_G</t>
  </si>
  <si>
    <t>A_LG (f^2)</t>
  </si>
  <si>
    <t>deltCD_0_flap</t>
  </si>
  <si>
    <t>gamma_CL (deg)</t>
  </si>
  <si>
    <t>H_obstacle (f)</t>
  </si>
  <si>
    <t>f1 (f/s^2)</t>
  </si>
  <si>
    <t>deltCD_0_LG</t>
  </si>
  <si>
    <t>f2 (f^-1)</t>
  </si>
  <si>
    <t>V_T-O (f/s)</t>
  </si>
  <si>
    <t>R_TR (f)</t>
  </si>
  <si>
    <t>q_T_O (lb/f^2)</t>
  </si>
  <si>
    <t>H_TR (f)</t>
  </si>
  <si>
    <t>S_G (f)</t>
  </si>
  <si>
    <t>S_R (f)</t>
  </si>
  <si>
    <t>S_TR (f)</t>
  </si>
  <si>
    <t>S_CL (f)</t>
  </si>
  <si>
    <t>S_T-O (f)</t>
  </si>
  <si>
    <t>D_50 (lb)</t>
  </si>
  <si>
    <t>gamma_A (deg)</t>
  </si>
  <si>
    <t>V_50 (f/s)</t>
  </si>
  <si>
    <t>gamma_A _act</t>
  </si>
  <si>
    <t>V_TD (f/s)</t>
  </si>
  <si>
    <t>q_50 (lb/f^2)</t>
  </si>
  <si>
    <t>q_TD (lb/f^2)</t>
  </si>
  <si>
    <t>mu _L</t>
  </si>
  <si>
    <t>T_L (lb)</t>
  </si>
  <si>
    <t>S_A (f)</t>
  </si>
  <si>
    <t>S_FR (f)</t>
  </si>
  <si>
    <t>S_B (f)</t>
  </si>
  <si>
    <t>S_L (f)</t>
  </si>
  <si>
    <t>1.6(S_L) (f)</t>
  </si>
  <si>
    <t>Wing Data:</t>
  </si>
  <si>
    <t>Airfoil</t>
  </si>
  <si>
    <t>NACA</t>
  </si>
  <si>
    <t>64x</t>
  </si>
  <si>
    <t>T-O Mach No.</t>
  </si>
  <si>
    <t>Trailing-edge Flap Design:</t>
  </si>
  <si>
    <t xml:space="preserve">Flap type </t>
  </si>
  <si>
    <t>slot</t>
  </si>
  <si>
    <t>slot, plane or split</t>
  </si>
  <si>
    <t>Plane Flap</t>
  </si>
  <si>
    <t>K'</t>
  </si>
  <si>
    <t>Fig. 9.3</t>
  </si>
  <si>
    <t>Fig. 9.4</t>
  </si>
  <si>
    <t>Single Slotted &amp; Fowler Flap</t>
  </si>
  <si>
    <t>Fig. 9.5</t>
  </si>
  <si>
    <t>Split Flaps</t>
  </si>
  <si>
    <t>Fig. 9.6</t>
  </si>
  <si>
    <t>Fig. 9.7</t>
  </si>
  <si>
    <t>Aspect Ratio Criterion:</t>
  </si>
  <si>
    <t>Fig. 9.8</t>
  </si>
  <si>
    <t>High A criteria</t>
  </si>
  <si>
    <t>Basic Wing -- High Aspect Ratio:</t>
  </si>
  <si>
    <t>.</t>
  </si>
  <si>
    <r>
      <t>D</t>
    </r>
    <r>
      <rPr>
        <sz val="10"/>
        <rFont val="Arial"/>
      </rPr>
      <t>y</t>
    </r>
  </si>
  <si>
    <t>%</t>
  </si>
  <si>
    <t>Fig. 9.10</t>
  </si>
  <si>
    <t>Fig. 9.9</t>
  </si>
  <si>
    <t>Fig. 9.11</t>
  </si>
  <si>
    <t>Basic Wing -- Low Aspect Ratio:</t>
  </si>
  <si>
    <t>(C1 + 1)…</t>
  </si>
  <si>
    <t>Fig. 9.12</t>
  </si>
  <si>
    <t>Fig.  9.14</t>
  </si>
  <si>
    <t>(C2 + 1)…</t>
  </si>
  <si>
    <t>Fig. 9.13</t>
  </si>
  <si>
    <t>Fig. 9.15</t>
  </si>
  <si>
    <t>A cos(…</t>
  </si>
  <si>
    <t>Fig. 9.16</t>
  </si>
  <si>
    <t xml:space="preserve">Effect of Trailing-edge Flap: </t>
  </si>
  <si>
    <t>Flap type</t>
  </si>
  <si>
    <t>Fig. 9.18</t>
  </si>
  <si>
    <t>Leading-edge flap CL Max:</t>
  </si>
  <si>
    <t>Table 9.1</t>
  </si>
  <si>
    <t>Trailing-edge flap Added drag:</t>
  </si>
  <si>
    <t>Fig. 9.20</t>
  </si>
  <si>
    <t>Fig. 9.21</t>
  </si>
  <si>
    <t>Lift Curve Plotting:</t>
  </si>
  <si>
    <t xml:space="preserve">     2-D (no flaps)</t>
  </si>
  <si>
    <t xml:space="preserve">       2-D (flaps)</t>
  </si>
  <si>
    <t xml:space="preserve">     3-D (no flaps)</t>
  </si>
  <si>
    <t xml:space="preserve">       3-D (flaps)</t>
  </si>
  <si>
    <t>2-D (no flaps)</t>
  </si>
  <si>
    <t>2-D (flaps)</t>
  </si>
  <si>
    <t>3-D (no flaps)</t>
  </si>
  <si>
    <t>3-D (flaps)</t>
  </si>
  <si>
    <r>
      <t>L</t>
    </r>
    <r>
      <rPr>
        <vertAlign val="subscript"/>
        <sz val="10"/>
        <rFont val="Arial"/>
        <family val="2"/>
      </rPr>
      <t>t/c</t>
    </r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</si>
  <si>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</rPr>
      <t>a</t>
    </r>
    <r>
      <rPr>
        <sz val="10"/>
        <rFont val="Arial"/>
      </rPr>
      <t xml:space="preserve"> (no flap)</t>
    </r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</si>
  <si>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</rPr>
      <t>a</t>
    </r>
    <r>
      <rPr>
        <sz val="10"/>
        <rFont val="Arial"/>
      </rPr>
      <t xml:space="preserve"> (no flap)</t>
    </r>
  </si>
  <si>
    <r>
      <t>C</t>
    </r>
    <r>
      <rPr>
        <vertAlign val="subscript"/>
        <sz val="10"/>
        <rFont val="Arial"/>
        <family val="2"/>
      </rPr>
      <t>lmax</t>
    </r>
  </si>
  <si>
    <r>
      <t>a</t>
    </r>
    <r>
      <rPr>
        <vertAlign val="subscript"/>
        <sz val="10"/>
        <rFont val="Arial"/>
        <family val="2"/>
      </rPr>
      <t>s</t>
    </r>
  </si>
  <si>
    <r>
      <t>S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/S</t>
    </r>
    <r>
      <rPr>
        <vertAlign val="subscript"/>
        <sz val="10"/>
        <rFont val="Arial"/>
        <family val="2"/>
      </rPr>
      <t>w</t>
    </r>
  </si>
  <si>
    <r>
      <t>d</t>
    </r>
    <r>
      <rPr>
        <vertAlign val="subscript"/>
        <sz val="10"/>
        <rFont val="Arial"/>
        <family val="2"/>
      </rPr>
      <t>f</t>
    </r>
  </si>
  <si>
    <r>
      <t>c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/c</t>
    </r>
  </si>
  <si>
    <r>
      <t xml:space="preserve">Delta </t>
    </r>
    <r>
      <rPr>
        <b/>
        <sz val="10"/>
        <rFont val="Symbol"/>
        <family val="1"/>
      </rPr>
      <t>a</t>
    </r>
    <r>
      <rPr>
        <b/>
        <sz val="10"/>
        <rFont val="Arial"/>
      </rPr>
      <t>0L:</t>
    </r>
  </si>
  <si>
    <r>
      <t>dC</t>
    </r>
    <r>
      <rPr>
        <vertAlign val="subscript"/>
        <sz val="10"/>
        <rFont val="Arial"/>
        <family val="2"/>
      </rPr>
      <t>l</t>
    </r>
    <r>
      <rPr>
        <sz val="10"/>
        <rFont val="Arial"/>
      </rPr>
      <t>/d</t>
    </r>
    <r>
      <rPr>
        <sz val="10"/>
        <rFont val="Symbol"/>
        <family val="1"/>
      </rPr>
      <t>d</t>
    </r>
    <r>
      <rPr>
        <vertAlign val="subscript"/>
        <sz val="10"/>
        <rFont val="Arial"/>
        <family val="2"/>
      </rPr>
      <t>f</t>
    </r>
  </si>
  <si>
    <r>
      <t>Da</t>
    </r>
    <r>
      <rPr>
        <vertAlign val="subscript"/>
        <sz val="10"/>
        <rFont val="Arial"/>
        <family val="2"/>
      </rPr>
      <t>0l</t>
    </r>
  </si>
  <si>
    <r>
      <t>d</t>
    </r>
    <r>
      <rPr>
        <sz val="10"/>
        <rFont val="Symbol"/>
        <family val="1"/>
      </rPr>
      <t>a</t>
    </r>
    <r>
      <rPr>
        <sz val="10"/>
        <rFont val="Arial"/>
      </rPr>
      <t>/d</t>
    </r>
    <r>
      <rPr>
        <sz val="10"/>
        <rFont val="Symbol"/>
        <family val="1"/>
      </rPr>
      <t>d</t>
    </r>
    <r>
      <rPr>
        <vertAlign val="subscript"/>
        <sz val="10"/>
        <rFont val="Arial"/>
        <family val="2"/>
      </rPr>
      <t>f</t>
    </r>
  </si>
  <si>
    <r>
      <t>D</t>
    </r>
    <r>
      <rPr>
        <sz val="10"/>
        <rFont val="Arial"/>
      </rPr>
      <t>Cl</t>
    </r>
  </si>
  <si>
    <r>
      <t>C</t>
    </r>
    <r>
      <rPr>
        <vertAlign val="subscript"/>
        <sz val="10"/>
        <rFont val="Arial"/>
        <family val="2"/>
      </rPr>
      <t xml:space="preserve">1 </t>
    </r>
  </si>
  <si>
    <r>
      <t>C</t>
    </r>
    <r>
      <rPr>
        <vertAlign val="subscript"/>
        <sz val="10"/>
        <rFont val="Arial"/>
        <family val="2"/>
      </rPr>
      <t>Lmax</t>
    </r>
    <r>
      <rPr>
        <sz val="10"/>
        <rFont val="Arial"/>
      </rPr>
      <t>/C</t>
    </r>
    <r>
      <rPr>
        <vertAlign val="subscript"/>
        <sz val="10"/>
        <rFont val="Arial"/>
        <family val="2"/>
      </rPr>
      <t>lmax</t>
    </r>
  </si>
  <si>
    <r>
      <t>C</t>
    </r>
    <r>
      <rPr>
        <vertAlign val="subscript"/>
        <sz val="10"/>
        <rFont val="Arial"/>
        <family val="2"/>
      </rPr>
      <t>Lmax</t>
    </r>
  </si>
  <si>
    <r>
      <t>Da</t>
    </r>
    <r>
      <rPr>
        <vertAlign val="subscript"/>
        <sz val="10"/>
        <rFont val="Arial"/>
        <family val="2"/>
      </rPr>
      <t>CLmax</t>
    </r>
  </si>
  <si>
    <r>
      <t>(C</t>
    </r>
    <r>
      <rPr>
        <vertAlign val="subscript"/>
        <sz val="10"/>
        <rFont val="Arial"/>
        <family val="2"/>
      </rPr>
      <t>Lmax)base</t>
    </r>
  </si>
  <si>
    <r>
      <t>C</t>
    </r>
    <r>
      <rPr>
        <vertAlign val="subscript"/>
        <sz val="10"/>
        <rFont val="Arial"/>
        <family val="2"/>
      </rPr>
      <t>2</t>
    </r>
  </si>
  <si>
    <r>
      <t>D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Lmax</t>
    </r>
  </si>
  <si>
    <r>
      <t>C</t>
    </r>
    <r>
      <rPr>
        <vertAlign val="subscript"/>
        <sz val="10"/>
        <rFont val="Arial"/>
        <family val="2"/>
      </rPr>
      <t>Lmax</t>
    </r>
  </si>
  <si>
    <r>
      <t>(a</t>
    </r>
    <r>
      <rPr>
        <vertAlign val="subscript"/>
        <sz val="10"/>
        <rFont val="Arial"/>
        <family val="2"/>
      </rPr>
      <t>CLmax</t>
    </r>
    <r>
      <rPr>
        <vertAlign val="subscript"/>
        <sz val="11"/>
        <rFont val="Arial"/>
        <family val="2"/>
      </rPr>
      <t>)</t>
    </r>
    <r>
      <rPr>
        <vertAlign val="subscript"/>
        <sz val="10"/>
        <rFont val="Arial"/>
        <family val="2"/>
      </rPr>
      <t>base</t>
    </r>
  </si>
  <si>
    <r>
      <t>a</t>
    </r>
    <r>
      <rPr>
        <vertAlign val="subscript"/>
        <sz val="10"/>
        <rFont val="Arial"/>
        <family val="2"/>
      </rPr>
      <t>0l</t>
    </r>
  </si>
  <si>
    <r>
      <t>Basic 3-D</t>
    </r>
    <r>
      <rPr>
        <sz val="10"/>
        <rFont val="Symbol"/>
        <family val="1"/>
      </rPr>
      <t xml:space="preserve"> a</t>
    </r>
    <r>
      <rPr>
        <vertAlign val="subscript"/>
        <sz val="10"/>
        <rFont val="Arial"/>
        <family val="2"/>
      </rPr>
      <t>s</t>
    </r>
  </si>
  <si>
    <r>
      <t>Basic 3-D C</t>
    </r>
    <r>
      <rPr>
        <vertAlign val="subscript"/>
        <sz val="10"/>
        <rFont val="Arial"/>
        <family val="2"/>
      </rPr>
      <t>L</t>
    </r>
  </si>
  <si>
    <r>
      <t>2-</t>
    </r>
    <r>
      <rPr>
        <sz val="10"/>
        <rFont val="Arial"/>
      </rPr>
      <t>D</t>
    </r>
    <r>
      <rPr>
        <sz val="10"/>
        <rFont val="Symbol"/>
        <family val="1"/>
      </rPr>
      <t xml:space="preserve"> Da</t>
    </r>
    <r>
      <rPr>
        <vertAlign val="subscript"/>
        <sz val="10"/>
        <rFont val="Arial"/>
        <family val="2"/>
      </rPr>
      <t>s</t>
    </r>
  </si>
  <si>
    <r>
      <t>2-</t>
    </r>
    <r>
      <rPr>
        <sz val="10"/>
        <rFont val="Arial"/>
      </rPr>
      <t>D</t>
    </r>
    <r>
      <rPr>
        <sz val="10"/>
        <rFont val="Symbol"/>
        <family val="1"/>
      </rPr>
      <t xml:space="preserve"> a</t>
    </r>
    <r>
      <rPr>
        <vertAlign val="subscript"/>
        <sz val="10"/>
        <rFont val="Arial"/>
        <family val="2"/>
      </rPr>
      <t>s flapped</t>
    </r>
  </si>
  <si>
    <r>
      <t>(C</t>
    </r>
    <r>
      <rPr>
        <vertAlign val="subscript"/>
        <sz val="10"/>
        <rFont val="Arial"/>
        <family val="2"/>
      </rPr>
      <t>lmax) flapped</t>
    </r>
  </si>
  <si>
    <r>
      <t>D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lmax</t>
    </r>
  </si>
  <si>
    <r>
      <t>K</t>
    </r>
    <r>
      <rPr>
        <sz val="10"/>
        <rFont val="Symbol"/>
        <family val="1"/>
      </rPr>
      <t>D</t>
    </r>
  </si>
  <si>
    <r>
      <t>3-D</t>
    </r>
    <r>
      <rPr>
        <sz val="10"/>
        <rFont val="Symbol"/>
        <family val="1"/>
      </rPr>
      <t xml:space="preserve"> a</t>
    </r>
    <r>
      <rPr>
        <vertAlign val="subscript"/>
        <sz val="10"/>
        <rFont val="Arial"/>
        <family val="2"/>
      </rPr>
      <t>s flapped</t>
    </r>
  </si>
  <si>
    <r>
      <t>k</t>
    </r>
    <r>
      <rPr>
        <vertAlign val="subscript"/>
        <sz val="10"/>
        <rFont val="Arial"/>
        <family val="2"/>
      </rPr>
      <t>1</t>
    </r>
  </si>
  <si>
    <r>
      <t>k</t>
    </r>
    <r>
      <rPr>
        <vertAlign val="subscript"/>
        <sz val="10"/>
        <rFont val="Arial"/>
        <family val="2"/>
      </rPr>
      <t>2</t>
    </r>
  </si>
  <si>
    <r>
      <t>D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D0</t>
    </r>
  </si>
  <si>
    <r>
      <t>C</t>
    </r>
    <r>
      <rPr>
        <vertAlign val="subscript"/>
        <sz val="10"/>
        <rFont val="Arial"/>
        <family val="2"/>
      </rPr>
      <t>l</t>
    </r>
  </si>
  <si>
    <r>
      <t>C</t>
    </r>
    <r>
      <rPr>
        <vertAlign val="subscript"/>
        <sz val="10"/>
        <rFont val="Arial"/>
        <family val="2"/>
      </rPr>
      <t>L</t>
    </r>
  </si>
  <si>
    <t>Wing Weight</t>
  </si>
  <si>
    <t>Fighter</t>
  </si>
  <si>
    <t>Transport</t>
  </si>
  <si>
    <t>Gen. Av.</t>
  </si>
  <si>
    <t>K_dw</t>
  </si>
  <si>
    <t>K_vs</t>
  </si>
  <si>
    <t>q</t>
  </si>
  <si>
    <t>lb/f^2</t>
  </si>
  <si>
    <t>S_w</t>
  </si>
  <si>
    <t>f^2</t>
  </si>
  <si>
    <t>(Sf/Sw)</t>
  </si>
  <si>
    <t>S_f</t>
  </si>
  <si>
    <t>W_dg</t>
  </si>
  <si>
    <t>lbs</t>
  </si>
  <si>
    <t>W_fw</t>
  </si>
  <si>
    <t>L</t>
  </si>
  <si>
    <t>Horizontal Tail Weight</t>
  </si>
  <si>
    <t>A_ht</t>
  </si>
  <si>
    <t>b_ht</t>
  </si>
  <si>
    <t>F_w</t>
  </si>
  <si>
    <t>K_y</t>
  </si>
  <si>
    <t>L_ht</t>
  </si>
  <si>
    <t>lbs/f^2</t>
  </si>
  <si>
    <t>S_ht</t>
  </si>
  <si>
    <t>(t/c)ht</t>
  </si>
  <si>
    <t>Vertical Tail Weight</t>
  </si>
  <si>
    <t>A_vt</t>
  </si>
  <si>
    <t>H_ht</t>
  </si>
  <si>
    <t>H_vt</t>
  </si>
  <si>
    <t>K_z</t>
  </si>
  <si>
    <t>K_rht</t>
  </si>
  <si>
    <t>L_vt</t>
  </si>
  <si>
    <t>S_r/S_vt</t>
  </si>
  <si>
    <t>S_r</t>
  </si>
  <si>
    <t>S_vt</t>
  </si>
  <si>
    <t>(t/c)_vt</t>
  </si>
  <si>
    <t>Gen. Av</t>
  </si>
  <si>
    <t>Fuselage Weight</t>
  </si>
  <si>
    <t>b_w</t>
  </si>
  <si>
    <t>K_ws</t>
  </si>
  <si>
    <t>K_dwf</t>
  </si>
  <si>
    <t>K_door</t>
  </si>
  <si>
    <t>K_lg</t>
  </si>
  <si>
    <t>L_f</t>
  </si>
  <si>
    <t>L_t</t>
  </si>
  <si>
    <t>W_f</t>
  </si>
  <si>
    <t>V_pr</t>
  </si>
  <si>
    <t>f^3</t>
  </si>
  <si>
    <t>W_p</t>
  </si>
  <si>
    <t>Main Landing Gear Weight</t>
  </si>
  <si>
    <t>K_cb</t>
  </si>
  <si>
    <t>K_mp</t>
  </si>
  <si>
    <t>K_tpg</t>
  </si>
  <si>
    <t>L_m</t>
  </si>
  <si>
    <t>in</t>
  </si>
  <si>
    <t>N_mw</t>
  </si>
  <si>
    <t>wheels</t>
  </si>
  <si>
    <t>N_mss</t>
  </si>
  <si>
    <t>struts</t>
  </si>
  <si>
    <t>V_s</t>
  </si>
  <si>
    <t>W_l</t>
  </si>
  <si>
    <t>Nose Landing Gear Weight</t>
  </si>
  <si>
    <t>K_np</t>
  </si>
  <si>
    <t>L_n</t>
  </si>
  <si>
    <t>N_nw</t>
  </si>
  <si>
    <t>Summary</t>
  </si>
  <si>
    <t>Wing</t>
  </si>
  <si>
    <t>Horiz. Tail</t>
  </si>
  <si>
    <t>Vert. Tail</t>
  </si>
  <si>
    <t>Fuselage</t>
  </si>
  <si>
    <t>Main Gear</t>
  </si>
  <si>
    <t>Nose Gear</t>
  </si>
  <si>
    <t>Total</t>
  </si>
  <si>
    <t>Case Study</t>
  </si>
  <si>
    <t>Wstr</t>
  </si>
  <si>
    <t>Parts</t>
  </si>
  <si>
    <t>Weights</t>
  </si>
  <si>
    <t>W/Wstr</t>
  </si>
  <si>
    <t>Ins. Eng.</t>
  </si>
  <si>
    <t>Other</t>
  </si>
  <si>
    <t>Target</t>
  </si>
  <si>
    <r>
      <t>(L)</t>
    </r>
    <r>
      <rPr>
        <b/>
        <sz val="9.9499999999999993"/>
        <color indexed="8"/>
        <rFont val="Arial"/>
        <family val="2"/>
      </rPr>
      <t>ht</t>
    </r>
  </si>
  <si>
    <r>
      <t>(l)</t>
    </r>
    <r>
      <rPr>
        <b/>
        <sz val="9.9499999999999993"/>
        <color indexed="8"/>
        <rFont val="Arial"/>
        <family val="2"/>
      </rPr>
      <t>ht</t>
    </r>
  </si>
  <si>
    <r>
      <t>(L)</t>
    </r>
    <r>
      <rPr>
        <b/>
        <sz val="9.9499999999999993"/>
        <color indexed="8"/>
        <rFont val="Arial"/>
        <family val="2"/>
      </rPr>
      <t>vt</t>
    </r>
  </si>
  <si>
    <r>
      <t>(l)</t>
    </r>
    <r>
      <rPr>
        <b/>
        <sz val="9.9499999999999993"/>
        <color indexed="8"/>
        <rFont val="Arial"/>
        <family val="2"/>
      </rPr>
      <t>vt</t>
    </r>
  </si>
  <si>
    <t>Longitudinal Stability</t>
  </si>
  <si>
    <t>Fuselage Length</t>
  </si>
  <si>
    <t>L (f)</t>
  </si>
  <si>
    <t>Wing Center of Lift</t>
  </si>
  <si>
    <t>L_ctr   (x/L)</t>
  </si>
  <si>
    <t>m.a.c.  (ft)</t>
  </si>
  <si>
    <t>Load Summary (fuselage)</t>
  </si>
  <si>
    <t>Load Type</t>
  </si>
  <si>
    <t>Magnitude</t>
  </si>
  <si>
    <t xml:space="preserve">x/L_start </t>
  </si>
  <si>
    <t xml:space="preserve">x/L_end </t>
  </si>
  <si>
    <t xml:space="preserve"> resultant</t>
  </si>
  <si>
    <t>M @C_lift</t>
  </si>
  <si>
    <t>dw</t>
  </si>
  <si>
    <t>(lbs)</t>
  </si>
  <si>
    <t xml:space="preserve"> x/L</t>
  </si>
  <si>
    <t>f-lb (+ cw)</t>
  </si>
  <si>
    <t>Fuel</t>
  </si>
  <si>
    <t>Payload</t>
  </si>
  <si>
    <t>Fus.Struct.</t>
  </si>
  <si>
    <t>Engine(s)</t>
  </si>
  <si>
    <t>Wing Struct.</t>
  </si>
  <si>
    <r>
      <t>S</t>
    </r>
    <r>
      <rPr>
        <sz val="10"/>
        <rFont val="Arial"/>
      </rPr>
      <t xml:space="preserve"> L</t>
    </r>
  </si>
  <si>
    <r>
      <t>S</t>
    </r>
    <r>
      <rPr>
        <sz val="10"/>
        <rFont val="Arial"/>
      </rPr>
      <t xml:space="preserve"> M</t>
    </r>
  </si>
  <si>
    <t>Tail Lift (req)</t>
  </si>
  <si>
    <t>Center of Gravity</t>
  </si>
  <si>
    <t>X_cg / L</t>
  </si>
  <si>
    <t>X_cg (ft)</t>
  </si>
  <si>
    <t>Static Margin</t>
  </si>
  <si>
    <t>S.M.</t>
  </si>
  <si>
    <t>Longitudinal Stability Coefficient:</t>
  </si>
  <si>
    <t>Wing Parameters:</t>
  </si>
  <si>
    <r>
      <t>(C_L_</t>
    </r>
    <r>
      <rPr>
        <sz val="10"/>
        <rFont val="Symbol"/>
        <family val="1"/>
      </rPr>
      <t>a</t>
    </r>
    <r>
      <rPr>
        <sz val="10"/>
        <rFont val="Arial"/>
      </rPr>
      <t>)_w</t>
    </r>
  </si>
  <si>
    <t>(deg)^-1</t>
  </si>
  <si>
    <t>x_w</t>
  </si>
  <si>
    <t>cbar</t>
  </si>
  <si>
    <t>Horiz. Tail Paramters:</t>
  </si>
  <si>
    <r>
      <t>(C_L_</t>
    </r>
    <r>
      <rPr>
        <sz val="10"/>
        <rFont val="Symbol"/>
        <family val="1"/>
      </rPr>
      <t>a</t>
    </r>
    <r>
      <rPr>
        <sz val="10"/>
        <rFont val="Arial"/>
      </rPr>
      <t>)_ht</t>
    </r>
  </si>
  <si>
    <r>
      <t>de/d</t>
    </r>
    <r>
      <rPr>
        <sz val="10"/>
        <rFont val="Symbol"/>
        <family val="1"/>
      </rPr>
      <t>a</t>
    </r>
  </si>
  <si>
    <t>Fig. 11.3</t>
  </si>
  <si>
    <r>
      <t>h</t>
    </r>
    <r>
      <rPr>
        <sz val="10"/>
        <rFont val="Arial"/>
      </rPr>
      <t>_ht</t>
    </r>
  </si>
  <si>
    <t>l_ht</t>
  </si>
  <si>
    <t>Engine Parameters</t>
  </si>
  <si>
    <t>mdot</t>
  </si>
  <si>
    <t>lbm/s</t>
  </si>
  <si>
    <t>l_i</t>
  </si>
  <si>
    <t>rho</t>
  </si>
  <si>
    <t>V</t>
  </si>
  <si>
    <r>
      <t>d</t>
    </r>
    <r>
      <rPr>
        <sz val="10"/>
        <rFont val="Symbol"/>
        <family val="1"/>
      </rPr>
      <t>b/</t>
    </r>
    <r>
      <rPr>
        <sz val="10"/>
        <rFont val="Arial"/>
      </rPr>
      <t>d</t>
    </r>
    <r>
      <rPr>
        <sz val="10"/>
        <rFont val="Symbol"/>
        <family val="1"/>
      </rPr>
      <t>a</t>
    </r>
  </si>
  <si>
    <t>V_bar_hs</t>
  </si>
  <si>
    <t>inlet effect</t>
  </si>
  <si>
    <t>wing effect</t>
  </si>
  <si>
    <r>
      <t>check:</t>
    </r>
    <r>
      <rPr>
        <sz val="10"/>
        <rFont val="Arial"/>
      </rPr>
      <t xml:space="preserve"> C_M_</t>
    </r>
    <r>
      <rPr>
        <sz val="10"/>
        <rFont val="Symbol"/>
        <family val="1"/>
      </rPr>
      <t xml:space="preserve">a </t>
    </r>
    <r>
      <rPr>
        <sz val="10"/>
        <rFont val="Arial"/>
      </rPr>
      <t>=-S.M.*C_L_</t>
    </r>
    <r>
      <rPr>
        <sz val="10"/>
        <rFont val="Symbol"/>
        <family val="1"/>
      </rPr>
      <t>a</t>
    </r>
  </si>
  <si>
    <t>h. tail effect</t>
  </si>
  <si>
    <r>
      <t>C_M_</t>
    </r>
    <r>
      <rPr>
        <b/>
        <sz val="10"/>
        <rFont val="Symbol"/>
        <family val="1"/>
      </rPr>
      <t>a</t>
    </r>
  </si>
  <si>
    <t>Directional Stability Coefficient:</t>
  </si>
  <si>
    <t>A_w</t>
  </si>
  <si>
    <t>z_w</t>
  </si>
  <si>
    <t>C_L (cruise)</t>
  </si>
  <si>
    <t>Fuselage Parameters:</t>
  </si>
  <si>
    <t>h</t>
  </si>
  <si>
    <t>w</t>
  </si>
  <si>
    <t>Vol_f</t>
  </si>
  <si>
    <t>Vertical Tail Parameters:</t>
  </si>
  <si>
    <r>
      <t>(C_L_</t>
    </r>
    <r>
      <rPr>
        <sz val="10"/>
        <rFont val="Symbol"/>
        <family val="1"/>
      </rPr>
      <t>a</t>
    </r>
    <r>
      <rPr>
        <sz val="10"/>
        <rFont val="Arial"/>
      </rPr>
      <t>)_vs</t>
    </r>
  </si>
  <si>
    <t>l_vs</t>
  </si>
  <si>
    <t>S_vs</t>
  </si>
  <si>
    <r>
      <t>L_</t>
    </r>
    <r>
      <rPr>
        <sz val="10"/>
        <rFont val="Arial"/>
      </rPr>
      <t>vs</t>
    </r>
  </si>
  <si>
    <t>V_bar_vs</t>
  </si>
  <si>
    <r>
      <t>(1+d</t>
    </r>
    <r>
      <rPr>
        <sz val="10"/>
        <rFont val="Symbol"/>
        <family val="1"/>
      </rPr>
      <t>s/</t>
    </r>
    <r>
      <rPr>
        <sz val="10"/>
        <rFont val="Arial"/>
      </rPr>
      <t>d</t>
    </r>
    <r>
      <rPr>
        <sz val="10"/>
        <rFont val="Symbol"/>
        <family val="1"/>
      </rPr>
      <t>b</t>
    </r>
    <r>
      <rPr>
        <sz val="10"/>
        <rFont val="Arial"/>
      </rPr>
      <t>)q/q</t>
    </r>
  </si>
  <si>
    <t>Eq[11.42]</t>
  </si>
  <si>
    <t>v. tail effect</t>
  </si>
  <si>
    <t>Eq[11.40]</t>
  </si>
  <si>
    <t>fuse. effect</t>
  </si>
  <si>
    <t>Eq[11.44]</t>
  </si>
  <si>
    <t>Eq[11.43]</t>
  </si>
  <si>
    <r>
      <t>C_n_</t>
    </r>
    <r>
      <rPr>
        <b/>
        <sz val="10"/>
        <rFont val="Symbol"/>
        <family val="1"/>
      </rPr>
      <t>b</t>
    </r>
  </si>
  <si>
    <r>
      <t>C_</t>
    </r>
    <r>
      <rPr>
        <b/>
        <i/>
        <sz val="10"/>
        <rFont val="Bookman Old Style"/>
      </rPr>
      <t>L</t>
    </r>
    <r>
      <rPr>
        <b/>
        <sz val="10"/>
        <rFont val="Arial"/>
      </rPr>
      <t>_</t>
    </r>
    <r>
      <rPr>
        <b/>
        <sz val="10"/>
        <rFont val="Symbol"/>
        <family val="1"/>
      </rPr>
      <t>b</t>
    </r>
  </si>
  <si>
    <t>Rudder Sizing</t>
  </si>
  <si>
    <t>Input Parameters</t>
  </si>
  <si>
    <r>
      <t>d</t>
    </r>
    <r>
      <rPr>
        <sz val="10"/>
        <rFont val="Arial"/>
      </rPr>
      <t>_r</t>
    </r>
  </si>
  <si>
    <t>Asym. T</t>
  </si>
  <si>
    <r>
      <t>C_n_</t>
    </r>
    <r>
      <rPr>
        <sz val="10"/>
        <rFont val="Symbol"/>
        <family val="1"/>
      </rPr>
      <t>b</t>
    </r>
  </si>
  <si>
    <t>diam_e</t>
  </si>
  <si>
    <t>V_T-O</t>
  </si>
  <si>
    <t>rho_T-O</t>
  </si>
  <si>
    <t>1.2V_T-O</t>
  </si>
  <si>
    <t>0.2V_T-O</t>
  </si>
  <si>
    <t>D_e</t>
  </si>
  <si>
    <r>
      <t>C_n_</t>
    </r>
    <r>
      <rPr>
        <u/>
        <sz val="10"/>
        <rFont val="Symbol"/>
        <family val="1"/>
      </rPr>
      <t>d</t>
    </r>
    <r>
      <rPr>
        <u/>
        <sz val="10"/>
        <rFont val="Arial"/>
        <family val="2"/>
      </rPr>
      <t>R:</t>
    </r>
  </si>
  <si>
    <t>Asy. Power</t>
  </si>
  <si>
    <t>[rad]^-1</t>
  </si>
  <si>
    <t>Eq[11.47]</t>
  </si>
  <si>
    <t>Cross Wind</t>
  </si>
  <si>
    <t>Eq[11.50]</t>
  </si>
  <si>
    <r>
      <t>d</t>
    </r>
    <r>
      <rPr>
        <sz val="10"/>
        <rFont val="Symbol"/>
        <family val="1"/>
      </rPr>
      <t>a</t>
    </r>
    <r>
      <rPr>
        <sz val="10"/>
        <rFont val="Arial"/>
      </rPr>
      <t>_0L/d</t>
    </r>
    <r>
      <rPr>
        <sz val="10"/>
        <rFont val="Symbol"/>
        <family val="1"/>
      </rPr>
      <t>d</t>
    </r>
    <r>
      <rPr>
        <sz val="10"/>
        <rFont val="Arial"/>
      </rPr>
      <t>_r</t>
    </r>
  </si>
  <si>
    <t>Eq[11.51]</t>
  </si>
  <si>
    <t>C_R/C_VS</t>
  </si>
  <si>
    <t>Fig. 11.9</t>
  </si>
  <si>
    <t>NACA 23012</t>
  </si>
  <si>
    <t>0.1 - 0.4</t>
  </si>
  <si>
    <t>Descent</t>
  </si>
  <si>
    <t>NACA 0009</t>
  </si>
  <si>
    <t>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</si>
</sst>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E+00"/>
    <numFmt numFmtId="167" formatCode="0.0000"/>
    <numFmt numFmtId="168" formatCode="0.00000"/>
  </numFmts>
  <fonts count="31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i/>
      <sz val="10"/>
      <name val="Arial"/>
      <family val="2"/>
    </font>
    <font>
      <vertAlign val="superscript"/>
      <sz val="8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</font>
    <font>
      <sz val="10"/>
      <name val="Symbol"/>
      <family val="1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Symbol"/>
      <family val="1"/>
    </font>
    <font>
      <vertAlign val="subscript"/>
      <sz val="11"/>
      <name val="Arial"/>
      <family val="2"/>
    </font>
    <font>
      <i/>
      <sz val="10"/>
      <color indexed="8"/>
      <name val="Arial"/>
    </font>
    <font>
      <b/>
      <sz val="10"/>
      <color indexed="8"/>
      <name val="Symbol"/>
      <family val="1"/>
    </font>
    <font>
      <b/>
      <sz val="9.9499999999999993"/>
      <color indexed="8"/>
      <name val="Arial"/>
      <family val="2"/>
    </font>
    <font>
      <sz val="10"/>
      <color indexed="8"/>
      <name val="Symbol"/>
      <family val="1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b/>
      <i/>
      <sz val="10"/>
      <name val="Bookman Old Style"/>
    </font>
    <font>
      <u/>
      <sz val="10"/>
      <name val="Arial"/>
      <family val="2"/>
    </font>
    <font>
      <u/>
      <sz val="10"/>
      <name val="Symbol"/>
      <family val="1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3" fontId="0" fillId="0" borderId="0" xfId="0" applyNumberFormat="1"/>
    <xf numFmtId="0" fontId="3" fillId="0" borderId="0" xfId="0" applyFont="1"/>
    <xf numFmtId="4" fontId="0" fillId="0" borderId="0" xfId="0" applyNumberForma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4" fontId="5" fillId="0" borderId="0" xfId="0" applyNumberFormat="1" applyFont="1"/>
    <xf numFmtId="2" fontId="0" fillId="0" borderId="0" xfId="0" applyNumberFormat="1" applyBorder="1"/>
    <xf numFmtId="2" fontId="7" fillId="0" borderId="0" xfId="0" applyNumberFormat="1" applyFont="1" applyBorder="1"/>
    <xf numFmtId="2" fontId="6" fillId="0" borderId="0" xfId="0" applyNumberFormat="1" applyFont="1" applyBorder="1"/>
    <xf numFmtId="2" fontId="8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2" fontId="9" fillId="0" borderId="1" xfId="0" applyNumberFormat="1" applyFont="1" applyBorder="1"/>
    <xf numFmtId="0" fontId="0" fillId="0" borderId="2" xfId="0" applyBorder="1"/>
    <xf numFmtId="3" fontId="0" fillId="0" borderId="1" xfId="0" applyNumberFormat="1" applyBorder="1"/>
    <xf numFmtId="0" fontId="0" fillId="0" borderId="3" xfId="0" applyBorder="1"/>
    <xf numFmtId="1" fontId="3" fillId="0" borderId="1" xfId="0" applyNumberFormat="1" applyFont="1" applyBorder="1"/>
    <xf numFmtId="0" fontId="8" fillId="0" borderId="1" xfId="0" applyFont="1" applyBorder="1"/>
    <xf numFmtId="0" fontId="1" fillId="0" borderId="1" xfId="0" applyFont="1" applyBorder="1"/>
    <xf numFmtId="0" fontId="1" fillId="0" borderId="0" xfId="0" applyFont="1" applyBorder="1"/>
    <xf numFmtId="4" fontId="0" fillId="0" borderId="1" xfId="0" applyNumberFormat="1" applyBorder="1"/>
    <xf numFmtId="165" fontId="3" fillId="0" borderId="1" xfId="0" applyNumberFormat="1" applyFont="1" applyBorder="1"/>
    <xf numFmtId="0" fontId="13" fillId="0" borderId="2" xfId="0" applyFont="1" applyBorder="1"/>
    <xf numFmtId="0" fontId="0" fillId="0" borderId="1" xfId="0" applyBorder="1"/>
    <xf numFmtId="2" fontId="13" fillId="0" borderId="1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0" fontId="13" fillId="0" borderId="1" xfId="0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8" fillId="0" borderId="0" xfId="0" applyFont="1" applyBorder="1"/>
    <xf numFmtId="0" fontId="9" fillId="0" borderId="0" xfId="0" applyFont="1" applyBorder="1" applyAlignment="1">
      <alignment horizontal="right"/>
    </xf>
    <xf numFmtId="2" fontId="8" fillId="0" borderId="0" xfId="0" applyNumberFormat="1" applyFont="1" applyBorder="1"/>
    <xf numFmtId="4" fontId="14" fillId="0" borderId="0" xfId="0" applyNumberFormat="1" applyFont="1" applyBorder="1"/>
    <xf numFmtId="165" fontId="0" fillId="0" borderId="1" xfId="0" applyNumberFormat="1" applyBorder="1"/>
    <xf numFmtId="165" fontId="7" fillId="0" borderId="1" xfId="0" applyNumberFormat="1" applyFont="1" applyBorder="1"/>
    <xf numFmtId="164" fontId="7" fillId="0" borderId="1" xfId="0" applyNumberFormat="1" applyFont="1" applyBorder="1"/>
    <xf numFmtId="0" fontId="6" fillId="0" borderId="0" xfId="0" applyFont="1"/>
    <xf numFmtId="165" fontId="6" fillId="0" borderId="1" xfId="0" applyNumberFormat="1" applyFont="1" applyBorder="1"/>
    <xf numFmtId="164" fontId="0" fillId="0" borderId="1" xfId="0" applyNumberFormat="1" applyBorder="1"/>
    <xf numFmtId="11" fontId="0" fillId="0" borderId="1" xfId="0" applyNumberFormat="1" applyBorder="1"/>
    <xf numFmtId="11" fontId="0" fillId="0" borderId="0" xfId="0" applyNumberFormat="1"/>
    <xf numFmtId="2" fontId="6" fillId="0" borderId="1" xfId="0" applyNumberFormat="1" applyFont="1" applyBorder="1"/>
    <xf numFmtId="0" fontId="14" fillId="0" borderId="1" xfId="0" applyFont="1" applyBorder="1"/>
    <xf numFmtId="0" fontId="6" fillId="0" borderId="4" xfId="0" applyFont="1" applyBorder="1"/>
    <xf numFmtId="0" fontId="6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13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5" fillId="0" borderId="0" xfId="0" applyFont="1"/>
    <xf numFmtId="0" fontId="7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1" fontId="1" fillId="0" borderId="0" xfId="0" applyNumberFormat="1" applyFont="1"/>
    <xf numFmtId="1" fontId="3" fillId="0" borderId="0" xfId="0" applyNumberFormat="1" applyFont="1"/>
    <xf numFmtId="1" fontId="9" fillId="0" borderId="0" xfId="0" applyNumberFormat="1" applyFont="1"/>
    <xf numFmtId="2" fontId="0" fillId="0" borderId="0" xfId="0" applyNumberFormat="1" applyAlignment="1">
      <alignment horizontal="right"/>
    </xf>
    <xf numFmtId="0" fontId="9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/>
    <xf numFmtId="2" fontId="3" fillId="0" borderId="0" xfId="0" applyNumberFormat="1" applyFont="1" applyBorder="1"/>
    <xf numFmtId="2" fontId="16" fillId="0" borderId="0" xfId="0" applyNumberFormat="1" applyFont="1" applyBorder="1"/>
    <xf numFmtId="2" fontId="9" fillId="0" borderId="0" xfId="0" applyNumberFormat="1" applyFont="1" applyBorder="1"/>
    <xf numFmtId="165" fontId="9" fillId="0" borderId="1" xfId="0" applyNumberFormat="1" applyFont="1" applyBorder="1"/>
    <xf numFmtId="0" fontId="9" fillId="0" borderId="1" xfId="0" applyFont="1" applyBorder="1"/>
    <xf numFmtId="1" fontId="9" fillId="0" borderId="1" xfId="0" applyNumberFormat="1" applyFont="1" applyBorder="1"/>
    <xf numFmtId="1" fontId="0" fillId="0" borderId="1" xfId="0" applyNumberFormat="1" applyBorder="1"/>
    <xf numFmtId="164" fontId="7" fillId="0" borderId="0" xfId="0" applyNumberFormat="1" applyFont="1" applyBorder="1"/>
    <xf numFmtId="2" fontId="0" fillId="0" borderId="14" xfId="0" applyNumberFormat="1" applyBorder="1"/>
    <xf numFmtId="164" fontId="7" fillId="0" borderId="4" xfId="0" applyNumberFormat="1" applyFont="1" applyBorder="1"/>
    <xf numFmtId="0" fontId="0" fillId="0" borderId="15" xfId="0" applyBorder="1"/>
    <xf numFmtId="165" fontId="0" fillId="0" borderId="7" xfId="0" applyNumberFormat="1" applyBorder="1"/>
    <xf numFmtId="0" fontId="0" fillId="0" borderId="0" xfId="0" applyBorder="1"/>
    <xf numFmtId="165" fontId="8" fillId="0" borderId="1" xfId="0" applyNumberFormat="1" applyFont="1" applyBorder="1"/>
    <xf numFmtId="1" fontId="8" fillId="0" borderId="1" xfId="0" applyNumberFormat="1" applyFont="1" applyBorder="1"/>
    <xf numFmtId="0" fontId="9" fillId="0" borderId="0" xfId="0" applyFont="1" applyBorder="1"/>
    <xf numFmtId="2" fontId="0" fillId="0" borderId="3" xfId="0" applyNumberFormat="1" applyBorder="1"/>
    <xf numFmtId="0" fontId="7" fillId="0" borderId="1" xfId="0" applyFont="1" applyBorder="1"/>
    <xf numFmtId="0" fontId="3" fillId="0" borderId="1" xfId="0" applyFont="1" applyBorder="1"/>
    <xf numFmtId="165" fontId="0" fillId="0" borderId="0" xfId="0" applyNumberFormat="1" applyBorder="1"/>
    <xf numFmtId="0" fontId="7" fillId="0" borderId="0" xfId="0" applyFont="1" applyBorder="1"/>
    <xf numFmtId="0" fontId="13" fillId="0" borderId="0" xfId="0" applyFont="1" applyBorder="1"/>
    <xf numFmtId="0" fontId="17" fillId="0" borderId="0" xfId="0" applyFont="1" applyBorder="1"/>
    <xf numFmtId="0" fontId="1" fillId="0" borderId="2" xfId="0" applyFont="1" applyBorder="1"/>
    <xf numFmtId="0" fontId="6" fillId="0" borderId="3" xfId="0" applyFont="1" applyBorder="1"/>
    <xf numFmtId="0" fontId="6" fillId="0" borderId="0" xfId="0" applyFont="1" applyBorder="1"/>
    <xf numFmtId="0" fontId="13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0" borderId="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9" xfId="0" applyBorder="1"/>
    <xf numFmtId="0" fontId="20" fillId="0" borderId="0" xfId="0" applyFont="1"/>
    <xf numFmtId="167" fontId="5" fillId="0" borderId="0" xfId="0" applyNumberFormat="1" applyFont="1"/>
    <xf numFmtId="0" fontId="21" fillId="0" borderId="0" xfId="0" applyFont="1"/>
    <xf numFmtId="0" fontId="23" fillId="0" borderId="0" xfId="0" applyFont="1"/>
    <xf numFmtId="4" fontId="5" fillId="0" borderId="20" xfId="0" applyNumberFormat="1" applyFont="1" applyBorder="1"/>
    <xf numFmtId="0" fontId="24" fillId="0" borderId="0" xfId="0" applyFont="1"/>
    <xf numFmtId="0" fontId="4" fillId="0" borderId="20" xfId="0" applyFont="1" applyBorder="1"/>
    <xf numFmtId="0" fontId="25" fillId="0" borderId="0" xfId="0" applyFont="1"/>
    <xf numFmtId="1" fontId="5" fillId="0" borderId="0" xfId="0" applyNumberFormat="1" applyFont="1"/>
    <xf numFmtId="2" fontId="5" fillId="0" borderId="0" xfId="0" applyNumberFormat="1" applyFont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21" xfId="0" applyFont="1" applyBorder="1"/>
    <xf numFmtId="0" fontId="8" fillId="0" borderId="0" xfId="0" applyFont="1"/>
    <xf numFmtId="0" fontId="3" fillId="0" borderId="6" xfId="0" applyFont="1" applyBorder="1"/>
    <xf numFmtId="0" fontId="3" fillId="0" borderId="0" xfId="0" applyFont="1" applyBorder="1"/>
    <xf numFmtId="0" fontId="13" fillId="0" borderId="22" xfId="0" applyFont="1" applyBorder="1" applyAlignment="1">
      <alignment horizontal="center"/>
    </xf>
    <xf numFmtId="0" fontId="3" fillId="0" borderId="15" xfId="0" applyFont="1" applyBorder="1"/>
    <xf numFmtId="0" fontId="0" fillId="0" borderId="23" xfId="0" applyBorder="1"/>
    <xf numFmtId="0" fontId="13" fillId="0" borderId="0" xfId="0" applyFont="1" applyBorder="1" applyAlignment="1">
      <alignment horizontal="center"/>
    </xf>
    <xf numFmtId="0" fontId="0" fillId="0" borderId="24" xfId="0" applyBorder="1"/>
    <xf numFmtId="0" fontId="27" fillId="0" borderId="0" xfId="0" applyFont="1"/>
    <xf numFmtId="3" fontId="3" fillId="0" borderId="6" xfId="0" applyNumberFormat="1" applyFont="1" applyBorder="1"/>
    <xf numFmtId="4" fontId="3" fillId="0" borderId="6" xfId="0" applyNumberFormat="1" applyFont="1" applyBorder="1"/>
    <xf numFmtId="4" fontId="3" fillId="0" borderId="0" xfId="0" applyNumberFormat="1" applyFont="1" applyBorder="1"/>
    <xf numFmtId="167" fontId="0" fillId="0" borderId="1" xfId="0" applyNumberFormat="1" applyBorder="1"/>
    <xf numFmtId="2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2" fontId="1" fillId="0" borderId="0" xfId="0" applyNumberFormat="1" applyFont="1"/>
    <xf numFmtId="0" fontId="29" fillId="0" borderId="0" xfId="0" applyFont="1"/>
    <xf numFmtId="168" fontId="6" fillId="0" borderId="1" xfId="0" applyNumberFormat="1" applyFont="1" applyBorder="1"/>
    <xf numFmtId="168" fontId="7" fillId="0" borderId="0" xfId="0" applyNumberFormat="1" applyFont="1"/>
    <xf numFmtId="0" fontId="30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86256662014358"/>
          <c:y val="0.1258276111282674"/>
          <c:w val="0.45812890527988126"/>
          <c:h val="0.549667985455062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IterTow!$C$23:$I$23</c:f>
              <c:numCache>
                <c:formatCode>#,##0.00</c:formatCode>
                <c:ptCount val="7"/>
                <c:pt idx="0">
                  <c:v>3</c:v>
                </c:pt>
                <c:pt idx="1">
                  <c:v>3.3526880000000006</c:v>
                </c:pt>
                <c:pt idx="2">
                  <c:v>3.6422972697339673</c:v>
                </c:pt>
                <c:pt idx="3">
                  <c:v>3.6422972697339673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85408"/>
        <c:axId val="203385016"/>
      </c:barChart>
      <c:catAx>
        <c:axId val="2033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 No.</a:t>
                </a:r>
              </a:p>
            </c:rich>
          </c:tx>
          <c:layout>
            <c:manualLayout>
              <c:xMode val="edge"/>
              <c:yMode val="edge"/>
              <c:x val="0.37931094056280945"/>
              <c:y val="0.79470110628694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5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338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T-O Weight</a:t>
                </a:r>
              </a:p>
            </c:rich>
          </c:tx>
          <c:layout>
            <c:manualLayout>
              <c:xMode val="edge"/>
              <c:yMode val="edge"/>
              <c:x val="8.8670055483570875E-2"/>
              <c:y val="0.245032501778399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949677176428898"/>
          <c:y val="0.37383275688669759"/>
          <c:w val="0.21941016866562568"/>
          <c:h val="7.4766355140186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4976158178469"/>
          <c:y val="9.4202815221977584E-2"/>
          <c:w val="0.77499881744565213"/>
          <c:h val="0.5797096321352467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Flaps!$F$89:$F$92</c:f>
              <c:numCache>
                <c:formatCode>General</c:formatCode>
                <c:ptCount val="4"/>
                <c:pt idx="0">
                  <c:v>-1.5</c:v>
                </c:pt>
                <c:pt idx="1">
                  <c:v>14.835121925553889</c:v>
                </c:pt>
                <c:pt idx="2">
                  <c:v>31.418902406942358</c:v>
                </c:pt>
                <c:pt idx="3">
                  <c:v>48.002682888330824</c:v>
                </c:pt>
              </c:numCache>
            </c:numRef>
          </c:xVal>
          <c:yVal>
            <c:numRef>
              <c:f>Flaps!$G$89:$G$92</c:f>
              <c:numCache>
                <c:formatCode>General</c:formatCode>
                <c:ptCount val="4"/>
                <c:pt idx="0">
                  <c:v>0</c:v>
                </c:pt>
                <c:pt idx="1">
                  <c:v>1.3520000000000003</c:v>
                </c:pt>
                <c:pt idx="2">
                  <c:v>1.6900000000000002</c:v>
                </c:pt>
                <c:pt idx="3">
                  <c:v>1.3520000000000003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30368"/>
        <c:axId val="240230760"/>
      </c:scatterChart>
      <c:valAx>
        <c:axId val="240230368"/>
        <c:scaling>
          <c:orientation val="minMax"/>
          <c:max val="50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874956138504081"/>
              <c:y val="0.80434699508715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30760"/>
        <c:crosses val="autoZero"/>
        <c:crossBetween val="midCat"/>
        <c:majorUnit val="20"/>
        <c:minorUnit val="10"/>
      </c:valAx>
      <c:valAx>
        <c:axId val="240230760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2.4999789464819573E-2"/>
              <c:y val="0.25362298943401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30368"/>
        <c:crosses val="autoZero"/>
        <c:crossBetween val="midCat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4976158178469"/>
          <c:y val="9.4202815221977584E-2"/>
          <c:w val="0.77499881744565213"/>
          <c:h val="0.5797096321352467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Flaps!$B$89:$B$92</c:f>
              <c:numCache>
                <c:formatCode>General</c:formatCode>
                <c:ptCount val="4"/>
                <c:pt idx="0">
                  <c:v>-1.5</c:v>
                </c:pt>
                <c:pt idx="1">
                  <c:v>8.9</c:v>
                </c:pt>
                <c:pt idx="2">
                  <c:v>15</c:v>
                </c:pt>
                <c:pt idx="3">
                  <c:v>21.1</c:v>
                </c:pt>
              </c:numCache>
            </c:numRef>
          </c:xVal>
          <c:yVal>
            <c:numRef>
              <c:f>Flaps!$C$89:$C$92</c:f>
              <c:numCache>
                <c:formatCode>General</c:formatCode>
                <c:ptCount val="4"/>
                <c:pt idx="0">
                  <c:v>0</c:v>
                </c:pt>
                <c:pt idx="1">
                  <c:v>1.04</c:v>
                </c:pt>
                <c:pt idx="2">
                  <c:v>1.3</c:v>
                </c:pt>
                <c:pt idx="3">
                  <c:v>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8624"/>
        <c:axId val="203789016"/>
      </c:scatterChart>
      <c:valAx>
        <c:axId val="203788624"/>
        <c:scaling>
          <c:orientation val="minMax"/>
          <c:max val="50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874956138504081"/>
              <c:y val="0.80434699508715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9016"/>
        <c:crosses val="autoZero"/>
        <c:crossBetween val="midCat"/>
        <c:majorUnit val="20"/>
        <c:minorUnit val="10"/>
      </c:valAx>
      <c:valAx>
        <c:axId val="203789016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2.4999789464819573E-2"/>
              <c:y val="0.25362298943401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8624"/>
        <c:crosses val="autoZero"/>
        <c:crossBetween val="midCat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4976158178469"/>
          <c:y val="9.4202815221977584E-2"/>
          <c:w val="0.77499881744565213"/>
          <c:h val="0.5797096321352467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Flaps!$D$89:$D$92</c:f>
              <c:numCache>
                <c:formatCode>General</c:formatCode>
                <c:ptCount val="4"/>
                <c:pt idx="0">
                  <c:v>-17.5</c:v>
                </c:pt>
                <c:pt idx="1">
                  <c:v>6.5000000000000036</c:v>
                </c:pt>
                <c:pt idx="2">
                  <c:v>12.5</c:v>
                </c:pt>
                <c:pt idx="3">
                  <c:v>18.499999999999996</c:v>
                </c:pt>
              </c:numCache>
            </c:numRef>
          </c:xVal>
          <c:yVal>
            <c:numRef>
              <c:f>Flaps!$E$89:$E$92</c:f>
              <c:numCache>
                <c:formatCode>General</c:formatCode>
                <c:ptCount val="4"/>
                <c:pt idx="0">
                  <c:v>0</c:v>
                </c:pt>
                <c:pt idx="1">
                  <c:v>2.4000000000000004</c:v>
                </c:pt>
                <c:pt idx="2">
                  <c:v>3</c:v>
                </c:pt>
                <c:pt idx="3">
                  <c:v>2.4000000000000004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9800"/>
        <c:axId val="203790192"/>
      </c:scatterChart>
      <c:valAx>
        <c:axId val="203789800"/>
        <c:scaling>
          <c:orientation val="minMax"/>
          <c:max val="50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874956138504081"/>
              <c:y val="0.80434699508715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90192"/>
        <c:crosses val="autoZero"/>
        <c:crossBetween val="midCat"/>
        <c:majorUnit val="20"/>
      </c:valAx>
      <c:valAx>
        <c:axId val="20379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2.4999789464819573E-2"/>
              <c:y val="0.25362298943401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9800"/>
        <c:crosses val="autoZero"/>
        <c:crossBetween val="midCat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325258902132"/>
          <c:y val="0.10480354931616601"/>
          <c:w val="0.5600008413474179"/>
          <c:h val="0.7947602489809255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(RefWT!$A$141:$A$147,RefWT!$A$149)</c:f>
              <c:strCache>
                <c:ptCount val="8"/>
                <c:pt idx="0">
                  <c:v>Wing</c:v>
                </c:pt>
                <c:pt idx="1">
                  <c:v>Horiz. Tail</c:v>
                </c:pt>
                <c:pt idx="2">
                  <c:v>Vert. Tail</c:v>
                </c:pt>
                <c:pt idx="3">
                  <c:v>Fuselage</c:v>
                </c:pt>
                <c:pt idx="4">
                  <c:v>Main Gear</c:v>
                </c:pt>
                <c:pt idx="5">
                  <c:v>Nose Gear</c:v>
                </c:pt>
                <c:pt idx="6">
                  <c:v>Ins. Eng.</c:v>
                </c:pt>
                <c:pt idx="7">
                  <c:v>Other</c:v>
                </c:pt>
              </c:strCache>
            </c:strRef>
          </c:cat>
          <c:val>
            <c:numRef>
              <c:f>(RefWT!$C$141:$C$147,RefWT!$C$149)</c:f>
              <c:numCache>
                <c:formatCode>General</c:formatCode>
                <c:ptCount val="8"/>
                <c:pt idx="0">
                  <c:v>42.35273817455144</c:v>
                </c:pt>
                <c:pt idx="1">
                  <c:v>2.449195021766398</c:v>
                </c:pt>
                <c:pt idx="2">
                  <c:v>7.3277465971445945</c:v>
                </c:pt>
                <c:pt idx="3">
                  <c:v>151.00360000000001</c:v>
                </c:pt>
                <c:pt idx="4">
                  <c:v>3.4318999999999993</c:v>
                </c:pt>
                <c:pt idx="5">
                  <c:v>6.8637999999999986</c:v>
                </c:pt>
                <c:pt idx="6">
                  <c:v>43.880273399999993</c:v>
                </c:pt>
                <c:pt idx="7">
                  <c:v>-157.30925319346238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17261199869802"/>
          <c:y val="0.28703800913774669"/>
          <c:w val="0.22427468334268241"/>
          <c:h val="0.43210006156637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Wing Plan View</a:t>
            </a:r>
          </a:p>
        </c:rich>
      </c:tx>
      <c:layout>
        <c:manualLayout>
          <c:xMode val="edge"/>
          <c:yMode val="edge"/>
          <c:x val="0.35447728778311655"/>
          <c:y val="4.8951190518225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07441271935059"/>
          <c:y val="0.16083916083916083"/>
          <c:w val="0.5522383028962522"/>
          <c:h val="0.6923076923076922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Wing!$A$39:$A$43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0.78875835685394613</c:v>
                </c:pt>
                <c:pt idx="2" formatCode="General">
                  <c:v>0.78875835685394613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Wing!$B$39:$B$43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2.7606542489888115</c:v>
                </c:pt>
                <c:pt idx="3">
                  <c:v>2.7606542489888115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4232"/>
        <c:axId val="203383840"/>
      </c:scatterChart>
      <c:valAx>
        <c:axId val="203384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962679345592983"/>
              <c:y val="0.88111907536221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3840"/>
        <c:crosses val="autoZero"/>
        <c:crossBetween val="midCat"/>
      </c:valAx>
      <c:valAx>
        <c:axId val="203383840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10820893394715436"/>
              <c:y val="0.47552464013747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4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Lift versus alpha</a:t>
            </a:r>
          </a:p>
        </c:rich>
      </c:tx>
      <c:layout>
        <c:manualLayout>
          <c:xMode val="edge"/>
          <c:yMode val="edge"/>
          <c:x val="0.34328327169966377"/>
          <c:y val="4.6357374342291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64117919814456E-2"/>
          <c:y val="0.23841021055882244"/>
          <c:w val="0.64179046012267149"/>
          <c:h val="0.5695355030016313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Wing!$A$47:$A$48</c:f>
              <c:numCache>
                <c:formatCode>General</c:formatCode>
                <c:ptCount val="2"/>
                <c:pt idx="0">
                  <c:v>-1.5</c:v>
                </c:pt>
                <c:pt idx="1">
                  <c:v>11.5</c:v>
                </c:pt>
              </c:numCache>
            </c:numRef>
          </c:xVal>
          <c:yVal>
            <c:numRef>
              <c:f>Wing!$B$47:$B$48</c:f>
              <c:numCache>
                <c:formatCode>General</c:formatCode>
                <c:ptCount val="2"/>
                <c:pt idx="0">
                  <c:v>0</c:v>
                </c:pt>
                <c:pt idx="1">
                  <c:v>1.3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Wing!$A$47:$A$48</c:f>
              <c:numCache>
                <c:formatCode>General</c:formatCode>
                <c:ptCount val="2"/>
                <c:pt idx="0">
                  <c:v>-1.5</c:v>
                </c:pt>
                <c:pt idx="1">
                  <c:v>11.5</c:v>
                </c:pt>
              </c:numCache>
            </c:numRef>
          </c:xVal>
          <c:yVal>
            <c:numRef>
              <c:f>Wing!$D$47:$D$48</c:f>
              <c:numCache>
                <c:formatCode>General</c:formatCode>
                <c:ptCount val="2"/>
                <c:pt idx="0">
                  <c:v>0</c:v>
                </c:pt>
                <c:pt idx="1">
                  <c:v>1.0759638085409662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3056"/>
        <c:axId val="203382664"/>
      </c:scatterChart>
      <c:valAx>
        <c:axId val="203383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2664"/>
        <c:crosses val="autoZero"/>
        <c:crossBetween val="midCat"/>
      </c:valAx>
      <c:valAx>
        <c:axId val="2033826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02017559306676"/>
          <c:y val="0.50704471800179907"/>
          <c:w val="0.23961694883986151"/>
          <c:h val="0.140845563318669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4416752273768"/>
          <c:y val="0.14035027604905065"/>
          <c:w val="0.69406354007053317"/>
          <c:h val="0.4649102894124802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Fuse!$B$22:$B$32</c:f>
              <c:numCache>
                <c:formatCode>0.00</c:formatCode>
                <c:ptCount val="11"/>
                <c:pt idx="0">
                  <c:v>0</c:v>
                </c:pt>
                <c:pt idx="1">
                  <c:v>0.29970000000000002</c:v>
                </c:pt>
                <c:pt idx="2">
                  <c:v>0.59940000000000004</c:v>
                </c:pt>
                <c:pt idx="3">
                  <c:v>0.89910000000000012</c:v>
                </c:pt>
                <c:pt idx="4">
                  <c:v>1.1988000000000001</c:v>
                </c:pt>
                <c:pt idx="5">
                  <c:v>1.4985000000000002</c:v>
                </c:pt>
                <c:pt idx="6">
                  <c:v>1.7982000000000002</c:v>
                </c:pt>
                <c:pt idx="7">
                  <c:v>2.0979000000000001</c:v>
                </c:pt>
                <c:pt idx="8">
                  <c:v>2.3976000000000002</c:v>
                </c:pt>
                <c:pt idx="9">
                  <c:v>2.6973000000000003</c:v>
                </c:pt>
                <c:pt idx="10">
                  <c:v>2.9970000000000003</c:v>
                </c:pt>
              </c:numCache>
            </c:numRef>
          </c:xVal>
          <c:yVal>
            <c:numRef>
              <c:f>Fuse!$E$22:$E$32</c:f>
              <c:numCache>
                <c:formatCode>0.0</c:formatCode>
                <c:ptCount val="11"/>
                <c:pt idx="0">
                  <c:v>0</c:v>
                </c:pt>
                <c:pt idx="1">
                  <c:v>1.0461503536454011</c:v>
                </c:pt>
                <c:pt idx="2">
                  <c:v>1.0461503536454011</c:v>
                </c:pt>
                <c:pt idx="3">
                  <c:v>0.15707963267948966</c:v>
                </c:pt>
                <c:pt idx="4">
                  <c:v>0.15707963267948966</c:v>
                </c:pt>
                <c:pt idx="5">
                  <c:v>0.15707963267948966</c:v>
                </c:pt>
                <c:pt idx="6">
                  <c:v>0.15707963267948966</c:v>
                </c:pt>
                <c:pt idx="7">
                  <c:v>0.15707963267948966</c:v>
                </c:pt>
                <c:pt idx="8">
                  <c:v>0.15707963267948966</c:v>
                </c:pt>
                <c:pt idx="9">
                  <c:v>0.15707963267948966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1880"/>
        <c:axId val="203381488"/>
      </c:scatterChart>
      <c:valAx>
        <c:axId val="20338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251107283464573"/>
              <c:y val="0.763154142769190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1488"/>
        <c:crosses val="autoZero"/>
        <c:crossBetween val="midCat"/>
      </c:valAx>
      <c:valAx>
        <c:axId val="20338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6.8493274278215222E-2"/>
              <c:y val="0.32455980039532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1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33320087865137"/>
          <c:y val="0.20560747663551401"/>
          <c:w val="0.67187457283365071"/>
          <c:h val="0.4953271028037383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Tail!$A$77:$A$81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0.3634781478881442</c:v>
                </c:pt>
                <c:pt idx="2" formatCode="General">
                  <c:v>0.3634781478881442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Tail!$B$77:$B$81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0.0">
                  <c:v>0.90869536972036047</c:v>
                </c:pt>
                <c:pt idx="3" formatCode="0.0">
                  <c:v>0.90869536972036047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0704"/>
        <c:axId val="203380312"/>
      </c:scatterChart>
      <c:valAx>
        <c:axId val="203380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0312"/>
        <c:crosses val="autoZero"/>
        <c:crossBetween val="midCat"/>
      </c:valAx>
      <c:valAx>
        <c:axId val="2033803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7801890464803"/>
          <c:y val="0.14728668233076481"/>
          <c:w val="0.71666763870936245"/>
          <c:h val="0.6279063825679973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Tail!$A$33:$A$37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0.49660569145493266</c:v>
                </c:pt>
                <c:pt idx="2" formatCode="General">
                  <c:v>0.49660569145493266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Tail!$B$33:$B$37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0.0">
                  <c:v>0.74490853718239902</c:v>
                </c:pt>
                <c:pt idx="3" formatCode="0.0">
                  <c:v>0.74490853718239902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25272"/>
        <c:axId val="240224880"/>
      </c:scatterChart>
      <c:valAx>
        <c:axId val="240225272"/>
        <c:scaling>
          <c:orientation val="minMax"/>
          <c:max val="1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24880"/>
        <c:crosses val="autoZero"/>
        <c:crossBetween val="midCat"/>
      </c:valAx>
      <c:valAx>
        <c:axId val="24022488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25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Take-off Breakdown</a:t>
            </a:r>
          </a:p>
        </c:rich>
      </c:tx>
      <c:layout>
        <c:manualLayout>
          <c:xMode val="edge"/>
          <c:yMode val="edge"/>
          <c:x val="0.23958331875182268"/>
          <c:y val="4.3209859637110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291646136190966"/>
          <c:y val="0.3456795332988723"/>
          <c:w val="0.35416644149370735"/>
          <c:h val="0.4197537190057734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TO_L!$E$18:$E$21</c:f>
              <c:numCache>
                <c:formatCode>General</c:formatCode>
                <c:ptCount val="4"/>
                <c:pt idx="0">
                  <c:v>0</c:v>
                </c:pt>
                <c:pt idx="1">
                  <c:v>67.556669935504999</c:v>
                </c:pt>
                <c:pt idx="2">
                  <c:v>5.494733386238428</c:v>
                </c:pt>
                <c:pt idx="3">
                  <c:v>188.06604552371107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TO_L!$E$19</c:f>
              <c:numCache>
                <c:formatCode>General</c:formatCode>
                <c:ptCount val="1"/>
                <c:pt idx="0">
                  <c:v>67.556669935504999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TO_L!$E$20</c:f>
              <c:numCache>
                <c:formatCode>General</c:formatCode>
                <c:ptCount val="1"/>
                <c:pt idx="0">
                  <c:v>5.494733386238428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TO_L!$E$21</c:f>
              <c:numCache>
                <c:formatCode>General</c:formatCode>
                <c:ptCount val="1"/>
                <c:pt idx="0">
                  <c:v>188.06604552371107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Landing Breakdown</a:t>
            </a:r>
          </a:p>
        </c:rich>
      </c:tx>
      <c:layout>
        <c:manualLayout>
          <c:xMode val="edge"/>
          <c:yMode val="edge"/>
          <c:x val="0.23958333333333334"/>
          <c:y val="4.32096642941466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729147129601081"/>
          <c:y val="0.32716098687214695"/>
          <c:w val="0.38541642162550505"/>
          <c:h val="0.456790811859224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TO_L!$E$37:$E$40</c:f>
              <c:numCache>
                <c:formatCode>General</c:formatCode>
                <c:ptCount val="4"/>
                <c:pt idx="0">
                  <c:v>951.89645124251922</c:v>
                </c:pt>
                <c:pt idx="1">
                  <c:v>4.3255946277635058</c:v>
                </c:pt>
                <c:pt idx="2">
                  <c:v>63.072744644590657</c:v>
                </c:pt>
                <c:pt idx="3">
                  <c:v>-13.042090515398392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9977111851331"/>
          <c:y val="9.4202815221977584E-2"/>
          <c:w val="0.78124880790892348"/>
          <c:h val="0.5869560025369372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Flaps!$H$89:$H$92</c:f>
              <c:numCache>
                <c:formatCode>General</c:formatCode>
                <c:ptCount val="4"/>
                <c:pt idx="0">
                  <c:v>-17.5</c:v>
                </c:pt>
                <c:pt idx="1">
                  <c:v>7.9054641829146952</c:v>
                </c:pt>
                <c:pt idx="2">
                  <c:v>28.918902406942358</c:v>
                </c:pt>
                <c:pt idx="3">
                  <c:v>49.932340630970018</c:v>
                </c:pt>
              </c:numCache>
            </c:numRef>
          </c:xVal>
          <c:yVal>
            <c:numRef>
              <c:f>Flaps!$I$89:$I$92</c:f>
              <c:numCache>
                <c:formatCode>General</c:formatCode>
                <c:ptCount val="4"/>
                <c:pt idx="0">
                  <c:v>0</c:v>
                </c:pt>
                <c:pt idx="1">
                  <c:v>2.1027200000000001</c:v>
                </c:pt>
                <c:pt idx="2">
                  <c:v>2.6284000000000001</c:v>
                </c:pt>
                <c:pt idx="3">
                  <c:v>2.1027200000000001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23704"/>
        <c:axId val="240223312"/>
      </c:scatterChart>
      <c:valAx>
        <c:axId val="24022370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24997543756228"/>
              <c:y val="0.81159378154653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23312"/>
        <c:crosses val="autoZero"/>
        <c:crossBetween val="midCat"/>
        <c:majorUnit val="20"/>
      </c:valAx>
      <c:valAx>
        <c:axId val="240223312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2.4999789464819573E-2"/>
              <c:y val="0.25362298943401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23704"/>
        <c:crosses val="autoZero"/>
        <c:crossBetween val="midCat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5</xdr:row>
      <xdr:rowOff>104775</xdr:rowOff>
    </xdr:from>
    <xdr:to>
      <xdr:col>5</xdr:col>
      <xdr:colOff>666750</xdr:colOff>
      <xdr:row>18</xdr:row>
      <xdr:rowOff>38100</xdr:rowOff>
    </xdr:to>
    <xdr:graphicFrame macro="">
      <xdr:nvGraphicFramePr>
        <xdr:cNvPr id="10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19</xdr:row>
      <xdr:rowOff>38100</xdr:rowOff>
    </xdr:from>
    <xdr:to>
      <xdr:col>14</xdr:col>
      <xdr:colOff>76200</xdr:colOff>
      <xdr:row>30</xdr:row>
      <xdr:rowOff>152400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33</xdr:row>
      <xdr:rowOff>28575</xdr:rowOff>
    </xdr:from>
    <xdr:to>
      <xdr:col>14</xdr:col>
      <xdr:colOff>66675</xdr:colOff>
      <xdr:row>45</xdr:row>
      <xdr:rowOff>104775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8</xdr:col>
      <xdr:colOff>76200</xdr:colOff>
      <xdr:row>45</xdr:row>
      <xdr:rowOff>85725</xdr:rowOff>
    </xdr:to>
    <xdr:graphicFrame macro="">
      <xdr:nvGraphicFramePr>
        <xdr:cNvPr id="31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71</xdr:row>
      <xdr:rowOff>57150</xdr:rowOff>
    </xdr:from>
    <xdr:to>
      <xdr:col>7</xdr:col>
      <xdr:colOff>371475</xdr:colOff>
      <xdr:row>84</xdr:row>
      <xdr:rowOff>0</xdr:rowOff>
    </xdr:to>
    <xdr:graphicFrame macro="">
      <xdr:nvGraphicFramePr>
        <xdr:cNvPr id="41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28575</xdr:rowOff>
    </xdr:from>
    <xdr:to>
      <xdr:col>7</xdr:col>
      <xdr:colOff>238125</xdr:colOff>
      <xdr:row>41</xdr:row>
      <xdr:rowOff>152400</xdr:rowOff>
    </xdr:to>
    <xdr:graphicFrame macro="">
      <xdr:nvGraphicFramePr>
        <xdr:cNvPr id="41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9</xdr:row>
      <xdr:rowOff>66675</xdr:rowOff>
    </xdr:from>
    <xdr:to>
      <xdr:col>12</xdr:col>
      <xdr:colOff>0</xdr:colOff>
      <xdr:row>22</xdr:row>
      <xdr:rowOff>152400</xdr:rowOff>
    </xdr:to>
    <xdr:graphicFrame macro="">
      <xdr:nvGraphicFramePr>
        <xdr:cNvPr id="51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29</xdr:row>
      <xdr:rowOff>85725</xdr:rowOff>
    </xdr:from>
    <xdr:to>
      <xdr:col>12</xdr:col>
      <xdr:colOff>9525</xdr:colOff>
      <xdr:row>43</xdr:row>
      <xdr:rowOff>0</xdr:rowOff>
    </xdr:to>
    <xdr:graphicFrame macro="">
      <xdr:nvGraphicFramePr>
        <xdr:cNvPr id="52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115</xdr:row>
      <xdr:rowOff>85725</xdr:rowOff>
    </xdr:from>
    <xdr:to>
      <xdr:col>8</xdr:col>
      <xdr:colOff>9525</xdr:colOff>
      <xdr:row>127</xdr:row>
      <xdr:rowOff>0</xdr:rowOff>
    </xdr:to>
    <xdr:graphicFrame macro="">
      <xdr:nvGraphicFramePr>
        <xdr:cNvPr id="63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115</xdr:row>
      <xdr:rowOff>85725</xdr:rowOff>
    </xdr:from>
    <xdr:to>
      <xdr:col>4</xdr:col>
      <xdr:colOff>9525</xdr:colOff>
      <xdr:row>127</xdr:row>
      <xdr:rowOff>0</xdr:rowOff>
    </xdr:to>
    <xdr:graphicFrame macro="">
      <xdr:nvGraphicFramePr>
        <xdr:cNvPr id="63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100</xdr:row>
      <xdr:rowOff>85725</xdr:rowOff>
    </xdr:from>
    <xdr:to>
      <xdr:col>4</xdr:col>
      <xdr:colOff>9525</xdr:colOff>
      <xdr:row>112</xdr:row>
      <xdr:rowOff>0</xdr:rowOff>
    </xdr:to>
    <xdr:graphicFrame macro="">
      <xdr:nvGraphicFramePr>
        <xdr:cNvPr id="63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100</xdr:row>
      <xdr:rowOff>85725</xdr:rowOff>
    </xdr:from>
    <xdr:to>
      <xdr:col>8</xdr:col>
      <xdr:colOff>9525</xdr:colOff>
      <xdr:row>112</xdr:row>
      <xdr:rowOff>0</xdr:rowOff>
    </xdr:to>
    <xdr:graphicFrame macro="">
      <xdr:nvGraphicFramePr>
        <xdr:cNvPr id="63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135</xdr:row>
      <xdr:rowOff>28575</xdr:rowOff>
    </xdr:from>
    <xdr:to>
      <xdr:col>8</xdr:col>
      <xdr:colOff>666750</xdr:colOff>
      <xdr:row>154</xdr:row>
      <xdr:rowOff>38100</xdr:rowOff>
    </xdr:to>
    <xdr:graphicFrame macro="">
      <xdr:nvGraphicFramePr>
        <xdr:cNvPr id="720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1%20for%20corke_excel.zip/corke_excel/ITERTO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14%20for%20corke_excel.zip/corke_excel/W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3%20for%20corke_excel.zip/corke_excel/REFW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17%20for%20corke_excel.zip/corke_excel/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4">
          <cell r="B4">
            <v>519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zoomScale="125" zoomScaleNormal="125" workbookViewId="0">
      <selection activeCell="F40" sqref="F40"/>
    </sheetView>
  </sheetViews>
  <sheetFormatPr defaultColWidth="8.85546875" defaultRowHeight="12.75" x14ac:dyDescent="0.2"/>
  <cols>
    <col min="1" max="1" width="18.28515625" customWidth="1"/>
    <col min="2" max="2" width="12.85546875" customWidth="1"/>
  </cols>
  <sheetData>
    <row r="1" spans="1:2" x14ac:dyDescent="0.2">
      <c r="B1" s="63" t="s">
        <v>204</v>
      </c>
    </row>
    <row r="3" spans="1:2" x14ac:dyDescent="0.2">
      <c r="A3" t="s">
        <v>0</v>
      </c>
      <c r="B3">
        <v>0.04</v>
      </c>
    </row>
    <row r="4" spans="1:2" x14ac:dyDescent="0.2">
      <c r="A4" t="s">
        <v>1</v>
      </c>
      <c r="B4">
        <v>0.04</v>
      </c>
    </row>
    <row r="5" spans="1:2" x14ac:dyDescent="0.2">
      <c r="A5" t="s">
        <v>2</v>
      </c>
      <c r="B5" s="1">
        <v>1000</v>
      </c>
    </row>
    <row r="6" spans="1:2" x14ac:dyDescent="0.2">
      <c r="A6" t="s">
        <v>3</v>
      </c>
      <c r="B6" s="1">
        <v>0.5</v>
      </c>
    </row>
    <row r="7" spans="1:2" x14ac:dyDescent="0.2">
      <c r="A7" t="s">
        <v>4</v>
      </c>
      <c r="B7">
        <v>0</v>
      </c>
    </row>
    <row r="8" spans="1:2" x14ac:dyDescent="0.2">
      <c r="A8" t="s">
        <v>5</v>
      </c>
      <c r="B8">
        <v>0</v>
      </c>
    </row>
    <row r="9" spans="1:2" x14ac:dyDescent="0.2">
      <c r="A9" t="s">
        <v>6</v>
      </c>
      <c r="B9" s="1">
        <v>3</v>
      </c>
    </row>
    <row r="10" spans="1:2" x14ac:dyDescent="0.2">
      <c r="A10" t="s">
        <v>7</v>
      </c>
      <c r="B10">
        <v>7</v>
      </c>
    </row>
    <row r="11" spans="1:2" x14ac:dyDescent="0.2">
      <c r="A11" t="s">
        <v>8</v>
      </c>
      <c r="B11">
        <v>0</v>
      </c>
    </row>
    <row r="12" spans="1:2" x14ac:dyDescent="0.2">
      <c r="A12" t="s">
        <v>9</v>
      </c>
      <c r="B12" s="1">
        <v>0</v>
      </c>
    </row>
    <row r="13" spans="1:2" x14ac:dyDescent="0.2">
      <c r="A13" t="s">
        <v>10</v>
      </c>
      <c r="B13">
        <v>0</v>
      </c>
    </row>
    <row r="14" spans="1:2" x14ac:dyDescent="0.2">
      <c r="A14" t="s">
        <v>11</v>
      </c>
      <c r="B14">
        <v>0</v>
      </c>
    </row>
    <row r="15" spans="1:2" x14ac:dyDescent="0.2">
      <c r="A15" t="s">
        <v>12</v>
      </c>
      <c r="B15">
        <v>0</v>
      </c>
    </row>
    <row r="16" spans="1:2" x14ac:dyDescent="0.2">
      <c r="A16" t="s">
        <v>13</v>
      </c>
      <c r="B16">
        <v>0</v>
      </c>
    </row>
    <row r="17" spans="1:9" x14ac:dyDescent="0.2">
      <c r="A17" t="s">
        <v>14</v>
      </c>
      <c r="B17">
        <v>0.4</v>
      </c>
    </row>
    <row r="19" spans="1:9" x14ac:dyDescent="0.2">
      <c r="A19" t="s">
        <v>15</v>
      </c>
      <c r="B19">
        <v>0</v>
      </c>
    </row>
    <row r="20" spans="1:9" x14ac:dyDescent="0.2">
      <c r="A20" t="s">
        <v>16</v>
      </c>
      <c r="B20">
        <v>2</v>
      </c>
    </row>
    <row r="21" spans="1:9" x14ac:dyDescent="0.2">
      <c r="B21" s="1"/>
    </row>
    <row r="22" spans="1:9" x14ac:dyDescent="0.2">
      <c r="C22" s="2" t="s">
        <v>17</v>
      </c>
      <c r="D22" s="2" t="s">
        <v>18</v>
      </c>
      <c r="E22" s="2" t="s">
        <v>19</v>
      </c>
      <c r="F22" s="2" t="s">
        <v>20</v>
      </c>
      <c r="G22" s="2" t="s">
        <v>21</v>
      </c>
      <c r="H22" s="2" t="s">
        <v>22</v>
      </c>
      <c r="I22" s="2" t="s">
        <v>23</v>
      </c>
    </row>
    <row r="23" spans="1:9" x14ac:dyDescent="0.2">
      <c r="A23" t="s">
        <v>24</v>
      </c>
      <c r="B23" s="1">
        <v>3</v>
      </c>
      <c r="C23" s="3">
        <f>B23</f>
        <v>3</v>
      </c>
      <c r="D23" s="3">
        <f>C23-C25</f>
        <v>3.3526880000000006</v>
      </c>
      <c r="E23" s="3">
        <f>D23-D25/((D25-C25)/(D23-C23))</f>
        <v>3.6422972697339673</v>
      </c>
      <c r="F23" s="3">
        <f>E23-E25/((E25-D25)/(E23-D23))</f>
        <v>3.6422972697339673</v>
      </c>
      <c r="G23" s="3" t="e">
        <f>F23-F25/((F25-E25)/(F23-E23))</f>
        <v>#DIV/0!</v>
      </c>
      <c r="H23" s="3" t="e">
        <f>G23-G25/((G25-F25)/(G23-F23))</f>
        <v>#DIV/0!</v>
      </c>
      <c r="I23" s="3" t="e">
        <f>H23-H25/((H25-G25)/(H23-G23))</f>
        <v>#DIV/0!</v>
      </c>
    </row>
    <row r="24" spans="1:9" x14ac:dyDescent="0.2">
      <c r="A24" t="s">
        <v>25</v>
      </c>
      <c r="C24" s="3">
        <f>C39+C41+exp+NONexp</f>
        <v>3.3526880000000006</v>
      </c>
      <c r="D24" s="3">
        <f t="shared" ref="D24:I24" si="0">D39+D41+exp+NONexp</f>
        <v>3.5117136084480007</v>
      </c>
      <c r="E24" s="3">
        <f t="shared" si="0"/>
        <v>3.6422972697339673</v>
      </c>
      <c r="F24" s="3">
        <f>F39+F41+exp+NONexp</f>
        <v>3.6422972697339673</v>
      </c>
      <c r="G24" s="3" t="e">
        <f t="shared" si="0"/>
        <v>#DIV/0!</v>
      </c>
      <c r="H24" s="3" t="e">
        <f t="shared" si="0"/>
        <v>#DIV/0!</v>
      </c>
      <c r="I24" s="3" t="e">
        <f t="shared" si="0"/>
        <v>#DIV/0!</v>
      </c>
    </row>
    <row r="25" spans="1:9" x14ac:dyDescent="0.2">
      <c r="A25" t="s">
        <v>26</v>
      </c>
      <c r="C25" s="3">
        <f t="shared" ref="C25:I25" si="1">C23-C24</f>
        <v>-0.35268800000000056</v>
      </c>
      <c r="D25" s="3">
        <f t="shared" si="1"/>
        <v>-0.15902560844800018</v>
      </c>
      <c r="E25" s="3">
        <f t="shared" si="1"/>
        <v>0</v>
      </c>
      <c r="F25" s="3">
        <f t="shared" si="1"/>
        <v>0</v>
      </c>
      <c r="G25" s="3" t="e">
        <f t="shared" si="1"/>
        <v>#DIV/0!</v>
      </c>
      <c r="H25" s="3" t="e">
        <f t="shared" si="1"/>
        <v>#DIV/0!</v>
      </c>
      <c r="I25" s="3" t="e">
        <f t="shared" si="1"/>
        <v>#DIV/0!</v>
      </c>
    </row>
    <row r="26" spans="1:9" x14ac:dyDescent="0.2">
      <c r="C26" s="3"/>
      <c r="D26" s="3"/>
      <c r="E26" s="3"/>
      <c r="F26" s="3"/>
      <c r="G26" s="3"/>
      <c r="H26" s="3"/>
      <c r="I26" s="3"/>
    </row>
    <row r="27" spans="1:9" x14ac:dyDescent="0.2">
      <c r="A27" t="s">
        <v>27</v>
      </c>
      <c r="C27" s="3">
        <f t="shared" ref="C27:I27" si="2">C23*0.975</f>
        <v>2.9249999999999998</v>
      </c>
      <c r="D27" s="3">
        <f t="shared" si="2"/>
        <v>3.2688708000000006</v>
      </c>
      <c r="E27" s="3">
        <f t="shared" si="2"/>
        <v>3.551239837990618</v>
      </c>
      <c r="F27" s="3">
        <f t="shared" si="2"/>
        <v>3.551239837990618</v>
      </c>
      <c r="G27" s="3" t="e">
        <f t="shared" si="2"/>
        <v>#DIV/0!</v>
      </c>
      <c r="H27" s="3" t="e">
        <f t="shared" si="2"/>
        <v>#DIV/0!</v>
      </c>
      <c r="I27" s="3" t="e">
        <f t="shared" si="2"/>
        <v>#DIV/0!</v>
      </c>
    </row>
    <row r="28" spans="1:9" x14ac:dyDescent="0.2">
      <c r="A28" t="s">
        <v>28</v>
      </c>
      <c r="C28" s="3">
        <f t="shared" ref="C28:I28" si="3">IF(MC&lt;1,(1-0.04*MC)*C27,(0.96-0.03*(MC-1))*C27)</f>
        <v>2.9203199999999998</v>
      </c>
      <c r="D28" s="3">
        <f t="shared" si="3"/>
        <v>3.2636406067200006</v>
      </c>
      <c r="E28" s="3">
        <f t="shared" si="3"/>
        <v>3.5455578542498327</v>
      </c>
      <c r="F28" s="3">
        <f t="shared" si="3"/>
        <v>3.5455578542498327</v>
      </c>
      <c r="G28" s="3" t="e">
        <f t="shared" si="3"/>
        <v>#DIV/0!</v>
      </c>
      <c r="H28" s="3" t="e">
        <f t="shared" si="3"/>
        <v>#DIV/0!</v>
      </c>
      <c r="I28" s="3" t="e">
        <f t="shared" si="3"/>
        <v>#DIV/0!</v>
      </c>
    </row>
    <row r="29" spans="1:9" x14ac:dyDescent="0.2">
      <c r="A29" t="s">
        <v>29</v>
      </c>
      <c r="C29" s="3">
        <f>IF(MC&lt;1,10+A,11*(1/MC)^0.5)</f>
        <v>17</v>
      </c>
      <c r="D29" s="3">
        <f t="shared" ref="D29:I29" si="4">IF(MC&lt;1,10+A,11*(1/MC)^0.5)</f>
        <v>17</v>
      </c>
      <c r="E29" s="3">
        <f t="shared" si="4"/>
        <v>17</v>
      </c>
      <c r="F29" s="3">
        <f t="shared" si="4"/>
        <v>17</v>
      </c>
      <c r="G29" s="3">
        <f t="shared" si="4"/>
        <v>17</v>
      </c>
      <c r="H29" s="3">
        <f t="shared" si="4"/>
        <v>17</v>
      </c>
      <c r="I29" s="3">
        <f t="shared" si="4"/>
        <v>17</v>
      </c>
    </row>
    <row r="30" spans="1:9" x14ac:dyDescent="0.2">
      <c r="A30" t="s">
        <v>30</v>
      </c>
      <c r="C30" s="3">
        <f>(1036-0.0034*(H-20000))*MC</f>
        <v>44.023999999999994</v>
      </c>
      <c r="D30" s="3">
        <f t="shared" ref="D30:I30" si="5">(1036-0.0034*(H-20000))*MC</f>
        <v>44.023999999999994</v>
      </c>
      <c r="E30" s="3">
        <f t="shared" si="5"/>
        <v>44.023999999999994</v>
      </c>
      <c r="F30" s="3">
        <f t="shared" si="5"/>
        <v>44.023999999999994</v>
      </c>
      <c r="G30" s="3">
        <f t="shared" si="5"/>
        <v>44.023999999999994</v>
      </c>
      <c r="H30" s="3">
        <f t="shared" si="5"/>
        <v>44.023999999999994</v>
      </c>
      <c r="I30" s="3">
        <f t="shared" si="5"/>
        <v>44.023999999999994</v>
      </c>
    </row>
    <row r="31" spans="1:9" x14ac:dyDescent="0.2">
      <c r="A31" t="s">
        <v>31</v>
      </c>
      <c r="C31" s="3">
        <f>C28/EXP((RA*CMN*6080)/(C29*C30*3600))</f>
        <v>2.9203199999999998</v>
      </c>
      <c r="D31" s="3">
        <f t="shared" ref="D31:I31" si="6">D28/EXP((RA*CMN*6080)/(D29*D30*3600))</f>
        <v>3.2636406067200006</v>
      </c>
      <c r="E31" s="3">
        <f t="shared" si="6"/>
        <v>3.5455578542498327</v>
      </c>
      <c r="F31" s="3">
        <f t="shared" si="6"/>
        <v>3.5455578542498327</v>
      </c>
      <c r="G31" s="3" t="e">
        <f t="shared" si="6"/>
        <v>#DIV/0!</v>
      </c>
      <c r="H31" s="3" t="e">
        <f t="shared" si="6"/>
        <v>#DIV/0!</v>
      </c>
      <c r="I31" s="3" t="e">
        <f t="shared" si="6"/>
        <v>#DIV/0!</v>
      </c>
    </row>
    <row r="32" spans="1:9" x14ac:dyDescent="0.2">
      <c r="A32" t="s">
        <v>32</v>
      </c>
      <c r="C32" s="3">
        <f t="shared" ref="C32:I32" si="7">IF(MMX&lt;1,((1-0.04*MMX)/(C28/C27))*C31,((0.96-0.03*(MMX-1))/(C28/C27))*C31)</f>
        <v>2.9203199999999998</v>
      </c>
      <c r="D32" s="3">
        <f t="shared" si="7"/>
        <v>3.2636406067200006</v>
      </c>
      <c r="E32" s="3">
        <f t="shared" si="7"/>
        <v>3.5455578542498327</v>
      </c>
      <c r="F32" s="3">
        <f t="shared" si="7"/>
        <v>3.5455578542498327</v>
      </c>
      <c r="G32" s="3" t="e">
        <f t="shared" si="7"/>
        <v>#DIV/0!</v>
      </c>
      <c r="H32" s="3" t="e">
        <f t="shared" si="7"/>
        <v>#DIV/0!</v>
      </c>
      <c r="I32" s="3" t="e">
        <f t="shared" si="7"/>
        <v>#DIV/0!</v>
      </c>
    </row>
    <row r="33" spans="1:9" x14ac:dyDescent="0.2">
      <c r="A33" t="s">
        <v>33</v>
      </c>
      <c r="C33" s="3">
        <f>C32-(CMX*T*CT/60)</f>
        <v>2.9203199999999998</v>
      </c>
      <c r="D33" s="3">
        <f t="shared" ref="D33:I33" si="8">D32-(CMX*T*CT/60)</f>
        <v>3.2636406067200006</v>
      </c>
      <c r="E33" s="3">
        <f t="shared" si="8"/>
        <v>3.5455578542498327</v>
      </c>
      <c r="F33" s="3">
        <f t="shared" si="8"/>
        <v>3.5455578542498327</v>
      </c>
      <c r="G33" s="3" t="e">
        <f t="shared" si="8"/>
        <v>#DIV/0!</v>
      </c>
      <c r="H33" s="3" t="e">
        <f t="shared" si="8"/>
        <v>#DIV/0!</v>
      </c>
      <c r="I33" s="3" t="e">
        <f t="shared" si="8"/>
        <v>#DIV/0!</v>
      </c>
    </row>
    <row r="34" spans="1:9" x14ac:dyDescent="0.2">
      <c r="A34" t="s">
        <v>34</v>
      </c>
      <c r="C34" s="3">
        <f t="shared" ref="C34:I34" si="9">C33-exp</f>
        <v>2.9203199999999998</v>
      </c>
      <c r="D34" s="3">
        <f t="shared" si="9"/>
        <v>3.2636406067200006</v>
      </c>
      <c r="E34" s="3">
        <f t="shared" si="9"/>
        <v>3.5455578542498327</v>
      </c>
      <c r="F34" s="3">
        <f t="shared" si="9"/>
        <v>3.5455578542498327</v>
      </c>
      <c r="G34" s="3" t="e">
        <f t="shared" si="9"/>
        <v>#DIV/0!</v>
      </c>
      <c r="H34" s="3" t="e">
        <f t="shared" si="9"/>
        <v>#DIV/0!</v>
      </c>
      <c r="I34" s="3" t="e">
        <f t="shared" si="9"/>
        <v>#DIV/0!</v>
      </c>
    </row>
    <row r="35" spans="1:9" x14ac:dyDescent="0.2">
      <c r="A35" t="s">
        <v>35</v>
      </c>
      <c r="C35" s="3">
        <f t="shared" ref="C35:I35" si="10">(C31/C28)*C34</f>
        <v>2.9203199999999998</v>
      </c>
      <c r="D35" s="3">
        <f t="shared" si="10"/>
        <v>3.2636406067200006</v>
      </c>
      <c r="E35" s="3">
        <f t="shared" si="10"/>
        <v>3.5455578542498327</v>
      </c>
      <c r="F35" s="3">
        <f t="shared" si="10"/>
        <v>3.5455578542498327</v>
      </c>
      <c r="G35" s="3" t="e">
        <f t="shared" si="10"/>
        <v>#DIV/0!</v>
      </c>
      <c r="H35" s="3" t="e">
        <f t="shared" si="10"/>
        <v>#DIV/0!</v>
      </c>
      <c r="I35" s="3" t="e">
        <f t="shared" si="10"/>
        <v>#DIV/0!</v>
      </c>
    </row>
    <row r="36" spans="1:9" x14ac:dyDescent="0.2">
      <c r="A36" t="s">
        <v>36</v>
      </c>
      <c r="C36" s="3">
        <f>C35/(EXP((LT*CMN)/(C29*60)))</f>
        <v>2.9203199999999998</v>
      </c>
      <c r="D36" s="3">
        <f t="shared" ref="D36:I36" si="11">D35/(EXP((LT*CMN)/(D29*60)))</f>
        <v>3.2636406067200006</v>
      </c>
      <c r="E36" s="3">
        <f t="shared" si="11"/>
        <v>3.5455578542498327</v>
      </c>
      <c r="F36" s="3">
        <f t="shared" si="11"/>
        <v>3.5455578542498327</v>
      </c>
      <c r="G36" s="3" t="e">
        <f t="shared" si="11"/>
        <v>#DIV/0!</v>
      </c>
      <c r="H36" s="3" t="e">
        <f t="shared" si="11"/>
        <v>#DIV/0!</v>
      </c>
      <c r="I36" s="3" t="e">
        <f t="shared" si="11"/>
        <v>#DIV/0!</v>
      </c>
    </row>
    <row r="37" spans="1:9" x14ac:dyDescent="0.2">
      <c r="A37" t="s">
        <v>37</v>
      </c>
      <c r="C37" s="3">
        <f t="shared" ref="C37:I37" si="12">C36*0.975</f>
        <v>2.8473119999999996</v>
      </c>
      <c r="D37" s="3">
        <f t="shared" si="12"/>
        <v>3.1820495915520004</v>
      </c>
      <c r="E37" s="3">
        <f t="shared" si="12"/>
        <v>3.4569189078935869</v>
      </c>
      <c r="F37" s="3">
        <f t="shared" si="12"/>
        <v>3.4569189078935869</v>
      </c>
      <c r="G37" s="3" t="e">
        <f t="shared" si="12"/>
        <v>#DIV/0!</v>
      </c>
      <c r="H37" s="3" t="e">
        <f t="shared" si="12"/>
        <v>#DIV/0!</v>
      </c>
      <c r="I37" s="3" t="e">
        <f t="shared" si="12"/>
        <v>#DIV/0!</v>
      </c>
    </row>
    <row r="38" spans="1:9" x14ac:dyDescent="0.2">
      <c r="C38" s="3"/>
      <c r="D38" s="3"/>
      <c r="E38" s="3"/>
      <c r="F38" s="3"/>
      <c r="G38" s="3"/>
      <c r="H38" s="3"/>
      <c r="I38" s="3"/>
    </row>
    <row r="39" spans="1:9" x14ac:dyDescent="0.2">
      <c r="A39" t="s">
        <v>38</v>
      </c>
      <c r="C39" s="3">
        <f>(C23-C37-exp)*(1+(FR+FT)/100)</f>
        <v>0.15268800000000038</v>
      </c>
      <c r="D39" s="3">
        <f t="shared" ref="D39:I39" si="13">(D23-D37-exp)*(1+(FR+FT)/100)</f>
        <v>0.17063840844800016</v>
      </c>
      <c r="E39" s="3">
        <f t="shared" si="13"/>
        <v>0.18537836184038037</v>
      </c>
      <c r="F39" s="3">
        <f t="shared" si="13"/>
        <v>0.18537836184038037</v>
      </c>
      <c r="G39" s="3" t="e">
        <f t="shared" si="13"/>
        <v>#DIV/0!</v>
      </c>
      <c r="H39" s="3" t="e">
        <f t="shared" si="13"/>
        <v>#DIV/0!</v>
      </c>
      <c r="I39" s="3" t="e">
        <f t="shared" si="13"/>
        <v>#DIV/0!</v>
      </c>
    </row>
    <row r="40" spans="1:9" x14ac:dyDescent="0.2">
      <c r="A40" t="s">
        <v>39</v>
      </c>
      <c r="C40" s="3">
        <f t="shared" ref="C40:I40" si="14">C23-C39-NONexp-exp</f>
        <v>0.84731199999999962</v>
      </c>
      <c r="D40" s="3">
        <f t="shared" si="14"/>
        <v>1.1820495915520004</v>
      </c>
      <c r="E40" s="3">
        <f t="shared" si="14"/>
        <v>1.4569189078935869</v>
      </c>
      <c r="F40" s="3">
        <f t="shared" si="14"/>
        <v>1.4569189078935869</v>
      </c>
      <c r="G40" s="3" t="e">
        <f t="shared" si="14"/>
        <v>#DIV/0!</v>
      </c>
      <c r="H40" s="3" t="e">
        <f t="shared" si="14"/>
        <v>#DIV/0!</v>
      </c>
      <c r="I40" s="3" t="e">
        <f t="shared" si="14"/>
        <v>#DIV/0!</v>
      </c>
    </row>
    <row r="41" spans="1:9" x14ac:dyDescent="0.2">
      <c r="A41" t="s">
        <v>40</v>
      </c>
      <c r="C41" s="3">
        <f>C23*SFACT</f>
        <v>1.2000000000000002</v>
      </c>
      <c r="D41" s="3">
        <f t="shared" ref="D41:I41" si="15">D23*SFACT</f>
        <v>1.3410752000000004</v>
      </c>
      <c r="E41" s="3">
        <f t="shared" si="15"/>
        <v>1.4569189078935869</v>
      </c>
      <c r="F41" s="3">
        <f t="shared" si="15"/>
        <v>1.4569189078935869</v>
      </c>
      <c r="G41" s="3" t="e">
        <f t="shared" si="15"/>
        <v>#DIV/0!</v>
      </c>
      <c r="H41" s="3" t="e">
        <f t="shared" si="15"/>
        <v>#DIV/0!</v>
      </c>
      <c r="I41" s="3" t="e">
        <f t="shared" si="15"/>
        <v>#DIV/0!</v>
      </c>
    </row>
  </sheetData>
  <phoneticPr fontId="2" type="noConversion"/>
  <pageMargins left="0.75" right="0.75" top="1" bottom="1" header="0.5" footer="0.5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opLeftCell="A26" zoomScale="150" zoomScaleNormal="150" workbookViewId="0">
      <selection activeCell="E63" sqref="E63"/>
    </sheetView>
  </sheetViews>
  <sheetFormatPr defaultColWidth="11.42578125" defaultRowHeight="12.75" x14ac:dyDescent="0.2"/>
  <cols>
    <col min="1" max="1" width="15.42578125" customWidth="1"/>
    <col min="2" max="2" width="13.85546875" customWidth="1"/>
    <col min="3" max="3" width="9" customWidth="1"/>
    <col min="4" max="4" width="16.140625" customWidth="1"/>
    <col min="5" max="5" width="9" customWidth="1"/>
  </cols>
  <sheetData>
    <row r="1" spans="1:5" x14ac:dyDescent="0.2">
      <c r="A1" s="4" t="s">
        <v>41</v>
      </c>
      <c r="B1" s="5"/>
      <c r="C1" s="5"/>
      <c r="D1" s="4" t="s">
        <v>42</v>
      </c>
      <c r="E1" s="5"/>
    </row>
    <row r="2" spans="1:5" x14ac:dyDescent="0.2">
      <c r="A2" s="5" t="s">
        <v>43</v>
      </c>
      <c r="B2" s="5">
        <v>692</v>
      </c>
      <c r="C2" s="5"/>
      <c r="D2" s="5" t="s">
        <v>43</v>
      </c>
      <c r="E2" s="5">
        <v>692</v>
      </c>
    </row>
    <row r="3" spans="1:5" x14ac:dyDescent="0.2">
      <c r="A3" s="5" t="s">
        <v>44</v>
      </c>
      <c r="B3" s="5">
        <v>1.6</v>
      </c>
      <c r="D3" s="5" t="s">
        <v>44</v>
      </c>
      <c r="E3" s="5">
        <v>1.6</v>
      </c>
    </row>
    <row r="4" spans="1:5" x14ac:dyDescent="0.2">
      <c r="A4" s="5" t="s">
        <v>45</v>
      </c>
      <c r="B4" s="5">
        <v>2.9258000000000002</v>
      </c>
      <c r="C4" s="5"/>
      <c r="D4" s="5" t="s">
        <v>45</v>
      </c>
      <c r="E4" s="5">
        <v>2.9258000000000002</v>
      </c>
    </row>
    <row r="5" spans="1:5" x14ac:dyDescent="0.2">
      <c r="A5" s="5" t="s">
        <v>46</v>
      </c>
      <c r="B5" s="5">
        <f>WTO</f>
        <v>3.6422972697339673</v>
      </c>
      <c r="C5" s="5"/>
      <c r="D5" s="5" t="s">
        <v>47</v>
      </c>
      <c r="E5" s="5">
        <f>WL</f>
        <v>3.4569189078935869</v>
      </c>
    </row>
    <row r="6" spans="1:5" x14ac:dyDescent="0.2">
      <c r="A6" s="5" t="s">
        <v>48</v>
      </c>
      <c r="B6" s="5">
        <f>S</f>
        <v>4.3549782185485588</v>
      </c>
      <c r="C6" s="5"/>
      <c r="D6" s="5" t="s">
        <v>49</v>
      </c>
      <c r="E6" s="5">
        <f>WL/S</f>
        <v>0.79378557926421045</v>
      </c>
    </row>
    <row r="7" spans="1:5" x14ac:dyDescent="0.2">
      <c r="A7" s="5"/>
      <c r="B7" s="5"/>
      <c r="C7" s="5"/>
      <c r="D7" s="5"/>
      <c r="E7" s="5"/>
    </row>
    <row r="8" spans="1:5" x14ac:dyDescent="0.2">
      <c r="A8" s="5" t="s">
        <v>49</v>
      </c>
      <c r="B8" s="5">
        <f>B5/B6</f>
        <v>0.83635258018532266</v>
      </c>
      <c r="C8" s="5"/>
      <c r="D8" s="5" t="s">
        <v>48</v>
      </c>
      <c r="E8" s="5">
        <f>S</f>
        <v>4.3549782185485588</v>
      </c>
    </row>
    <row r="9" spans="1:5" x14ac:dyDescent="0.2">
      <c r="A9" s="5" t="s">
        <v>50</v>
      </c>
      <c r="B9" s="5">
        <f>1-0.00002615*B2</f>
        <v>0.9819042</v>
      </c>
      <c r="C9" s="5"/>
      <c r="D9" s="5" t="s">
        <v>50</v>
      </c>
      <c r="E9" s="5">
        <f>1-0.00002615*E2</f>
        <v>0.9819042</v>
      </c>
    </row>
    <row r="10" spans="1:5" x14ac:dyDescent="0.2">
      <c r="A10" s="5" t="s">
        <v>51</v>
      </c>
      <c r="B10" s="5">
        <f>B4/WTO</f>
        <v>0.80328424159999989</v>
      </c>
      <c r="C10" s="5"/>
      <c r="D10" s="5" t="s">
        <v>51</v>
      </c>
      <c r="E10" s="5">
        <f>E4/WL</f>
        <v>0.84636061127126216</v>
      </c>
    </row>
    <row r="11" spans="1:5" x14ac:dyDescent="0.2">
      <c r="A11" s="5" t="s">
        <v>52</v>
      </c>
      <c r="B11" s="5">
        <f>WS/(CLMX*B10*B9)</f>
        <v>0.66272148967949174</v>
      </c>
      <c r="C11" s="5"/>
      <c r="D11" s="5" t="s">
        <v>53</v>
      </c>
      <c r="E11" s="5">
        <f>E6/(E9*E3)</f>
        <v>0.5052590538263626</v>
      </c>
    </row>
    <row r="12" spans="1:5" x14ac:dyDescent="0.2">
      <c r="A12" s="5" t="s">
        <v>54</v>
      </c>
      <c r="B12" s="5">
        <f>20.9*B11+87*SQRT(B11*B10)</f>
        <v>77.328319036489532</v>
      </c>
      <c r="C12" s="5"/>
      <c r="D12" s="5" t="s">
        <v>54</v>
      </c>
      <c r="E12" s="5">
        <f>118*E11+400</f>
        <v>459.62056835151077</v>
      </c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4" t="s">
        <v>55</v>
      </c>
      <c r="B15" s="5"/>
      <c r="C15" s="5"/>
      <c r="D15" s="4" t="s">
        <v>56</v>
      </c>
      <c r="E15" s="5"/>
    </row>
    <row r="16" spans="1:5" x14ac:dyDescent="0.2">
      <c r="A16" s="5" t="s">
        <v>57</v>
      </c>
      <c r="B16" s="5">
        <v>1.4999999999999999E-2</v>
      </c>
      <c r="C16" s="5"/>
      <c r="D16" s="5" t="s">
        <v>57</v>
      </c>
      <c r="E16" s="5">
        <f>CD_0</f>
        <v>1.4999999999999999E-2</v>
      </c>
    </row>
    <row r="17" spans="1:5" x14ac:dyDescent="0.2">
      <c r="A17" s="5" t="s">
        <v>58</v>
      </c>
      <c r="B17" s="5">
        <f>A</f>
        <v>7</v>
      </c>
      <c r="C17" s="5"/>
      <c r="D17" s="5" t="s">
        <v>58</v>
      </c>
      <c r="E17" s="5">
        <f>A</f>
        <v>7</v>
      </c>
    </row>
    <row r="18" spans="1:5" x14ac:dyDescent="0.2">
      <c r="A18" s="5" t="s">
        <v>43</v>
      </c>
      <c r="B18" s="6">
        <f>H</f>
        <v>1000</v>
      </c>
      <c r="C18" s="5"/>
      <c r="D18" s="5" t="s">
        <v>43</v>
      </c>
      <c r="E18" s="6">
        <f>H</f>
        <v>1000</v>
      </c>
    </row>
    <row r="19" spans="1:5" x14ac:dyDescent="0.2">
      <c r="A19" s="5" t="s">
        <v>1</v>
      </c>
      <c r="B19" s="5">
        <f>MC</f>
        <v>0.04</v>
      </c>
      <c r="C19" s="5"/>
      <c r="D19" s="5" t="s">
        <v>1</v>
      </c>
      <c r="E19" s="5">
        <f>MC</f>
        <v>0.04</v>
      </c>
    </row>
    <row r="20" spans="1:5" x14ac:dyDescent="0.2">
      <c r="A20" s="5" t="s">
        <v>59</v>
      </c>
      <c r="B20" s="8">
        <f>IterTow!F28</f>
        <v>3.5455578542498327</v>
      </c>
      <c r="C20" s="5"/>
      <c r="D20" s="5" t="s">
        <v>59</v>
      </c>
      <c r="E20" s="6">
        <f>IterTow!F35</f>
        <v>3.5455578542498327</v>
      </c>
    </row>
    <row r="21" spans="1:5" x14ac:dyDescent="0.2">
      <c r="A21" s="5"/>
      <c r="B21" s="5"/>
      <c r="C21" s="5"/>
      <c r="D21" s="5"/>
      <c r="E21" s="6"/>
    </row>
    <row r="22" spans="1:5" x14ac:dyDescent="0.2">
      <c r="A22" s="5" t="s">
        <v>60</v>
      </c>
      <c r="B22" s="5">
        <f>1/(PI()*A*0.8)</f>
        <v>5.6841051104248336E-2</v>
      </c>
      <c r="C22" s="5"/>
      <c r="D22" s="5" t="s">
        <v>60</v>
      </c>
      <c r="E22" s="5">
        <f>1/(PI()*A*0.8)</f>
        <v>5.6841051104248336E-2</v>
      </c>
    </row>
    <row r="23" spans="1:5" x14ac:dyDescent="0.2">
      <c r="A23" s="5" t="s">
        <v>61</v>
      </c>
      <c r="B23" s="5">
        <f>(1036-0.0034*(B18-20000))*B19</f>
        <v>44.023999999999994</v>
      </c>
      <c r="C23" s="5"/>
      <c r="D23" s="5" t="s">
        <v>61</v>
      </c>
      <c r="E23" s="5">
        <f>(1036-0.0034*(E18-20000))*E19</f>
        <v>44.023999999999994</v>
      </c>
    </row>
    <row r="24" spans="1:5" x14ac:dyDescent="0.2">
      <c r="A24" s="5" t="s">
        <v>62</v>
      </c>
      <c r="B24" s="5">
        <f>IF(B18&lt;10000,(1-0.00002615*B18)*0.076474,IF(B18&gt;40000,(-0.0000091*B18+0.6211)*0.076474,(-0.00001681*B18+0.9066)*0.076474))</f>
        <v>7.4474204899999993E-2</v>
      </c>
      <c r="C24" s="5"/>
      <c r="D24" s="5" t="s">
        <v>62</v>
      </c>
      <c r="E24" s="5">
        <f>IF(E18&lt;10000,(1-0.00002615*E18)*0.076474,IF(E18&gt;40000,(-0.0000091*E18+0.6211)*0.076474,(-0.00001681*E18+0.9066)*0.076474))</f>
        <v>7.4474204899999993E-2</v>
      </c>
    </row>
    <row r="25" spans="1:5" x14ac:dyDescent="0.2">
      <c r="A25" s="5" t="s">
        <v>63</v>
      </c>
      <c r="B25" s="5">
        <f>0.5*B24*(B23^2)/32.2</f>
        <v>2.24129492397967</v>
      </c>
      <c r="C25" s="5"/>
      <c r="D25" s="5" t="s">
        <v>63</v>
      </c>
      <c r="E25" s="5">
        <f>0.5*E24*(E23^2)/32.2</f>
        <v>2.24129492397967</v>
      </c>
    </row>
    <row r="26" spans="1:5" x14ac:dyDescent="0.2">
      <c r="A26" s="5" t="s">
        <v>49</v>
      </c>
      <c r="B26" s="5">
        <f>SQRT(CD_0/(2*k))*B25</f>
        <v>0.81413905565560041</v>
      </c>
      <c r="C26" s="5"/>
      <c r="D26" s="5" t="s">
        <v>64</v>
      </c>
      <c r="E26" s="5">
        <f>SQRT(CD_0/(2*k))*E25</f>
        <v>0.81413905565560041</v>
      </c>
    </row>
    <row r="27" spans="1:5" x14ac:dyDescent="0.2">
      <c r="A27" s="5" t="s">
        <v>48</v>
      </c>
      <c r="B27" s="5">
        <f>B20/B26</f>
        <v>4.3549782185485588</v>
      </c>
      <c r="C27" s="5"/>
      <c r="D27" s="5" t="s">
        <v>65</v>
      </c>
      <c r="E27" s="5">
        <f>E20/S</f>
        <v>0.81413905565560041</v>
      </c>
    </row>
    <row r="28" spans="1:5" x14ac:dyDescent="0.2">
      <c r="A28" s="5"/>
      <c r="B28" s="5"/>
      <c r="C28" s="5"/>
      <c r="D28" s="5"/>
      <c r="E28" s="5"/>
    </row>
    <row r="29" spans="1:5" x14ac:dyDescent="0.2">
      <c r="A29" s="5"/>
      <c r="B29" s="5"/>
      <c r="C29" s="5"/>
      <c r="D29" s="5"/>
      <c r="E29" s="5"/>
    </row>
    <row r="30" spans="1:5" x14ac:dyDescent="0.2">
      <c r="A30" s="4" t="s">
        <v>66</v>
      </c>
      <c r="B30" s="5"/>
      <c r="C30" s="5"/>
      <c r="D30" s="4" t="s">
        <v>67</v>
      </c>
      <c r="E30" s="5"/>
    </row>
    <row r="31" spans="1:5" x14ac:dyDescent="0.2">
      <c r="A31" s="5" t="s">
        <v>43</v>
      </c>
      <c r="B31" s="6">
        <v>1000</v>
      </c>
      <c r="C31" s="5"/>
      <c r="D31" s="5" t="s">
        <v>43</v>
      </c>
      <c r="E31" s="6">
        <v>50</v>
      </c>
    </row>
    <row r="32" spans="1:5" x14ac:dyDescent="0.2">
      <c r="A32" s="5" t="s">
        <v>68</v>
      </c>
      <c r="B32" s="5">
        <v>0.04</v>
      </c>
      <c r="C32" s="5"/>
      <c r="D32" s="5" t="s">
        <v>1</v>
      </c>
      <c r="E32" s="5">
        <f>MC</f>
        <v>0.04</v>
      </c>
    </row>
    <row r="33" spans="1:5" x14ac:dyDescent="0.2">
      <c r="A33" s="5" t="s">
        <v>69</v>
      </c>
      <c r="B33" s="5">
        <v>1100</v>
      </c>
      <c r="C33" s="5"/>
      <c r="D33" s="5" t="s">
        <v>70</v>
      </c>
      <c r="E33" s="5">
        <v>5</v>
      </c>
    </row>
    <row r="34" spans="1:5" x14ac:dyDescent="0.2">
      <c r="A34" s="5"/>
      <c r="B34" s="5"/>
      <c r="C34" s="5"/>
      <c r="D34" s="5"/>
      <c r="E34" s="5"/>
    </row>
    <row r="35" spans="1:5" x14ac:dyDescent="0.2">
      <c r="A35" s="5" t="s">
        <v>61</v>
      </c>
      <c r="B35" s="5">
        <f>(1036-0.0034*(B31-20000))*B32</f>
        <v>44.023999999999994</v>
      </c>
      <c r="C35" s="5"/>
      <c r="D35" s="5"/>
      <c r="E35" s="5"/>
    </row>
    <row r="36" spans="1:5" x14ac:dyDescent="0.2">
      <c r="A36" s="5" t="s">
        <v>71</v>
      </c>
      <c r="B36" s="5">
        <f>(B33/60)/B35</f>
        <v>0.41643951783875466</v>
      </c>
      <c r="C36" s="5"/>
      <c r="D36" s="5" t="s">
        <v>61</v>
      </c>
      <c r="E36" s="5">
        <f>(1036-0.0034*(E31-20000))*E32</f>
        <v>44.153199999999998</v>
      </c>
    </row>
    <row r="37" spans="1:5" x14ac:dyDescent="0.2">
      <c r="A37" s="5" t="s">
        <v>72</v>
      </c>
      <c r="B37" s="5">
        <f>(180/PI())*ASIN(B36)</f>
        <v>24.610002538564093</v>
      </c>
      <c r="C37" s="5"/>
      <c r="D37" s="5" t="s">
        <v>62</v>
      </c>
      <c r="E37" s="5">
        <f>IF(E31&lt;10000,(1-0.00002615*E31)*0.076474,IF(E31&gt;40000,(-0.0000091*E31+0.6211)*0.076474,(-0.00001681*E31+0.9066)*0.076474))</f>
        <v>7.6374010244999999E-2</v>
      </c>
    </row>
    <row r="38" spans="1:5" x14ac:dyDescent="0.2">
      <c r="A38" s="5" t="s">
        <v>62</v>
      </c>
      <c r="B38" s="5">
        <f>IF(B31&lt;10000,(1-0.00002615*B31)*0.076474,IF(B31&gt;40000,(-0.0000091*B31+0.6211)*0.076474,(-0.00001681*B31+0.9066)*0.076474))</f>
        <v>7.4474204899999993E-2</v>
      </c>
      <c r="C38" s="5"/>
      <c r="D38" s="5" t="s">
        <v>63</v>
      </c>
      <c r="E38" s="5">
        <f>0.5*E37*(E36^2)/32.2</f>
        <v>2.3119801274408256</v>
      </c>
    </row>
    <row r="39" spans="1:5" x14ac:dyDescent="0.2">
      <c r="A39" s="5" t="s">
        <v>63</v>
      </c>
      <c r="B39" s="5">
        <f>0.5*B38*(B35^2)/32.2</f>
        <v>2.24129492397967</v>
      </c>
      <c r="C39" s="5"/>
      <c r="D39" s="5" t="s">
        <v>49</v>
      </c>
      <c r="E39" s="5">
        <f>(E38/E33)*SQRT(CD_0/k)</f>
        <v>0.23753558047469425</v>
      </c>
    </row>
    <row r="40" spans="1:5" x14ac:dyDescent="0.2">
      <c r="A40" s="5" t="s">
        <v>73</v>
      </c>
      <c r="B40" s="7">
        <f>B36+2*SQRT(CD_0*k)</f>
        <v>0.47483868792065653</v>
      </c>
      <c r="C40" s="5"/>
      <c r="D40" s="5"/>
      <c r="E40" s="5"/>
    </row>
    <row r="41" spans="1:5" x14ac:dyDescent="0.2">
      <c r="A41" s="5" t="s">
        <v>74</v>
      </c>
      <c r="B41" s="5">
        <f>B40-B36</f>
        <v>5.8399170081901874E-2</v>
      </c>
      <c r="C41" s="5"/>
      <c r="D41" s="5"/>
      <c r="E41" s="5"/>
    </row>
    <row r="42" spans="1:5" x14ac:dyDescent="0.2">
      <c r="A42" s="5" t="s">
        <v>75</v>
      </c>
      <c r="B42" s="5">
        <f>(B41+SQRT((B41^2)-4*CD_0*k))*B39/(2*k)</f>
        <v>1.1513665285169075</v>
      </c>
      <c r="C42" s="5"/>
      <c r="D42" s="5"/>
      <c r="E42" s="5"/>
    </row>
    <row r="43" spans="1:5" x14ac:dyDescent="0.2">
      <c r="A43" s="5" t="s">
        <v>76</v>
      </c>
      <c r="B43" s="5">
        <f>(B41-SQRT((B41^2)-4*CD_0*k))*B39/(2*k)</f>
        <v>1.1513664598146418</v>
      </c>
      <c r="C43" s="5"/>
      <c r="D43" s="5"/>
      <c r="E43" s="5"/>
    </row>
    <row r="44" spans="1:5" x14ac:dyDescent="0.2">
      <c r="A44" s="5"/>
      <c r="B44" s="5"/>
      <c r="C44" s="5"/>
      <c r="D44" s="5"/>
      <c r="E44" s="5"/>
    </row>
    <row r="45" spans="1:5" x14ac:dyDescent="0.2">
      <c r="A45" s="5"/>
      <c r="B45" s="5"/>
      <c r="C45" s="5"/>
      <c r="D45" s="5"/>
      <c r="E45" s="5"/>
    </row>
    <row r="46" spans="1:5" x14ac:dyDescent="0.2">
      <c r="A46" s="4" t="s">
        <v>77</v>
      </c>
      <c r="B46" s="5"/>
      <c r="C46" s="5"/>
      <c r="D46" s="4" t="s">
        <v>78</v>
      </c>
      <c r="E46" s="5"/>
    </row>
    <row r="47" spans="1:5" x14ac:dyDescent="0.2">
      <c r="A47" s="5" t="s">
        <v>43</v>
      </c>
      <c r="B47" s="6">
        <f>H</f>
        <v>1000</v>
      </c>
      <c r="C47" s="5"/>
      <c r="D47" s="5" t="s">
        <v>43</v>
      </c>
      <c r="E47" s="6">
        <f>H</f>
        <v>1000</v>
      </c>
    </row>
    <row r="48" spans="1:5" x14ac:dyDescent="0.2">
      <c r="A48" s="5" t="s">
        <v>1</v>
      </c>
      <c r="B48" s="5">
        <f>MC</f>
        <v>0.04</v>
      </c>
      <c r="C48" s="5"/>
      <c r="D48" s="5" t="s">
        <v>1</v>
      </c>
      <c r="E48" s="5">
        <f>MC</f>
        <v>0.04</v>
      </c>
    </row>
    <row r="49" spans="1:5" x14ac:dyDescent="0.2">
      <c r="A49" s="5" t="s">
        <v>79</v>
      </c>
      <c r="B49" s="5">
        <v>1.6</v>
      </c>
      <c r="C49" s="5"/>
      <c r="D49" s="5" t="s">
        <v>70</v>
      </c>
      <c r="E49" s="5">
        <v>5</v>
      </c>
    </row>
    <row r="50" spans="1:5" x14ac:dyDescent="0.2">
      <c r="A50" s="5" t="s">
        <v>49</v>
      </c>
      <c r="B50" s="5">
        <f>B26</f>
        <v>0.81413905565560041</v>
      </c>
      <c r="C50" s="5"/>
      <c r="D50" s="5" t="s">
        <v>49</v>
      </c>
      <c r="E50" s="5">
        <f>B50</f>
        <v>0.81413905565560041</v>
      </c>
    </row>
    <row r="51" spans="1:5" x14ac:dyDescent="0.2">
      <c r="A51" s="5"/>
      <c r="B51" s="5"/>
      <c r="C51" s="5"/>
    </row>
    <row r="52" spans="1:5" x14ac:dyDescent="0.2">
      <c r="A52" s="5" t="s">
        <v>61</v>
      </c>
      <c r="B52" s="5">
        <f>(1036-0.0034*(B47-20000))*B48</f>
        <v>44.023999999999994</v>
      </c>
      <c r="C52" s="5"/>
      <c r="D52" s="5" t="s">
        <v>80</v>
      </c>
      <c r="E52" s="5">
        <f>2*E49*SQRT(CD_0*k)</f>
        <v>0.29199585040950926</v>
      </c>
    </row>
    <row r="53" spans="1:5" x14ac:dyDescent="0.2">
      <c r="A53" s="5" t="s">
        <v>62</v>
      </c>
      <c r="B53" s="5">
        <f>IF(B47&lt;10000,(1-0.00002615*B47)*0.076474,IF(B47&gt;40000,(-0.0000091*B47+0.6211)*0.076474,(-0.00001681*B47+0.9066)*0.076474))</f>
        <v>7.4474204899999993E-2</v>
      </c>
      <c r="C53" s="5"/>
      <c r="D53" s="5" t="s">
        <v>61</v>
      </c>
      <c r="E53" s="5">
        <f>(1036-0.0034*(E47-20000))*E48</f>
        <v>44.023999999999994</v>
      </c>
    </row>
    <row r="54" spans="1:5" x14ac:dyDescent="0.2">
      <c r="A54" s="5" t="s">
        <v>63</v>
      </c>
      <c r="B54" s="5">
        <f>0.5*B53*(B52^2)/32.2</f>
        <v>2.24129492397967</v>
      </c>
      <c r="C54" s="5"/>
      <c r="D54" s="5" t="s">
        <v>62</v>
      </c>
      <c r="E54" s="5">
        <f>IF(E47&lt;10000,(1-0.00002615*E47)*0.076474,IF(E47&gt;40000,(-0.0000091*E47+0.6211)*0.076474,(-0.00001681*E47+0.9066)*0.076474))</f>
        <v>7.4474204899999993E-2</v>
      </c>
    </row>
    <row r="55" spans="1:5" x14ac:dyDescent="0.2">
      <c r="A55" s="5" t="s">
        <v>81</v>
      </c>
      <c r="B55" s="5">
        <f>(32.2/B52)*SQRT((B54*B49/B50)^2-1)</f>
        <v>3.1375877537297421</v>
      </c>
      <c r="C55" s="5"/>
      <c r="D55" s="5" t="s">
        <v>63</v>
      </c>
      <c r="E55" s="5">
        <f>0.5*E54*(E53^2)/32.2</f>
        <v>2.24129492397967</v>
      </c>
    </row>
    <row r="56" spans="1:5" x14ac:dyDescent="0.2">
      <c r="A56" s="5" t="s">
        <v>82</v>
      </c>
      <c r="B56" s="5">
        <f>B55*180/3.14159</f>
        <v>179.77068798645067</v>
      </c>
      <c r="C56" s="5"/>
      <c r="D56" s="5" t="s">
        <v>81</v>
      </c>
      <c r="E56" s="5">
        <f>(32.2/E53)*SQRT((E55/(k*E50))*(E52-(E55*CD_0)/E50)-1)</f>
        <v>2.4414655022979557</v>
      </c>
    </row>
    <row r="57" spans="1:5" x14ac:dyDescent="0.2">
      <c r="A57" s="5" t="s">
        <v>70</v>
      </c>
      <c r="B57" s="5">
        <f>SQRT((B55*B52/32.2)^2+1)</f>
        <v>4.4047412459284647</v>
      </c>
      <c r="C57" s="5"/>
      <c r="D57" s="5" t="s">
        <v>82</v>
      </c>
      <c r="E57" s="5">
        <f>E56*180/3.14159</f>
        <v>139.8857872649302</v>
      </c>
    </row>
    <row r="58" spans="1:5" x14ac:dyDescent="0.2">
      <c r="A58" s="5"/>
      <c r="B58" s="5"/>
      <c r="C58" s="5"/>
      <c r="D58" s="5"/>
      <c r="E58" s="5"/>
    </row>
    <row r="59" spans="1:5" x14ac:dyDescent="0.2">
      <c r="A59" s="4" t="s">
        <v>83</v>
      </c>
      <c r="B59" s="5"/>
      <c r="C59" s="5"/>
      <c r="D59" s="140" t="s">
        <v>519</v>
      </c>
      <c r="E59" s="5"/>
    </row>
    <row r="60" spans="1:5" x14ac:dyDescent="0.2">
      <c r="A60" s="5" t="s">
        <v>59</v>
      </c>
      <c r="B60" s="8">
        <f>B20</f>
        <v>3.5455578542498327</v>
      </c>
      <c r="C60" s="5"/>
      <c r="D60" s="5" t="s">
        <v>59</v>
      </c>
      <c r="E60" s="6">
        <f>B20</f>
        <v>3.5455578542498327</v>
      </c>
    </row>
    <row r="61" spans="1:5" x14ac:dyDescent="0.2">
      <c r="A61" s="5" t="s">
        <v>48</v>
      </c>
      <c r="B61" s="5">
        <f>S</f>
        <v>4.3549782185485588</v>
      </c>
      <c r="C61" s="5"/>
      <c r="D61" s="5" t="s">
        <v>48</v>
      </c>
      <c r="E61" s="5">
        <f>S</f>
        <v>4.3549782185485588</v>
      </c>
    </row>
    <row r="62" spans="1:5" x14ac:dyDescent="0.2">
      <c r="A62" s="5" t="s">
        <v>43</v>
      </c>
      <c r="B62" s="6">
        <v>900</v>
      </c>
      <c r="C62" s="5"/>
      <c r="D62" s="5" t="s">
        <v>43</v>
      </c>
      <c r="E62" s="6">
        <v>1400</v>
      </c>
    </row>
    <row r="63" spans="1:5" x14ac:dyDescent="0.2">
      <c r="A63" s="5" t="s">
        <v>1</v>
      </c>
      <c r="B63" s="5">
        <f>MC</f>
        <v>0.04</v>
      </c>
      <c r="C63" s="5"/>
      <c r="D63" s="5" t="s">
        <v>1</v>
      </c>
      <c r="E63" s="5">
        <f>MC</f>
        <v>0.04</v>
      </c>
    </row>
    <row r="64" spans="1:5" x14ac:dyDescent="0.2">
      <c r="A64" s="5"/>
      <c r="B64" s="5"/>
      <c r="C64" s="5"/>
      <c r="D64" s="5"/>
      <c r="E64" s="5"/>
    </row>
    <row r="65" spans="1:5" x14ac:dyDescent="0.2">
      <c r="A65" s="5" t="s">
        <v>49</v>
      </c>
      <c r="B65" s="5">
        <f>B60/B61</f>
        <v>0.81413905565560041</v>
      </c>
      <c r="C65" s="5"/>
      <c r="D65" s="5" t="s">
        <v>49</v>
      </c>
      <c r="E65" s="5">
        <f>E60/E61</f>
        <v>0.81413905565560041</v>
      </c>
    </row>
    <row r="66" spans="1:5" x14ac:dyDescent="0.2">
      <c r="A66" s="5" t="s">
        <v>61</v>
      </c>
      <c r="B66" s="5">
        <f>(1036-0.0034*(B62-20000))*B63</f>
        <v>44.037600000000005</v>
      </c>
      <c r="C66" s="5"/>
      <c r="D66" s="5" t="s">
        <v>61</v>
      </c>
      <c r="E66" s="5">
        <f>(1036-0.0034*(E62-20000))*E63</f>
        <v>43.9696</v>
      </c>
    </row>
    <row r="67" spans="1:5" x14ac:dyDescent="0.2">
      <c r="A67" s="5" t="s">
        <v>62</v>
      </c>
      <c r="B67" s="5">
        <f>IF(B62&lt;10000,(1-0.00002615*B62)*0.076474,IF(B62&gt;40000,(-0.0000091*B62+0.6211)*0.076474,(-0.00001681*B62+0.9066)*0.076474))</f>
        <v>7.4674184409999997E-2</v>
      </c>
      <c r="C67" s="5"/>
      <c r="D67" s="5" t="s">
        <v>62</v>
      </c>
      <c r="E67" s="5">
        <f>IF(E62&lt;10000,(1-0.00002615*E62)*0.076474,IF(E62&gt;40000,(-0.0000091*E62+0.6211)*0.076474,(-0.00001681*E62+0.9066)*0.076474))</f>
        <v>7.3674286859999993E-2</v>
      </c>
    </row>
    <row r="68" spans="1:5" x14ac:dyDescent="0.2">
      <c r="A68" s="5" t="s">
        <v>63</v>
      </c>
      <c r="B68" s="5">
        <f>0.5*B67*(B66^2)/32.2</f>
        <v>2.2487019958153844</v>
      </c>
      <c r="C68" s="5"/>
      <c r="D68" s="5" t="s">
        <v>63</v>
      </c>
      <c r="E68" s="5">
        <f>0.5*E67*(E66^2)/32.2</f>
        <v>2.2117452483785875</v>
      </c>
    </row>
    <row r="69" spans="1:5" x14ac:dyDescent="0.2">
      <c r="A69" s="5" t="s">
        <v>84</v>
      </c>
      <c r="B69" s="5">
        <f>(B60/B61)/B68</f>
        <v>0.36204844268855274</v>
      </c>
      <c r="C69" s="5"/>
      <c r="D69" s="5" t="s">
        <v>85</v>
      </c>
      <c r="E69" s="5">
        <f>60*SQRT((16/3)*E65*(2/E67)*32.2)*(k)^0.75*(CD_0)^0.25</f>
        <v>150.59281869629262</v>
      </c>
    </row>
    <row r="70" spans="1:5" x14ac:dyDescent="0.2">
      <c r="A70" s="5"/>
      <c r="B70" s="5"/>
      <c r="C70" s="5"/>
      <c r="D70" s="5" t="s">
        <v>72</v>
      </c>
      <c r="E70" s="5">
        <f>(180/PI())*ASIN(E69/(E66*60))</f>
        <v>3.2723463269511175</v>
      </c>
    </row>
  </sheetData>
  <phoneticPr fontId="2" type="noConversion"/>
  <pageMargins left="0.75" right="0.75" top="1" bottom="1" header="0.5" footer="0.5"/>
  <pageSetup scale="74" fitToWidth="0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zoomScale="125" zoomScaleNormal="125" workbookViewId="0">
      <selection activeCell="B21" sqref="B21"/>
    </sheetView>
  </sheetViews>
  <sheetFormatPr defaultColWidth="8.85546875" defaultRowHeight="12.75" x14ac:dyDescent="0.2"/>
  <sheetData>
    <row r="1" spans="1:12" x14ac:dyDescent="0.2">
      <c r="A1" s="9"/>
      <c r="B1" s="9"/>
      <c r="C1" s="9"/>
      <c r="D1" s="9"/>
      <c r="E1" s="9"/>
      <c r="F1" s="9"/>
      <c r="G1" s="9"/>
    </row>
    <row r="2" spans="1:12" x14ac:dyDescent="0.2">
      <c r="A2" s="10" t="s">
        <v>86</v>
      </c>
      <c r="B2" s="9"/>
      <c r="C2" s="9"/>
      <c r="D2" s="9"/>
      <c r="E2" s="10" t="s">
        <v>87</v>
      </c>
      <c r="F2" s="9"/>
      <c r="G2" s="9"/>
      <c r="H2" s="9"/>
      <c r="J2" s="11" t="s">
        <v>88</v>
      </c>
      <c r="L2" s="9"/>
    </row>
    <row r="3" spans="1:12" x14ac:dyDescent="0.2">
      <c r="A3" s="12" t="s">
        <v>89</v>
      </c>
      <c r="B3" s="13">
        <f>MC</f>
        <v>0.04</v>
      </c>
      <c r="C3" s="14"/>
      <c r="D3" s="9"/>
      <c r="E3" s="12" t="s">
        <v>90</v>
      </c>
      <c r="F3" s="15" t="s">
        <v>517</v>
      </c>
      <c r="G3" s="14"/>
      <c r="H3" s="9"/>
      <c r="J3" s="16" t="s">
        <v>2</v>
      </c>
      <c r="K3" s="17">
        <f>H</f>
        <v>1000</v>
      </c>
      <c r="L3" s="18" t="s">
        <v>91</v>
      </c>
    </row>
    <row r="4" spans="1:12" ht="15.75" x14ac:dyDescent="0.3">
      <c r="A4" s="14" t="s">
        <v>92</v>
      </c>
      <c r="B4" s="19">
        <f>S</f>
        <v>4.3549782185485588</v>
      </c>
      <c r="C4" s="12" t="s">
        <v>144</v>
      </c>
      <c r="D4" s="9"/>
      <c r="E4" s="20" t="s">
        <v>145</v>
      </c>
      <c r="F4" s="21">
        <v>1.3</v>
      </c>
      <c r="G4" s="21"/>
      <c r="H4" s="22"/>
      <c r="J4" s="16" t="s">
        <v>93</v>
      </c>
      <c r="K4" s="23">
        <f>(1036-0.0034*(H-20000))*B3</f>
        <v>44.023999999999994</v>
      </c>
      <c r="L4" s="18" t="s">
        <v>94</v>
      </c>
    </row>
    <row r="5" spans="1:12" ht="14.25" x14ac:dyDescent="0.25">
      <c r="A5" s="14" t="s">
        <v>58</v>
      </c>
      <c r="B5" s="24">
        <f>A</f>
        <v>7</v>
      </c>
      <c r="C5" s="14"/>
      <c r="D5" s="9"/>
      <c r="E5" s="20" t="s">
        <v>146</v>
      </c>
      <c r="F5" s="21">
        <v>0.1</v>
      </c>
      <c r="G5" s="21" t="s">
        <v>95</v>
      </c>
      <c r="H5" s="22"/>
      <c r="J5" s="25" t="s">
        <v>96</v>
      </c>
      <c r="K5" s="26">
        <f>IF(H&lt;10000,(1-0.00002615*H)*0.076474,IF(H&gt;40000,(-0.0000091*H+0.6211)*0.076474,(-0.00001681*H+0.9066)*0.076474))</f>
        <v>7.4474204899999993E-2</v>
      </c>
      <c r="L5" s="26" t="s">
        <v>97</v>
      </c>
    </row>
    <row r="6" spans="1:12" ht="15.75" x14ac:dyDescent="0.3">
      <c r="A6" s="27" t="s">
        <v>147</v>
      </c>
      <c r="B6" s="28">
        <v>0</v>
      </c>
      <c r="C6" s="14" t="s">
        <v>98</v>
      </c>
      <c r="D6" s="9"/>
      <c r="E6" s="20" t="s">
        <v>99</v>
      </c>
      <c r="F6" s="21">
        <v>0.253</v>
      </c>
      <c r="G6" s="21" t="s">
        <v>100</v>
      </c>
      <c r="H6" s="22"/>
      <c r="J6" s="16" t="s">
        <v>101</v>
      </c>
      <c r="K6" s="26">
        <f>0.5*K5*(K4^2)/32.2</f>
        <v>2.24129492397967</v>
      </c>
      <c r="L6" s="26" t="s">
        <v>102</v>
      </c>
    </row>
    <row r="7" spans="1:12" ht="15.75" x14ac:dyDescent="0.3">
      <c r="A7" s="14" t="s">
        <v>103</v>
      </c>
      <c r="B7" s="137">
        <v>0.12</v>
      </c>
      <c r="C7" s="14"/>
      <c r="D7" s="9"/>
      <c r="E7" s="30" t="s">
        <v>148</v>
      </c>
      <c r="F7" s="21">
        <v>-1.5</v>
      </c>
      <c r="G7" s="21" t="s">
        <v>98</v>
      </c>
      <c r="H7" s="22"/>
      <c r="J7" s="25" t="s">
        <v>104</v>
      </c>
      <c r="K7" s="26">
        <f>0.0000107</f>
        <v>1.0699999999999999E-5</v>
      </c>
      <c r="L7" s="26" t="s">
        <v>105</v>
      </c>
    </row>
    <row r="8" spans="1:12" x14ac:dyDescent="0.2">
      <c r="A8" s="27" t="s">
        <v>106</v>
      </c>
      <c r="B8" s="29">
        <v>1</v>
      </c>
      <c r="C8" s="14"/>
      <c r="D8" s="9"/>
      <c r="E8" s="20" t="s">
        <v>149</v>
      </c>
      <c r="F8" s="21">
        <v>0.01</v>
      </c>
      <c r="G8" s="21"/>
      <c r="H8" s="22"/>
      <c r="J8" s="25" t="s">
        <v>150</v>
      </c>
      <c r="K8" s="26">
        <f>K7/K5</f>
        <v>1.4367390715170966E-4</v>
      </c>
      <c r="L8" s="20" t="s">
        <v>107</v>
      </c>
    </row>
    <row r="9" spans="1:12" ht="15.75" x14ac:dyDescent="0.3">
      <c r="A9" s="14" t="s">
        <v>108</v>
      </c>
      <c r="B9" s="31">
        <f>IterTow!F28</f>
        <v>3.5455578542498327</v>
      </c>
      <c r="C9" s="14" t="s">
        <v>102</v>
      </c>
      <c r="D9" s="9"/>
      <c r="E9" s="20" t="s">
        <v>151</v>
      </c>
      <c r="F9" s="21">
        <f>0.24/100</f>
        <v>2.3999999999999998E-3</v>
      </c>
      <c r="G9" s="21" t="s">
        <v>100</v>
      </c>
    </row>
    <row r="10" spans="1:12" ht="15.75" x14ac:dyDescent="0.3">
      <c r="A10" s="12" t="s">
        <v>109</v>
      </c>
      <c r="B10" s="31">
        <f>IterTow!F35</f>
        <v>3.5455578542498327</v>
      </c>
      <c r="C10" s="14" t="s">
        <v>102</v>
      </c>
      <c r="D10" s="9"/>
      <c r="E10" s="20" t="s">
        <v>152</v>
      </c>
      <c r="F10" s="138" t="s">
        <v>518</v>
      </c>
      <c r="G10" s="21"/>
    </row>
    <row r="11" spans="1:12" x14ac:dyDescent="0.2">
      <c r="A11" s="14" t="s">
        <v>110</v>
      </c>
      <c r="B11" s="32">
        <f>WingLD!B25</f>
        <v>2.24129492397967</v>
      </c>
      <c r="C11" s="14" t="s">
        <v>102</v>
      </c>
      <c r="D11" s="9"/>
      <c r="E11" s="14" t="s">
        <v>111</v>
      </c>
      <c r="F11" s="14">
        <v>0.12</v>
      </c>
      <c r="G11" s="21" t="s">
        <v>100</v>
      </c>
    </row>
    <row r="12" spans="1:12" x14ac:dyDescent="0.2">
      <c r="A12" s="12" t="s">
        <v>112</v>
      </c>
      <c r="B12" s="32">
        <f>WingLD!E25</f>
        <v>2.24129492397967</v>
      </c>
      <c r="C12" s="14" t="s">
        <v>102</v>
      </c>
      <c r="D12" s="9"/>
      <c r="E12" s="33"/>
      <c r="F12" s="34"/>
      <c r="G12" s="22"/>
    </row>
    <row r="13" spans="1:12" x14ac:dyDescent="0.2">
      <c r="A13" s="12" t="s">
        <v>113</v>
      </c>
      <c r="B13" s="32">
        <f>(B9/B4)/B11</f>
        <v>0.36324494690328635</v>
      </c>
      <c r="C13" s="14"/>
      <c r="D13" s="9"/>
      <c r="E13" s="33"/>
      <c r="F13" s="34"/>
      <c r="G13" s="22"/>
    </row>
    <row r="14" spans="1:12" x14ac:dyDescent="0.2">
      <c r="A14" s="12" t="s">
        <v>114</v>
      </c>
      <c r="B14" s="32">
        <f>(B10/B4)/B11</f>
        <v>0.36324494690328635</v>
      </c>
      <c r="C14" s="32"/>
      <c r="D14" s="9"/>
      <c r="E14" s="33"/>
      <c r="F14" s="34"/>
      <c r="G14" s="22"/>
    </row>
    <row r="15" spans="1:12" x14ac:dyDescent="0.2">
      <c r="A15" s="35"/>
      <c r="B15" s="36"/>
      <c r="C15" s="9"/>
      <c r="D15" s="9"/>
      <c r="E15" s="33"/>
      <c r="F15" s="34"/>
      <c r="G15" s="22"/>
    </row>
    <row r="16" spans="1:12" x14ac:dyDescent="0.2">
      <c r="A16" s="10" t="s">
        <v>115</v>
      </c>
      <c r="B16" s="9"/>
      <c r="C16" s="9"/>
      <c r="D16" s="9"/>
      <c r="E16" s="10" t="s">
        <v>116</v>
      </c>
      <c r="F16" s="9"/>
      <c r="G16" s="9"/>
    </row>
    <row r="17" spans="1:7" ht="15.75" x14ac:dyDescent="0.3">
      <c r="A17" s="14" t="s">
        <v>117</v>
      </c>
      <c r="B17" s="37">
        <f>SQRT(B4*B5)</f>
        <v>5.521308497977623</v>
      </c>
      <c r="C17" s="14" t="s">
        <v>91</v>
      </c>
      <c r="D17" s="9"/>
      <c r="E17" s="14"/>
      <c r="F17" s="14" t="s">
        <v>118</v>
      </c>
      <c r="G17" s="27" t="s">
        <v>153</v>
      </c>
    </row>
    <row r="18" spans="1:7" ht="15.75" x14ac:dyDescent="0.3">
      <c r="A18" s="14" t="s">
        <v>154</v>
      </c>
      <c r="B18" s="14">
        <f>B3*COS(B6*PI()/180)</f>
        <v>0.04</v>
      </c>
      <c r="C18" s="14"/>
      <c r="D18" s="9"/>
      <c r="E18" s="14" t="s">
        <v>119</v>
      </c>
      <c r="F18" s="14">
        <v>0</v>
      </c>
      <c r="G18" s="37">
        <f>180*ATAN(TAN($B$6*PI()/180)-F18*(2*$B$19*(1-$B$8)/$B$17))/PI()</f>
        <v>0</v>
      </c>
    </row>
    <row r="19" spans="1:7" ht="15.75" x14ac:dyDescent="0.3">
      <c r="A19" s="14" t="s">
        <v>155</v>
      </c>
      <c r="B19" s="37">
        <f>2*B17/(B5*(1+B8))</f>
        <v>0.78875835685394613</v>
      </c>
      <c r="C19" s="14" t="s">
        <v>91</v>
      </c>
      <c r="D19" s="9"/>
      <c r="E19" s="14" t="s">
        <v>120</v>
      </c>
      <c r="F19" s="14">
        <v>0.25</v>
      </c>
      <c r="G19" s="37">
        <f>180*ATAN(TAN($B$6*PI()/180)-F19*(2*$B$19*(1-$B$8)/$B$17))/PI()</f>
        <v>0</v>
      </c>
    </row>
    <row r="20" spans="1:7" ht="15.75" x14ac:dyDescent="0.3">
      <c r="A20" s="14" t="s">
        <v>156</v>
      </c>
      <c r="B20" s="37">
        <f>B19*B8</f>
        <v>0.78875835685394613</v>
      </c>
      <c r="C20" s="14" t="s">
        <v>91</v>
      </c>
      <c r="D20" s="9"/>
      <c r="E20" s="14" t="s">
        <v>121</v>
      </c>
      <c r="F20" s="14">
        <f>F6</f>
        <v>0.253</v>
      </c>
      <c r="G20" s="37">
        <f>180*ATAN(TAN($B$6*PI()/180)-F20*(2*$B$19*(1-$B$8)/$B$17))/PI()</f>
        <v>0</v>
      </c>
    </row>
    <row r="21" spans="1:7" x14ac:dyDescent="0.2">
      <c r="A21" s="14" t="s">
        <v>122</v>
      </c>
      <c r="B21" s="38">
        <f>(2*B19/3)*(1+B8+B8^2)/(1+B8)</f>
        <v>0.78875835685394602</v>
      </c>
      <c r="C21" s="14" t="s">
        <v>91</v>
      </c>
      <c r="D21" s="9"/>
      <c r="E21" s="14" t="s">
        <v>111</v>
      </c>
      <c r="F21" s="14">
        <f>F11</f>
        <v>0.12</v>
      </c>
      <c r="G21" s="37">
        <f>180*ATAN(TAN($B$6*PI()/180)-F21*(2*$B$19*(1-$B$8)/$B$17))/PI()</f>
        <v>0</v>
      </c>
    </row>
    <row r="22" spans="1:7" x14ac:dyDescent="0.2">
      <c r="A22" s="14"/>
      <c r="B22" s="14"/>
      <c r="C22" s="14"/>
      <c r="D22" s="9"/>
      <c r="E22" s="14" t="s">
        <v>123</v>
      </c>
      <c r="F22" s="14">
        <v>1</v>
      </c>
      <c r="G22" s="37">
        <f>180*ATAN(TAN($B$6*PI()/180)-F22*(2*$B$19*(1-$B$8)/$B$17))/PI()</f>
        <v>0</v>
      </c>
    </row>
    <row r="23" spans="1:7" x14ac:dyDescent="0.2">
      <c r="A23" s="27" t="s">
        <v>117</v>
      </c>
      <c r="B23" s="14">
        <f>IF(B18&lt;1,SQRT(1-B18^2))</f>
        <v>0.99919967974374369</v>
      </c>
      <c r="C23" s="14"/>
      <c r="D23" s="9"/>
      <c r="E23" s="9"/>
      <c r="F23" s="9"/>
      <c r="G23" s="9"/>
    </row>
    <row r="24" spans="1:7" ht="15.75" x14ac:dyDescent="0.3">
      <c r="A24" s="20" t="s">
        <v>157</v>
      </c>
      <c r="B24" s="39">
        <f>(PI()/180)*2*PI()*B5/(2+SQRT(4+B5^2*B23^2*(1+((TAN(G21*PI()/180))^2)/B23^2)))</f>
        <v>8.2766446810843552E-2</v>
      </c>
      <c r="C24" s="14" t="s">
        <v>95</v>
      </c>
      <c r="D24" s="9"/>
      <c r="E24" s="40" t="s">
        <v>124</v>
      </c>
    </row>
    <row r="25" spans="1:7" ht="15.75" x14ac:dyDescent="0.3">
      <c r="A25" s="14" t="s">
        <v>158</v>
      </c>
      <c r="B25" s="14">
        <f>-B24*F7</f>
        <v>0.12414967021626533</v>
      </c>
      <c r="C25" s="14"/>
      <c r="D25" s="9"/>
      <c r="E25" s="26" t="s">
        <v>125</v>
      </c>
      <c r="F25" s="26">
        <f>K4*COS(PI()*G18/180)</f>
        <v>44.023999999999994</v>
      </c>
      <c r="G25" s="26" t="s">
        <v>94</v>
      </c>
    </row>
    <row r="26" spans="1:7" ht="15.75" x14ac:dyDescent="0.3">
      <c r="A26" s="30" t="s">
        <v>159</v>
      </c>
      <c r="B26" s="41">
        <f>(B13-B25)/B24</f>
        <v>2.8887947459367824</v>
      </c>
      <c r="C26" s="14" t="s">
        <v>98</v>
      </c>
      <c r="D26" s="9"/>
      <c r="E26" s="26" t="s">
        <v>126</v>
      </c>
      <c r="F26" s="26">
        <f>0.5*K5*(F25^2)/32.2</f>
        <v>2.24129492397967</v>
      </c>
      <c r="G26" s="26" t="s">
        <v>102</v>
      </c>
    </row>
    <row r="27" spans="1:7" ht="15.75" x14ac:dyDescent="0.3">
      <c r="A27" s="12" t="s">
        <v>160</v>
      </c>
      <c r="B27" s="42">
        <f>B25+B24*B26</f>
        <v>0.36324494690328635</v>
      </c>
      <c r="C27" s="14"/>
      <c r="D27" s="9"/>
      <c r="E27" s="26" t="s">
        <v>127</v>
      </c>
      <c r="F27" s="43">
        <f>F25*B21/K8</f>
        <v>241688.26887593212</v>
      </c>
      <c r="G27" s="26"/>
    </row>
    <row r="28" spans="1:7" x14ac:dyDescent="0.2">
      <c r="A28" s="14" t="s">
        <v>60</v>
      </c>
      <c r="B28">
        <f>1/(PI()*B5*0.8)</f>
        <v>5.6841051104248336E-2</v>
      </c>
      <c r="C28" s="14"/>
      <c r="D28" s="9"/>
      <c r="E28" s="26" t="s">
        <v>128</v>
      </c>
      <c r="F28" s="26">
        <f>SQRT(F27)</f>
        <v>491.61801113866051</v>
      </c>
      <c r="G28" s="26"/>
    </row>
    <row r="29" spans="1:7" ht="15.75" x14ac:dyDescent="0.3">
      <c r="A29" s="14" t="s">
        <v>161</v>
      </c>
      <c r="B29" s="39">
        <f>F33+B28*B27^2</f>
        <v>1.4202866660836604E-2</v>
      </c>
      <c r="C29" s="14"/>
      <c r="D29" s="9"/>
      <c r="E29" s="26" t="s">
        <v>129</v>
      </c>
      <c r="F29" s="44">
        <f>IF(F27&lt;1000000,1.328/SQRT(F27), 0.455/( (LOG(F27)^2.58)*(1+0.144*B18^2)^0.65))</f>
        <v>2.7012842693133932E-3</v>
      </c>
      <c r="G29" s="26"/>
    </row>
    <row r="30" spans="1:7" x14ac:dyDescent="0.2">
      <c r="A30" s="14" t="s">
        <v>130</v>
      </c>
      <c r="B30" s="45">
        <f>B27/B29</f>
        <v>25.575466951675924</v>
      </c>
      <c r="C30" s="14"/>
      <c r="E30" s="26" t="s">
        <v>131</v>
      </c>
      <c r="F30" s="26">
        <f>IF(B7&lt;=0.05,2.003*B4, (1.977+0.52*B7)*B4)</f>
        <v>8.881542578907931</v>
      </c>
      <c r="G30" s="12" t="s">
        <v>144</v>
      </c>
    </row>
    <row r="31" spans="1:7" x14ac:dyDescent="0.2">
      <c r="E31" s="46" t="s">
        <v>132</v>
      </c>
      <c r="F31" s="26">
        <f>(1+(0.6/F21)*B7+100*B7^4)*(1.34*(B3^0.18)*(COS(G21*PI()/180))^0.28)</f>
        <v>1.216712236090628</v>
      </c>
      <c r="G31" s="26"/>
    </row>
    <row r="32" spans="1:7" ht="13.5" thickBot="1" x14ac:dyDescent="0.25">
      <c r="E32" s="46" t="s">
        <v>133</v>
      </c>
      <c r="F32" s="26">
        <v>1</v>
      </c>
      <c r="G32" s="26"/>
    </row>
    <row r="33" spans="1:7" ht="17.25" thickTop="1" thickBot="1" x14ac:dyDescent="0.35">
      <c r="A33" s="26" t="s">
        <v>134</v>
      </c>
      <c r="B33" s="47">
        <f>B29*K6*B4</f>
        <v>0.13863120704498019</v>
      </c>
      <c r="C33" s="26" t="s">
        <v>135</v>
      </c>
      <c r="E33" s="14" t="s">
        <v>162</v>
      </c>
      <c r="F33" s="48">
        <f>F29*F30*F31*F32/B4</f>
        <v>6.7028666608366034E-3</v>
      </c>
      <c r="G33" s="26"/>
    </row>
    <row r="34" spans="1:7" ht="13.5" thickTop="1" x14ac:dyDescent="0.2"/>
    <row r="35" spans="1:7" x14ac:dyDescent="0.2">
      <c r="A35" s="40" t="s">
        <v>136</v>
      </c>
    </row>
    <row r="37" spans="1:7" x14ac:dyDescent="0.2">
      <c r="A37" s="40" t="s">
        <v>137</v>
      </c>
    </row>
    <row r="38" spans="1:7" x14ac:dyDescent="0.2">
      <c r="A38" s="26" t="s">
        <v>138</v>
      </c>
      <c r="B38" s="49" t="s">
        <v>139</v>
      </c>
    </row>
    <row r="39" spans="1:7" x14ac:dyDescent="0.2">
      <c r="A39" s="50">
        <v>0</v>
      </c>
      <c r="B39" s="51">
        <v>0</v>
      </c>
    </row>
    <row r="40" spans="1:7" x14ac:dyDescent="0.2">
      <c r="A40" s="52">
        <f>B19</f>
        <v>0.78875835685394613</v>
      </c>
      <c r="B40" s="51">
        <v>0</v>
      </c>
    </row>
    <row r="41" spans="1:7" x14ac:dyDescent="0.2">
      <c r="A41" s="50">
        <f>B19+(B17/2)*TAN(PI()*G22/180)</f>
        <v>0.78875835685394613</v>
      </c>
      <c r="B41" s="51">
        <f>B17/2</f>
        <v>2.7606542489888115</v>
      </c>
    </row>
    <row r="42" spans="1:7" x14ac:dyDescent="0.2">
      <c r="A42" s="50">
        <f>B17/2*TAN(PI()*G18/180)</f>
        <v>0</v>
      </c>
      <c r="B42" s="51">
        <f>B17/2</f>
        <v>2.7606542489888115</v>
      </c>
    </row>
    <row r="43" spans="1:7" x14ac:dyDescent="0.2">
      <c r="A43" s="53">
        <v>0</v>
      </c>
      <c r="B43" s="54">
        <v>0</v>
      </c>
    </row>
    <row r="45" spans="1:7" x14ac:dyDescent="0.2">
      <c r="A45" s="40" t="s">
        <v>140</v>
      </c>
    </row>
    <row r="46" spans="1:7" x14ac:dyDescent="0.2">
      <c r="A46" s="30" t="s">
        <v>141</v>
      </c>
      <c r="B46" s="18" t="s">
        <v>142</v>
      </c>
      <c r="C46" s="55" t="s">
        <v>141</v>
      </c>
      <c r="D46" s="18" t="s">
        <v>143</v>
      </c>
    </row>
    <row r="47" spans="1:7" x14ac:dyDescent="0.2">
      <c r="A47" s="50">
        <f>F7</f>
        <v>-1.5</v>
      </c>
      <c r="B47" s="56">
        <v>0</v>
      </c>
      <c r="C47" s="57">
        <f>F7</f>
        <v>-1.5</v>
      </c>
      <c r="D47" s="58">
        <v>0</v>
      </c>
    </row>
    <row r="48" spans="1:7" x14ac:dyDescent="0.2">
      <c r="A48" s="53">
        <f>B48/F5 +F7</f>
        <v>11.5</v>
      </c>
      <c r="B48" s="59">
        <f>F4</f>
        <v>1.3</v>
      </c>
      <c r="C48" s="54">
        <f>A48</f>
        <v>11.5</v>
      </c>
      <c r="D48" s="59">
        <f>B24*(A48-F7)</f>
        <v>1.0759638085409662</v>
      </c>
    </row>
  </sheetData>
  <phoneticPr fontId="2" type="noConversion"/>
  <pageMargins left="0.75" right="0.75" top="1" bottom="1" header="0.5" footer="0.5"/>
  <pageSetup scale="68" fitToHeight="0"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150" zoomScaleNormal="150" workbookViewId="0">
      <selection activeCell="B14" sqref="B14"/>
    </sheetView>
  </sheetViews>
  <sheetFormatPr defaultColWidth="8.85546875" defaultRowHeight="12.75" x14ac:dyDescent="0.2"/>
  <sheetData>
    <row r="1" spans="1:7" ht="15.75" x14ac:dyDescent="0.25">
      <c r="D1" s="60" t="s">
        <v>163</v>
      </c>
    </row>
    <row r="2" spans="1:7" x14ac:dyDescent="0.2">
      <c r="A2" s="61"/>
    </row>
    <row r="3" spans="1:7" x14ac:dyDescent="0.2">
      <c r="A3" s="61" t="s">
        <v>164</v>
      </c>
    </row>
    <row r="4" spans="1:7" x14ac:dyDescent="0.2">
      <c r="A4" t="s">
        <v>1</v>
      </c>
      <c r="B4">
        <f>MC</f>
        <v>0.04</v>
      </c>
    </row>
    <row r="5" spans="1:7" x14ac:dyDescent="0.2">
      <c r="A5" t="s">
        <v>2</v>
      </c>
      <c r="B5" s="1">
        <f>H</f>
        <v>1000</v>
      </c>
      <c r="C5" s="1"/>
    </row>
    <row r="6" spans="1:7" x14ac:dyDescent="0.2">
      <c r="A6" t="s">
        <v>165</v>
      </c>
      <c r="B6" s="3">
        <f>(1036-0.0034*(H-20000))*MC</f>
        <v>44.023999999999994</v>
      </c>
      <c r="C6" s="3"/>
    </row>
    <row r="7" spans="1:7" x14ac:dyDescent="0.2">
      <c r="A7" s="62" t="s">
        <v>166</v>
      </c>
      <c r="B7">
        <f>IF(H&lt;10000,(1-0.00002615*H)*0.076474,IF(H&gt;40000,(-0.0000091*H+0.6211)*0.076474,(-0.00001681*H+0.9066)*0.076474))</f>
        <v>7.4474204899999993E-2</v>
      </c>
    </row>
    <row r="8" spans="1:7" x14ac:dyDescent="0.2">
      <c r="A8" t="s">
        <v>63</v>
      </c>
      <c r="B8">
        <f>0.5*B7*(B6^2)/32.2</f>
        <v>2.24129492397967</v>
      </c>
    </row>
    <row r="9" spans="1:7" x14ac:dyDescent="0.2">
      <c r="A9" s="62" t="s">
        <v>167</v>
      </c>
      <c r="B9">
        <f>0.0000107</f>
        <v>1.0699999999999999E-5</v>
      </c>
    </row>
    <row r="10" spans="1:7" x14ac:dyDescent="0.2">
      <c r="A10" s="62" t="s">
        <v>186</v>
      </c>
      <c r="B10">
        <f>B9/B7</f>
        <v>1.4367390715170966E-4</v>
      </c>
    </row>
    <row r="11" spans="1:7" x14ac:dyDescent="0.2">
      <c r="A11" s="62"/>
    </row>
    <row r="12" spans="1:7" x14ac:dyDescent="0.2">
      <c r="A12" s="61" t="s">
        <v>168</v>
      </c>
      <c r="D12" s="40" t="s">
        <v>169</v>
      </c>
    </row>
    <row r="13" spans="1:7" x14ac:dyDescent="0.2">
      <c r="A13" s="63" t="s">
        <v>170</v>
      </c>
      <c r="B13">
        <v>0.33300000000000002</v>
      </c>
      <c r="D13" s="64" t="s">
        <v>132</v>
      </c>
      <c r="E13">
        <f>1+(60/B14^3) + B14/400</f>
        <v>1.1048045267489712</v>
      </c>
    </row>
    <row r="14" spans="1:7" x14ac:dyDescent="0.2">
      <c r="A14" t="s">
        <v>130</v>
      </c>
      <c r="B14" s="65">
        <v>9</v>
      </c>
      <c r="C14" s="65"/>
      <c r="D14" s="64" t="s">
        <v>133</v>
      </c>
      <c r="E14">
        <v>1</v>
      </c>
      <c r="G14" s="66"/>
    </row>
    <row r="15" spans="1:7" x14ac:dyDescent="0.2">
      <c r="A15" t="s">
        <v>171</v>
      </c>
      <c r="B15" s="139">
        <f>D*FIN</f>
        <v>2.9970000000000003</v>
      </c>
      <c r="C15" s="65"/>
      <c r="D15" s="64" t="s">
        <v>172</v>
      </c>
      <c r="E15">
        <f>E13*E14</f>
        <v>1.1048045267489712</v>
      </c>
      <c r="G15" s="66"/>
    </row>
    <row r="16" spans="1:7" x14ac:dyDescent="0.2">
      <c r="A16" t="s">
        <v>48</v>
      </c>
      <c r="B16" s="65">
        <f>S</f>
        <v>4.3549782185485588</v>
      </c>
      <c r="C16" s="67"/>
      <c r="G16" s="66"/>
    </row>
    <row r="17" spans="1:9" x14ac:dyDescent="0.2">
      <c r="B17" s="67"/>
      <c r="C17" s="67"/>
      <c r="E17" s="68"/>
      <c r="F17" s="68"/>
    </row>
    <row r="18" spans="1:9" x14ac:dyDescent="0.2">
      <c r="B18" s="67"/>
      <c r="C18" s="67"/>
      <c r="G18" s="66"/>
    </row>
    <row r="20" spans="1:9" x14ac:dyDescent="0.2">
      <c r="A20" s="61" t="s">
        <v>173</v>
      </c>
      <c r="D20" s="69" t="s">
        <v>207</v>
      </c>
    </row>
    <row r="21" spans="1:9" ht="15.75" x14ac:dyDescent="0.3">
      <c r="A21" t="s">
        <v>174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187</v>
      </c>
      <c r="H21" t="s">
        <v>188</v>
      </c>
      <c r="I21" t="s">
        <v>180</v>
      </c>
    </row>
    <row r="22" spans="1:9" x14ac:dyDescent="0.2">
      <c r="A22" s="68">
        <v>0</v>
      </c>
      <c r="B22" s="68">
        <f t="shared" ref="B22:B32" si="0">A22*LL</f>
        <v>0</v>
      </c>
      <c r="C22" s="68">
        <f t="shared" ref="C22:C27" si="1">B22-LL/4</f>
        <v>-0.74925000000000008</v>
      </c>
      <c r="D22">
        <f>D*SQRT(  (1/PI())*( (2*C22/(LL/2))*SQRT(1-(2*C22/(LL/2))^2) + ACOS(-2*C22/(LL/2)))  )</f>
        <v>0</v>
      </c>
      <c r="E22" s="70">
        <f t="shared" ref="E22:E32" si="2">PI()*D22</f>
        <v>0</v>
      </c>
      <c r="F22" s="70"/>
      <c r="G22" s="71"/>
      <c r="H22" s="44"/>
      <c r="I22" s="72"/>
    </row>
    <row r="23" spans="1:9" x14ac:dyDescent="0.2">
      <c r="A23" s="68">
        <f>0.1</f>
        <v>0.1</v>
      </c>
      <c r="B23" s="68">
        <f t="shared" si="0"/>
        <v>0.29970000000000002</v>
      </c>
      <c r="C23" s="68">
        <f t="shared" si="1"/>
        <v>-0.44955000000000006</v>
      </c>
      <c r="D23">
        <v>0.33300000000000002</v>
      </c>
      <c r="E23" s="70">
        <f t="shared" si="2"/>
        <v>1.0461503536454011</v>
      </c>
      <c r="F23" s="70">
        <f t="shared" ref="F23:F32" si="3">E23*(B23-B22)</f>
        <v>0.31353126098752671</v>
      </c>
      <c r="G23" s="71">
        <f t="shared" ref="G23:G32" si="4">V*B23/nu</f>
        <v>91832.908713675191</v>
      </c>
      <c r="H23" s="44">
        <f t="shared" ref="H23:H32" si="5">IF(G23&lt;1000000,1.328/SQRT(G23), 0.455/( (LOG(G23)^2.58)*(1+0.144*MC^2)^0.65))</f>
        <v>4.3822677103359181E-3</v>
      </c>
      <c r="I23" s="72">
        <f>F23*H23*q*FQ</f>
        <v>3.4022342053376211E-3</v>
      </c>
    </row>
    <row r="24" spans="1:9" x14ac:dyDescent="0.2">
      <c r="A24" s="68">
        <f>0.2</f>
        <v>0.2</v>
      </c>
      <c r="B24" s="68">
        <f t="shared" si="0"/>
        <v>0.59940000000000004</v>
      </c>
      <c r="C24" s="68">
        <f t="shared" si="1"/>
        <v>-0.14985000000000004</v>
      </c>
      <c r="D24">
        <v>0.33300000000000002</v>
      </c>
      <c r="E24" s="70">
        <f t="shared" si="2"/>
        <v>1.0461503536454011</v>
      </c>
      <c r="F24" s="70">
        <f t="shared" si="3"/>
        <v>0.31353126098752671</v>
      </c>
      <c r="G24" s="71">
        <f>V*B24/nu</f>
        <v>183665.81742735038</v>
      </c>
      <c r="H24" s="44">
        <f t="shared" si="5"/>
        <v>3.0987312149533732E-3</v>
      </c>
      <c r="I24" s="72">
        <f t="shared" ref="I24:I32" si="6">F24*H24*q*FQ</f>
        <v>2.4057428777790571E-3</v>
      </c>
    </row>
    <row r="25" spans="1:9" x14ac:dyDescent="0.2">
      <c r="A25" s="68">
        <f>0.3</f>
        <v>0.3</v>
      </c>
      <c r="B25" s="68">
        <f t="shared" si="0"/>
        <v>0.89910000000000012</v>
      </c>
      <c r="C25" s="68">
        <f t="shared" si="1"/>
        <v>0.14985000000000004</v>
      </c>
      <c r="D25">
        <v>0.05</v>
      </c>
      <c r="E25" s="70">
        <f t="shared" si="2"/>
        <v>0.15707963267948966</v>
      </c>
      <c r="F25" s="70">
        <f t="shared" si="3"/>
        <v>4.7076765914043063E-2</v>
      </c>
      <c r="G25" s="71">
        <f t="shared" si="4"/>
        <v>275498.7261410256</v>
      </c>
      <c r="H25" s="44">
        <f t="shared" si="5"/>
        <v>2.5301034422234472E-3</v>
      </c>
      <c r="I25" s="72">
        <f t="shared" si="6"/>
        <v>2.9493706220688125E-4</v>
      </c>
    </row>
    <row r="26" spans="1:9" x14ac:dyDescent="0.2">
      <c r="A26" s="68">
        <v>0.4</v>
      </c>
      <c r="B26" s="68">
        <f t="shared" si="0"/>
        <v>1.1988000000000001</v>
      </c>
      <c r="C26" s="68">
        <f t="shared" si="1"/>
        <v>0.44955000000000001</v>
      </c>
      <c r="D26">
        <v>0.05</v>
      </c>
      <c r="E26" s="70">
        <f t="shared" si="2"/>
        <v>0.15707963267948966</v>
      </c>
      <c r="F26" s="70">
        <f t="shared" si="3"/>
        <v>4.7076765914043042E-2</v>
      </c>
      <c r="G26" s="71">
        <f t="shared" si="4"/>
        <v>367331.63485470077</v>
      </c>
      <c r="H26" s="44">
        <f t="shared" si="5"/>
        <v>2.1911338551679591E-3</v>
      </c>
      <c r="I26" s="72">
        <f t="shared" si="6"/>
        <v>2.5542298838871028E-4</v>
      </c>
    </row>
    <row r="27" spans="1:9" x14ac:dyDescent="0.2">
      <c r="A27" s="68">
        <v>0.5</v>
      </c>
      <c r="B27" s="68">
        <f t="shared" si="0"/>
        <v>1.4985000000000002</v>
      </c>
      <c r="C27" s="68">
        <f t="shared" si="1"/>
        <v>0.74925000000000008</v>
      </c>
      <c r="D27">
        <v>0.05</v>
      </c>
      <c r="E27" s="70">
        <f t="shared" si="2"/>
        <v>0.15707963267948966</v>
      </c>
      <c r="F27" s="70">
        <f t="shared" si="3"/>
        <v>4.7076765914043063E-2</v>
      </c>
      <c r="G27" s="71">
        <f t="shared" si="4"/>
        <v>459164.54356837604</v>
      </c>
      <c r="H27" s="44">
        <f t="shared" si="5"/>
        <v>1.9598096991826942E-3</v>
      </c>
      <c r="I27" s="72">
        <f t="shared" si="6"/>
        <v>2.2845726602131842E-4</v>
      </c>
    </row>
    <row r="28" spans="1:9" x14ac:dyDescent="0.2">
      <c r="A28" s="68">
        <v>0.6</v>
      </c>
      <c r="B28" s="68">
        <f t="shared" si="0"/>
        <v>1.7982000000000002</v>
      </c>
      <c r="C28" s="68" t="s">
        <v>181</v>
      </c>
      <c r="D28">
        <v>0.05</v>
      </c>
      <c r="E28" s="70">
        <f t="shared" si="2"/>
        <v>0.15707963267948966</v>
      </c>
      <c r="F28" s="70">
        <f t="shared" si="3"/>
        <v>4.7076765914043063E-2</v>
      </c>
      <c r="G28" s="71">
        <f t="shared" si="4"/>
        <v>550997.45228205121</v>
      </c>
      <c r="H28" s="44">
        <f t="shared" si="5"/>
        <v>1.789053301099626E-3</v>
      </c>
      <c r="I28" s="72">
        <f t="shared" si="6"/>
        <v>2.0855199670972432E-4</v>
      </c>
    </row>
    <row r="29" spans="1:9" x14ac:dyDescent="0.2">
      <c r="A29" s="68">
        <v>0.7</v>
      </c>
      <c r="B29" s="68">
        <f t="shared" si="0"/>
        <v>2.0979000000000001</v>
      </c>
      <c r="C29" s="68" t="s">
        <v>181</v>
      </c>
      <c r="D29">
        <v>0.05</v>
      </c>
      <c r="E29" s="70">
        <f t="shared" si="2"/>
        <v>0.15707963267948966</v>
      </c>
      <c r="F29" s="70">
        <f t="shared" si="3"/>
        <v>4.7076765914043028E-2</v>
      </c>
      <c r="G29" s="71">
        <f t="shared" si="4"/>
        <v>642830.36099572643</v>
      </c>
      <c r="H29" s="44">
        <f t="shared" si="5"/>
        <v>1.6563415057224682E-3</v>
      </c>
      <c r="I29" s="72">
        <f t="shared" si="6"/>
        <v>1.9308163040156166E-4</v>
      </c>
    </row>
    <row r="30" spans="1:9" x14ac:dyDescent="0.2">
      <c r="A30" s="68">
        <v>0.8</v>
      </c>
      <c r="B30" s="68">
        <f t="shared" si="0"/>
        <v>2.3976000000000002</v>
      </c>
      <c r="C30" s="68" t="s">
        <v>181</v>
      </c>
      <c r="D30">
        <v>0.05</v>
      </c>
      <c r="E30" s="70">
        <f t="shared" si="2"/>
        <v>0.15707963267948966</v>
      </c>
      <c r="F30" s="70">
        <f t="shared" si="3"/>
        <v>4.7076765914043063E-2</v>
      </c>
      <c r="G30" s="71">
        <f t="shared" si="4"/>
        <v>734663.26970940153</v>
      </c>
      <c r="H30" s="44">
        <f t="shared" si="5"/>
        <v>1.5493656074766866E-3</v>
      </c>
      <c r="I30" s="72">
        <f t="shared" si="6"/>
        <v>1.8061132716058997E-4</v>
      </c>
    </row>
    <row r="31" spans="1:9" x14ac:dyDescent="0.2">
      <c r="A31" s="68">
        <v>0.9</v>
      </c>
      <c r="B31" s="68">
        <f t="shared" si="0"/>
        <v>2.6973000000000003</v>
      </c>
      <c r="C31" s="68" t="s">
        <v>181</v>
      </c>
      <c r="D31">
        <v>0.05</v>
      </c>
      <c r="E31" s="70">
        <f t="shared" si="2"/>
        <v>0.15707963267948966</v>
      </c>
      <c r="F31" s="70">
        <f t="shared" si="3"/>
        <v>4.7076765914043063E-2</v>
      </c>
      <c r="G31" s="71">
        <f t="shared" si="4"/>
        <v>826496.17842307675</v>
      </c>
      <c r="H31" s="44">
        <f t="shared" si="5"/>
        <v>1.4607559034453062E-3</v>
      </c>
      <c r="I31" s="72">
        <f t="shared" si="6"/>
        <v>1.702819922591403E-4</v>
      </c>
    </row>
    <row r="32" spans="1:9" x14ac:dyDescent="0.2">
      <c r="A32">
        <v>1</v>
      </c>
      <c r="B32" s="68">
        <f t="shared" si="0"/>
        <v>2.9970000000000003</v>
      </c>
      <c r="C32" s="68" t="s">
        <v>181</v>
      </c>
      <c r="D32">
        <f>D22</f>
        <v>0</v>
      </c>
      <c r="E32" s="70">
        <f t="shared" si="2"/>
        <v>0</v>
      </c>
      <c r="F32" s="70">
        <f t="shared" si="3"/>
        <v>0</v>
      </c>
      <c r="G32" s="71">
        <f t="shared" si="4"/>
        <v>918329.08713675209</v>
      </c>
      <c r="H32" s="44">
        <f t="shared" si="5"/>
        <v>1.3857947281272509E-3</v>
      </c>
      <c r="I32" s="72">
        <f t="shared" si="6"/>
        <v>0</v>
      </c>
    </row>
    <row r="33" spans="1:9" x14ac:dyDescent="0.2">
      <c r="B33" s="68"/>
      <c r="C33" s="68"/>
      <c r="E33" s="70"/>
      <c r="F33" s="70"/>
      <c r="G33" s="71"/>
      <c r="H33" s="44"/>
      <c r="I33" s="72"/>
    </row>
    <row r="34" spans="1:9" x14ac:dyDescent="0.2">
      <c r="A34" s="73" t="s">
        <v>182</v>
      </c>
      <c r="E34" s="70"/>
      <c r="F34" s="74">
        <f>SUM(F23:F32)</f>
        <v>0.95659988337335489</v>
      </c>
      <c r="G34" s="71"/>
      <c r="H34" s="44"/>
      <c r="I34" s="142">
        <f>SUM(I23:I32)</f>
        <v>7.3393213462646049E-3</v>
      </c>
    </row>
    <row r="35" spans="1:9" x14ac:dyDescent="0.2">
      <c r="I35" s="61"/>
    </row>
    <row r="36" spans="1:9" x14ac:dyDescent="0.2">
      <c r="A36" s="40"/>
    </row>
    <row r="37" spans="1:9" x14ac:dyDescent="0.2">
      <c r="A37" s="63"/>
    </row>
    <row r="39" spans="1:9" x14ac:dyDescent="0.2">
      <c r="B39" s="40"/>
    </row>
    <row r="42" spans="1:9" x14ac:dyDescent="0.2">
      <c r="A42" s="40" t="s">
        <v>183</v>
      </c>
      <c r="B42" s="141">
        <f>B39+I34</f>
        <v>7.3393213462646049E-3</v>
      </c>
    </row>
    <row r="43" spans="1:9" x14ac:dyDescent="0.2">
      <c r="A43" s="40" t="s">
        <v>184</v>
      </c>
    </row>
    <row r="46" spans="1:9" x14ac:dyDescent="0.2">
      <c r="A46" t="s">
        <v>185</v>
      </c>
      <c r="B46">
        <f>B42/(q*S)</f>
        <v>7.5191873953897375E-4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91" zoomScale="150" zoomScaleNormal="150" workbookViewId="0">
      <selection activeCell="B59" sqref="B59"/>
    </sheetView>
  </sheetViews>
  <sheetFormatPr defaultColWidth="8.85546875" defaultRowHeight="12.75" x14ac:dyDescent="0.2"/>
  <sheetData>
    <row r="1" spans="1:6" x14ac:dyDescent="0.2">
      <c r="A1" s="10" t="s">
        <v>189</v>
      </c>
      <c r="B1" s="9"/>
      <c r="C1" s="9"/>
      <c r="D1" s="9"/>
      <c r="E1" s="11" t="s">
        <v>88</v>
      </c>
      <c r="F1" s="9"/>
    </row>
    <row r="2" spans="1:6" x14ac:dyDescent="0.2">
      <c r="A2" s="14" t="s">
        <v>117</v>
      </c>
      <c r="B2" s="24">
        <f>b</f>
        <v>5.521308497977623</v>
      </c>
      <c r="C2" s="14" t="s">
        <v>91</v>
      </c>
      <c r="D2" s="16" t="s">
        <v>2</v>
      </c>
      <c r="E2" s="17">
        <f>H</f>
        <v>1000</v>
      </c>
      <c r="F2" s="18" t="s">
        <v>91</v>
      </c>
    </row>
    <row r="3" spans="1:6" x14ac:dyDescent="0.2">
      <c r="A3" s="14" t="s">
        <v>122</v>
      </c>
      <c r="B3" s="24">
        <f>mac</f>
        <v>0.78875835685394602</v>
      </c>
      <c r="C3" s="14" t="s">
        <v>91</v>
      </c>
      <c r="D3" s="16" t="s">
        <v>93</v>
      </c>
      <c r="E3" s="23">
        <f>(1036-0.0034*(H-20000))*B5</f>
        <v>44.023999999999994</v>
      </c>
      <c r="F3" s="18" t="s">
        <v>94</v>
      </c>
    </row>
    <row r="4" spans="1:6" x14ac:dyDescent="0.2">
      <c r="A4" s="14" t="s">
        <v>92</v>
      </c>
      <c r="B4" s="19">
        <f>S</f>
        <v>4.3549782185485588</v>
      </c>
      <c r="C4" s="12" t="s">
        <v>144</v>
      </c>
      <c r="D4" s="25" t="s">
        <v>96</v>
      </c>
      <c r="E4" s="26">
        <f>IF(H&lt;10000,(1-0.00002615*H)*0.076474,IF(H&gt;40000,(-0.0000091*H+0.6211)*0.076474,(-0.00001681*H+0.9066)*0.076474))</f>
        <v>7.4474204899999993E-2</v>
      </c>
      <c r="F4" s="26" t="s">
        <v>97</v>
      </c>
    </row>
    <row r="5" spans="1:6" x14ac:dyDescent="0.2">
      <c r="A5" s="14" t="s">
        <v>89</v>
      </c>
      <c r="B5" s="13">
        <f>MC</f>
        <v>0.04</v>
      </c>
      <c r="C5" s="14"/>
      <c r="D5" s="16" t="s">
        <v>101</v>
      </c>
      <c r="E5" s="26">
        <f>0.5*E4*(E3^2)/32.2</f>
        <v>2.24129492397967</v>
      </c>
      <c r="F5" s="26" t="s">
        <v>102</v>
      </c>
    </row>
    <row r="6" spans="1:6" ht="15.75" x14ac:dyDescent="0.3">
      <c r="A6" s="27" t="s">
        <v>147</v>
      </c>
      <c r="B6" s="28">
        <f>LAMLE</f>
        <v>0</v>
      </c>
      <c r="C6" s="14" t="s">
        <v>98</v>
      </c>
      <c r="D6" s="25" t="s">
        <v>104</v>
      </c>
      <c r="E6" s="26">
        <f>0.0000107</f>
        <v>1.0699999999999999E-5</v>
      </c>
      <c r="F6" s="26" t="s">
        <v>105</v>
      </c>
    </row>
    <row r="7" spans="1:6" x14ac:dyDescent="0.2">
      <c r="A7" s="14" t="s">
        <v>103</v>
      </c>
      <c r="B7" s="29">
        <f>tc</f>
        <v>0.12</v>
      </c>
      <c r="C7" s="14"/>
      <c r="D7" s="25" t="s">
        <v>150</v>
      </c>
      <c r="E7" s="26">
        <f>E6/E4</f>
        <v>1.4367390715170966E-4</v>
      </c>
      <c r="F7" s="20" t="s">
        <v>107</v>
      </c>
    </row>
    <row r="8" spans="1:6" x14ac:dyDescent="0.2">
      <c r="A8" s="27" t="s">
        <v>106</v>
      </c>
      <c r="B8" s="29">
        <f>lambda</f>
        <v>1</v>
      </c>
      <c r="C8" s="14"/>
      <c r="E8" s="9"/>
    </row>
    <row r="9" spans="1:6" x14ac:dyDescent="0.2">
      <c r="A9" s="9"/>
      <c r="B9" s="75"/>
      <c r="C9" s="9"/>
      <c r="D9" s="9"/>
      <c r="E9" s="9"/>
      <c r="F9" s="9"/>
    </row>
    <row r="10" spans="1:6" x14ac:dyDescent="0.2">
      <c r="A10" s="76" t="s">
        <v>190</v>
      </c>
      <c r="B10" s="77"/>
      <c r="C10" s="77"/>
      <c r="D10" s="77"/>
      <c r="E10" s="77"/>
      <c r="F10" s="77"/>
    </row>
    <row r="11" spans="1:6" x14ac:dyDescent="0.2">
      <c r="A11" s="10" t="s">
        <v>86</v>
      </c>
      <c r="B11" s="9"/>
      <c r="C11" s="9"/>
      <c r="D11" s="10" t="s">
        <v>87</v>
      </c>
      <c r="E11" s="9"/>
      <c r="F11" s="9"/>
    </row>
    <row r="12" spans="1:6" x14ac:dyDescent="0.2">
      <c r="A12" s="12" t="s">
        <v>191</v>
      </c>
      <c r="B12" s="15">
        <v>0.04</v>
      </c>
      <c r="C12" s="14"/>
      <c r="D12" s="12" t="s">
        <v>90</v>
      </c>
      <c r="E12" s="15" t="s">
        <v>520</v>
      </c>
      <c r="F12" s="14"/>
    </row>
    <row r="13" spans="1:6" ht="15.75" x14ac:dyDescent="0.3">
      <c r="A13" s="14" t="s">
        <v>193</v>
      </c>
      <c r="B13" s="78">
        <v>2.6</v>
      </c>
      <c r="C13" s="14" t="s">
        <v>91</v>
      </c>
      <c r="D13" s="20" t="s">
        <v>145</v>
      </c>
      <c r="E13" s="79">
        <v>1.1000000000000001</v>
      </c>
      <c r="F13" s="21"/>
    </row>
    <row r="14" spans="1:6" ht="15.75" x14ac:dyDescent="0.3">
      <c r="A14" s="27" t="s">
        <v>147</v>
      </c>
      <c r="B14" s="80">
        <v>0</v>
      </c>
      <c r="C14" s="14" t="s">
        <v>98</v>
      </c>
      <c r="D14" s="20" t="s">
        <v>146</v>
      </c>
      <c r="E14" s="79">
        <v>0.111</v>
      </c>
      <c r="F14" s="21" t="s">
        <v>95</v>
      </c>
    </row>
    <row r="15" spans="1:6" x14ac:dyDescent="0.2">
      <c r="A15" s="14" t="s">
        <v>103</v>
      </c>
      <c r="B15" s="15">
        <v>0.09</v>
      </c>
      <c r="C15" s="14"/>
      <c r="D15" s="20" t="s">
        <v>99</v>
      </c>
      <c r="E15" s="79">
        <v>0.25</v>
      </c>
      <c r="F15" s="21" t="s">
        <v>100</v>
      </c>
    </row>
    <row r="16" spans="1:6" ht="15.75" x14ac:dyDescent="0.3">
      <c r="A16" s="27" t="s">
        <v>106</v>
      </c>
      <c r="B16" s="15">
        <v>1</v>
      </c>
      <c r="C16" s="14"/>
      <c r="D16" s="30" t="s">
        <v>148</v>
      </c>
      <c r="E16" s="79">
        <v>0</v>
      </c>
      <c r="F16" s="21" t="s">
        <v>98</v>
      </c>
    </row>
    <row r="17" spans="1:9" x14ac:dyDescent="0.2">
      <c r="A17" s="14" t="s">
        <v>194</v>
      </c>
      <c r="B17" s="15">
        <v>1.5</v>
      </c>
      <c r="C17" s="14"/>
      <c r="D17" s="20" t="s">
        <v>195</v>
      </c>
      <c r="E17" s="79">
        <v>0.01</v>
      </c>
      <c r="F17" s="21"/>
    </row>
    <row r="18" spans="1:9" x14ac:dyDescent="0.2">
      <c r="A18" s="10" t="s">
        <v>115</v>
      </c>
      <c r="B18" s="9"/>
      <c r="C18" s="9"/>
      <c r="D18" s="10" t="s">
        <v>116</v>
      </c>
      <c r="E18" s="9"/>
      <c r="F18" s="9"/>
      <c r="G18" s="40" t="s">
        <v>124</v>
      </c>
    </row>
    <row r="19" spans="1:9" ht="15.75" x14ac:dyDescent="0.3">
      <c r="A19" s="12" t="s">
        <v>196</v>
      </c>
      <c r="B19" s="136">
        <f>(B12*B2*B4)/B13</f>
        <v>0.36992581917814776</v>
      </c>
      <c r="C19" s="12" t="s">
        <v>144</v>
      </c>
      <c r="D19" s="14"/>
      <c r="E19" s="14" t="s">
        <v>118</v>
      </c>
      <c r="F19" s="27" t="s">
        <v>153</v>
      </c>
      <c r="G19" s="26" t="s">
        <v>125</v>
      </c>
      <c r="H19" s="26">
        <f>E3*COS(PI()*B14/180)</f>
        <v>44.023999999999994</v>
      </c>
      <c r="I19" s="26" t="s">
        <v>94</v>
      </c>
    </row>
    <row r="20" spans="1:9" x14ac:dyDescent="0.2">
      <c r="A20" s="14" t="s">
        <v>117</v>
      </c>
      <c r="B20" s="37">
        <f>SQRT(B17*B19)</f>
        <v>0.74490853718239902</v>
      </c>
      <c r="C20" s="14" t="s">
        <v>91</v>
      </c>
      <c r="D20" s="14" t="s">
        <v>119</v>
      </c>
      <c r="E20" s="14">
        <v>0</v>
      </c>
      <c r="F20" s="37">
        <f>180*ATAN(TAN($B$14*PI()/180)-E20*(2*$B$21*(1-$B$16)/$B$20))/PI()</f>
        <v>0</v>
      </c>
      <c r="G20" s="26" t="s">
        <v>126</v>
      </c>
      <c r="H20" s="26">
        <f>0.5*E4*(H19^2)/32.2</f>
        <v>2.24129492397967</v>
      </c>
      <c r="I20" s="26" t="s">
        <v>102</v>
      </c>
    </row>
    <row r="21" spans="1:9" ht="15.75" x14ac:dyDescent="0.3">
      <c r="A21" s="14" t="s">
        <v>155</v>
      </c>
      <c r="B21" s="37">
        <f>2*B20/(B17*(1+B16))</f>
        <v>0.49660569145493266</v>
      </c>
      <c r="C21" s="14" t="s">
        <v>91</v>
      </c>
      <c r="D21" s="14" t="s">
        <v>197</v>
      </c>
      <c r="E21" s="14">
        <v>0.25</v>
      </c>
      <c r="F21" s="37">
        <f>180*ATAN(TAN($B$14*PI()/180)-E21*(2*$B$21*(1-$B$16)/$B$20))/PI()</f>
        <v>0</v>
      </c>
      <c r="G21" t="s">
        <v>198</v>
      </c>
      <c r="H21" s="26">
        <f>B5*COS(B14*PI()/180)</f>
        <v>0.04</v>
      </c>
      <c r="I21" s="26"/>
    </row>
    <row r="22" spans="1:9" ht="15.75" x14ac:dyDescent="0.3">
      <c r="A22" s="14" t="s">
        <v>156</v>
      </c>
      <c r="B22" s="37">
        <f>B16*B21</f>
        <v>0.49660569145493266</v>
      </c>
      <c r="C22" s="14" t="s">
        <v>91</v>
      </c>
      <c r="D22" s="14" t="s">
        <v>111</v>
      </c>
      <c r="E22" s="14">
        <v>0.35</v>
      </c>
      <c r="F22" s="37">
        <f>180*ATAN(TAN($B$14*PI()/180)-E22*(2*$B$21*(1-$B$16)/$B$20))/PI()</f>
        <v>0</v>
      </c>
      <c r="G22" s="26" t="s">
        <v>127</v>
      </c>
      <c r="H22" s="26">
        <f>B23*H19/E7</f>
        <v>152167.98508532663</v>
      </c>
      <c r="I22" s="26"/>
    </row>
    <row r="23" spans="1:9" x14ac:dyDescent="0.2">
      <c r="A23" s="14" t="s">
        <v>122</v>
      </c>
      <c r="B23" s="37">
        <f>(2*B21/3)*(1+B16+B16^2)/(1+B16)</f>
        <v>0.49660569145493272</v>
      </c>
      <c r="C23" s="14" t="s">
        <v>91</v>
      </c>
      <c r="D23" s="14" t="s">
        <v>123</v>
      </c>
      <c r="E23" s="14">
        <v>1</v>
      </c>
      <c r="F23" s="37">
        <f>180*ATAN(TAN($B$14*PI()/180)-E23*(2*$B$21*(1-$B$16)/$B$20))/PI()</f>
        <v>0</v>
      </c>
      <c r="G23" s="26" t="s">
        <v>128</v>
      </c>
      <c r="H23" s="26">
        <f>SQRT(H22)</f>
        <v>390.08715062832641</v>
      </c>
      <c r="I23" s="26"/>
    </row>
    <row r="24" spans="1:9" x14ac:dyDescent="0.2">
      <c r="A24" s="27" t="s">
        <v>117</v>
      </c>
      <c r="B24" s="14">
        <f>IF(B5&lt;1,SQRT(1-B5^2),SQRT(B5^2-1))</f>
        <v>0.99919967974374369</v>
      </c>
      <c r="C24" s="14"/>
      <c r="D24" s="9"/>
      <c r="E24" s="9"/>
      <c r="F24" s="9"/>
      <c r="G24" s="26" t="s">
        <v>129</v>
      </c>
      <c r="H24" s="43">
        <f>IF(H22&lt;1000000,1.328/SQRT(H22), 0.455/( (LOG(H22)^2.58)*(1+0.144*H21^2)^0.65))</f>
        <v>3.4043674544545909E-3</v>
      </c>
      <c r="I24" s="26"/>
    </row>
    <row r="25" spans="1:9" ht="15.75" x14ac:dyDescent="0.3">
      <c r="A25" s="20" t="s">
        <v>157</v>
      </c>
      <c r="B25" s="39">
        <f>(PI()/180)*2*PI()*B17/(2+SQRT(4+B17^2*B24^2*(1+((TAN(F22*PI()/180))^2)/B24^2)))</f>
        <v>3.6559940807517954E-2</v>
      </c>
      <c r="C25" s="14" t="s">
        <v>95</v>
      </c>
      <c r="D25" s="9"/>
      <c r="E25" s="9"/>
      <c r="F25" s="9"/>
      <c r="G25" s="26" t="s">
        <v>131</v>
      </c>
      <c r="H25" s="26">
        <f>IF(B15&lt;=0.05,2.003*B19, (1.977+0.52*B15)*B19)</f>
        <v>0.74865587285273549</v>
      </c>
      <c r="I25" s="12" t="s">
        <v>144</v>
      </c>
    </row>
    <row r="26" spans="1:9" x14ac:dyDescent="0.2">
      <c r="A26" s="9"/>
      <c r="B26" s="82"/>
      <c r="C26" s="9"/>
      <c r="D26" s="9"/>
      <c r="E26" s="9"/>
      <c r="F26" s="9"/>
      <c r="G26" s="46" t="s">
        <v>132</v>
      </c>
      <c r="H26" s="26">
        <f>1.1*(1+(0.6/E22)*B15+100*B15^4)*(1.34*(B5^0.18)*(COS(F22*PI()/180))^0.28)</f>
        <v>0.95861265600735268</v>
      </c>
      <c r="I26" s="26"/>
    </row>
    <row r="27" spans="1:9" ht="13.5" thickBot="1" x14ac:dyDescent="0.25">
      <c r="A27" s="9"/>
      <c r="B27" s="82"/>
      <c r="C27" s="9"/>
      <c r="D27" s="9"/>
      <c r="G27" s="46" t="s">
        <v>133</v>
      </c>
      <c r="H27" s="26">
        <v>1.05</v>
      </c>
      <c r="I27" s="26"/>
    </row>
    <row r="28" spans="1:9" ht="17.25" thickTop="1" thickBot="1" x14ac:dyDescent="0.35">
      <c r="A28" s="83" t="s">
        <v>134</v>
      </c>
      <c r="B28" s="84">
        <f>H28*B19*E5</f>
        <v>5.7497654760766802E-3</v>
      </c>
      <c r="C28" s="85" t="s">
        <v>135</v>
      </c>
      <c r="D28" s="9"/>
      <c r="E28" s="9"/>
      <c r="F28" s="9"/>
      <c r="G28" s="14" t="s">
        <v>162</v>
      </c>
      <c r="H28" s="48">
        <f>H24*H25*H26*H27/B19</f>
        <v>6.9348405363245987E-3</v>
      </c>
      <c r="I28" s="26"/>
    </row>
    <row r="29" spans="1:9" x14ac:dyDescent="0.2">
      <c r="D29" s="9"/>
    </row>
    <row r="30" spans="1:9" x14ac:dyDescent="0.2">
      <c r="A30" s="9"/>
      <c r="B30" s="82"/>
      <c r="C30" s="9"/>
      <c r="D30" s="9"/>
      <c r="E30" s="9"/>
      <c r="F30" s="9"/>
    </row>
    <row r="31" spans="1:9" x14ac:dyDescent="0.2">
      <c r="A31" s="40" t="s">
        <v>137</v>
      </c>
      <c r="C31" s="9"/>
      <c r="D31" s="9"/>
      <c r="E31" s="9"/>
      <c r="F31" s="9"/>
    </row>
    <row r="32" spans="1:9" x14ac:dyDescent="0.2">
      <c r="A32" s="26" t="s">
        <v>138</v>
      </c>
      <c r="B32" s="49" t="s">
        <v>139</v>
      </c>
      <c r="C32" s="9"/>
      <c r="D32" s="9"/>
      <c r="E32" s="9"/>
      <c r="F32" s="9"/>
    </row>
    <row r="33" spans="1:6" x14ac:dyDescent="0.2">
      <c r="A33" s="50">
        <v>0</v>
      </c>
      <c r="B33" s="51">
        <v>0</v>
      </c>
      <c r="C33" s="9"/>
      <c r="D33" s="9"/>
      <c r="E33" s="9"/>
      <c r="F33" s="9"/>
    </row>
    <row r="34" spans="1:6" x14ac:dyDescent="0.2">
      <c r="A34" s="52">
        <f>B21</f>
        <v>0.49660569145493266</v>
      </c>
      <c r="B34" s="51">
        <v>0</v>
      </c>
      <c r="C34" s="9"/>
      <c r="D34" s="9"/>
      <c r="E34" s="9"/>
      <c r="F34" s="9"/>
    </row>
    <row r="35" spans="1:6" x14ac:dyDescent="0.2">
      <c r="A35" s="50">
        <f>B21+(B20)*TAN(PI()*F23/180)</f>
        <v>0.49660569145493266</v>
      </c>
      <c r="B35" s="86">
        <f>B20</f>
        <v>0.74490853718239902</v>
      </c>
      <c r="C35" s="9"/>
      <c r="D35" s="9"/>
      <c r="E35" s="9"/>
      <c r="F35" s="9"/>
    </row>
    <row r="36" spans="1:6" x14ac:dyDescent="0.2">
      <c r="A36" s="50">
        <f>B20*TAN(PI()*F20/180)</f>
        <v>0</v>
      </c>
      <c r="B36" s="86">
        <f>B20</f>
        <v>0.74490853718239902</v>
      </c>
      <c r="C36" s="9"/>
      <c r="D36" s="9"/>
      <c r="E36" s="9"/>
      <c r="F36" s="9"/>
    </row>
    <row r="37" spans="1:6" x14ac:dyDescent="0.2">
      <c r="A37" s="53">
        <v>0</v>
      </c>
      <c r="B37" s="54">
        <v>0</v>
      </c>
      <c r="C37" s="9"/>
      <c r="D37" s="9"/>
      <c r="E37" s="9"/>
      <c r="F37" s="9"/>
    </row>
    <row r="38" spans="1:6" x14ac:dyDescent="0.2">
      <c r="A38" s="87"/>
      <c r="B38" s="87"/>
      <c r="C38" s="9"/>
      <c r="D38" s="9"/>
      <c r="E38" s="9"/>
      <c r="F38" s="9"/>
    </row>
    <row r="39" spans="1:6" x14ac:dyDescent="0.2">
      <c r="A39" s="87"/>
      <c r="B39" s="87"/>
      <c r="C39" s="9"/>
      <c r="D39" s="9"/>
      <c r="E39" s="9"/>
      <c r="F39" s="9"/>
    </row>
    <row r="40" spans="1:6" x14ac:dyDescent="0.2">
      <c r="A40" s="87"/>
      <c r="B40" s="87"/>
      <c r="C40" s="9"/>
      <c r="D40" s="9"/>
      <c r="E40" s="9"/>
      <c r="F40" s="9"/>
    </row>
    <row r="41" spans="1:6" x14ac:dyDescent="0.2">
      <c r="A41" s="87"/>
      <c r="B41" s="87"/>
      <c r="C41" s="9"/>
      <c r="D41" s="9"/>
      <c r="E41" s="9"/>
      <c r="F41" s="9"/>
    </row>
    <row r="42" spans="1:6" x14ac:dyDescent="0.2">
      <c r="A42" s="87"/>
      <c r="B42" s="87"/>
      <c r="C42" s="9"/>
      <c r="D42" s="9"/>
      <c r="E42" s="9"/>
      <c r="F42" s="9"/>
    </row>
    <row r="43" spans="1:6" x14ac:dyDescent="0.2">
      <c r="A43" s="87"/>
      <c r="B43" s="87"/>
      <c r="C43" s="9"/>
      <c r="D43" s="9"/>
      <c r="E43" s="9"/>
      <c r="F43" s="9"/>
    </row>
    <row r="44" spans="1:6" x14ac:dyDescent="0.2">
      <c r="A44" s="87"/>
      <c r="B44" s="87"/>
      <c r="C44" s="9"/>
      <c r="D44" s="9"/>
      <c r="E44" s="9"/>
      <c r="F44" s="9"/>
    </row>
    <row r="45" spans="1:6" x14ac:dyDescent="0.2">
      <c r="A45" s="87"/>
      <c r="B45" s="87"/>
      <c r="C45" s="9"/>
      <c r="D45" s="9"/>
      <c r="E45" s="9"/>
      <c r="F45" s="9"/>
    </row>
    <row r="46" spans="1:6" x14ac:dyDescent="0.2">
      <c r="A46" s="87"/>
      <c r="B46" s="87"/>
      <c r="C46" s="9"/>
      <c r="D46" s="9"/>
      <c r="E46" s="9"/>
      <c r="F46" s="9"/>
    </row>
    <row r="47" spans="1:6" x14ac:dyDescent="0.2">
      <c r="A47" s="87"/>
      <c r="B47" s="87"/>
      <c r="C47" s="9"/>
      <c r="D47" s="9"/>
      <c r="E47" s="9"/>
      <c r="F47" s="9"/>
    </row>
    <row r="48" spans="1:6" x14ac:dyDescent="0.2">
      <c r="A48" s="87"/>
      <c r="B48" s="87"/>
      <c r="C48" s="9"/>
      <c r="D48" s="9"/>
      <c r="E48" s="9"/>
      <c r="F48" s="9"/>
    </row>
    <row r="49" spans="1:9" x14ac:dyDescent="0.2">
      <c r="A49" s="87"/>
      <c r="B49" s="87"/>
      <c r="C49" s="9"/>
      <c r="D49" s="9"/>
      <c r="E49" s="9"/>
      <c r="F49" s="9"/>
    </row>
    <row r="50" spans="1:9" x14ac:dyDescent="0.2">
      <c r="A50" s="9"/>
      <c r="B50" s="82"/>
      <c r="C50" s="9"/>
      <c r="D50" s="9"/>
      <c r="E50" s="9"/>
      <c r="F50" s="9"/>
    </row>
    <row r="51" spans="1:9" x14ac:dyDescent="0.2">
      <c r="A51" s="76" t="s">
        <v>199</v>
      </c>
      <c r="B51" s="9"/>
      <c r="C51" s="9"/>
      <c r="D51" s="9"/>
      <c r="E51" s="9"/>
      <c r="F51" s="9"/>
    </row>
    <row r="52" spans="1:9" x14ac:dyDescent="0.2">
      <c r="A52" s="10" t="s">
        <v>86</v>
      </c>
      <c r="B52" s="9"/>
      <c r="C52" s="9"/>
      <c r="D52" s="10" t="s">
        <v>87</v>
      </c>
      <c r="E52" s="9"/>
      <c r="F52" s="9"/>
    </row>
    <row r="53" spans="1:9" x14ac:dyDescent="0.2">
      <c r="A53" s="12" t="s">
        <v>200</v>
      </c>
      <c r="B53" s="12">
        <v>0.5</v>
      </c>
      <c r="C53" s="14"/>
      <c r="D53" s="12" t="s">
        <v>90</v>
      </c>
      <c r="E53" s="15" t="s">
        <v>192</v>
      </c>
      <c r="F53" s="14"/>
    </row>
    <row r="54" spans="1:9" ht="15.75" x14ac:dyDescent="0.3">
      <c r="A54" s="14" t="s">
        <v>201</v>
      </c>
      <c r="B54" s="88">
        <v>2.6</v>
      </c>
      <c r="C54" s="14" t="s">
        <v>91</v>
      </c>
      <c r="D54" s="20" t="s">
        <v>145</v>
      </c>
      <c r="E54" s="79">
        <v>0.8</v>
      </c>
      <c r="F54" s="21"/>
    </row>
    <row r="55" spans="1:9" ht="15.75" x14ac:dyDescent="0.3">
      <c r="A55" s="27" t="s">
        <v>147</v>
      </c>
      <c r="B55" s="89">
        <v>0</v>
      </c>
      <c r="C55" s="14" t="s">
        <v>98</v>
      </c>
      <c r="D55" s="20" t="s">
        <v>146</v>
      </c>
      <c r="E55" s="79">
        <v>0.111</v>
      </c>
      <c r="F55" s="21" t="s">
        <v>95</v>
      </c>
    </row>
    <row r="56" spans="1:9" x14ac:dyDescent="0.2">
      <c r="A56" s="14" t="s">
        <v>103</v>
      </c>
      <c r="B56" s="12">
        <v>0.09</v>
      </c>
      <c r="C56" s="14"/>
      <c r="D56" s="20" t="s">
        <v>99</v>
      </c>
      <c r="E56" s="79">
        <v>0.25800000000000001</v>
      </c>
      <c r="F56" s="21" t="s">
        <v>100</v>
      </c>
    </row>
    <row r="57" spans="1:9" ht="15.75" x14ac:dyDescent="0.3">
      <c r="A57" s="27" t="s">
        <v>106</v>
      </c>
      <c r="B57" s="12">
        <v>1</v>
      </c>
      <c r="C57" s="14"/>
      <c r="D57" s="30" t="s">
        <v>148</v>
      </c>
      <c r="E57" s="79">
        <v>0</v>
      </c>
      <c r="F57" s="21" t="s">
        <v>98</v>
      </c>
    </row>
    <row r="58" spans="1:9" x14ac:dyDescent="0.2">
      <c r="A58" s="14" t="s">
        <v>202</v>
      </c>
      <c r="B58" s="14">
        <v>5</v>
      </c>
      <c r="C58" s="14"/>
      <c r="D58" s="20" t="s">
        <v>195</v>
      </c>
      <c r="E58" s="79">
        <v>4.0000000000000001E-3</v>
      </c>
      <c r="F58" s="21"/>
    </row>
    <row r="59" spans="1:9" x14ac:dyDescent="0.2">
      <c r="A59" s="9"/>
      <c r="B59" s="9"/>
      <c r="C59" s="9"/>
      <c r="D59" s="33"/>
      <c r="E59" s="90"/>
      <c r="F59" s="22"/>
    </row>
    <row r="60" spans="1:9" x14ac:dyDescent="0.2">
      <c r="A60" s="10" t="s">
        <v>115</v>
      </c>
      <c r="B60" s="9"/>
      <c r="C60" s="9"/>
      <c r="D60" s="10" t="s">
        <v>116</v>
      </c>
      <c r="E60" s="9"/>
      <c r="F60" s="9"/>
      <c r="G60" s="40" t="s">
        <v>124</v>
      </c>
    </row>
    <row r="61" spans="1:9" ht="15.75" x14ac:dyDescent="0.3">
      <c r="A61" s="12" t="s">
        <v>203</v>
      </c>
      <c r="B61" s="81">
        <f>(B53*B3*B4)/B54</f>
        <v>0.66058181996097809</v>
      </c>
      <c r="C61" s="12" t="s">
        <v>144</v>
      </c>
      <c r="D61" s="14"/>
      <c r="E61" s="14" t="s">
        <v>118</v>
      </c>
      <c r="F61" s="27" t="s">
        <v>153</v>
      </c>
      <c r="G61" s="26" t="s">
        <v>125</v>
      </c>
      <c r="H61" s="26">
        <f>E3*COS(PI()*B55/180)</f>
        <v>44.023999999999994</v>
      </c>
      <c r="I61" s="26" t="s">
        <v>94</v>
      </c>
    </row>
    <row r="62" spans="1:9" x14ac:dyDescent="0.2">
      <c r="A62" s="14" t="s">
        <v>117</v>
      </c>
      <c r="B62" s="37">
        <f>SQRT(B58*B61)</f>
        <v>1.8173907394407209</v>
      </c>
      <c r="C62" s="14" t="s">
        <v>91</v>
      </c>
      <c r="D62" s="14" t="s">
        <v>119</v>
      </c>
      <c r="E62" s="14">
        <v>0</v>
      </c>
      <c r="F62" s="37">
        <f>180*ATAN(TAN($B$55*PI()/180)-E62*(2*$B$63*(1-$B$57)/$B$62))/PI()</f>
        <v>0</v>
      </c>
      <c r="G62" s="26" t="s">
        <v>126</v>
      </c>
      <c r="H62" s="26">
        <f>0.5*E4*(H61^2)/32.2</f>
        <v>2.24129492397967</v>
      </c>
      <c r="I62" s="26" t="s">
        <v>102</v>
      </c>
    </row>
    <row r="63" spans="1:9" ht="15.75" x14ac:dyDescent="0.3">
      <c r="A63" s="14" t="s">
        <v>155</v>
      </c>
      <c r="B63" s="37">
        <f>2*B62/(B58*(1+B57))</f>
        <v>0.3634781478881442</v>
      </c>
      <c r="C63" s="14" t="s">
        <v>91</v>
      </c>
      <c r="D63" s="14" t="s">
        <v>197</v>
      </c>
      <c r="E63" s="14">
        <v>0.25</v>
      </c>
      <c r="F63" s="37">
        <f>180*ATAN(TAN($B$55*PI()/180)-E63*(2*$B$63*(1-$B$57)/$B$62))/PI()</f>
        <v>0</v>
      </c>
      <c r="G63" t="s">
        <v>198</v>
      </c>
      <c r="H63" s="26">
        <f>B5*COS(B55*PI()/180)</f>
        <v>0.04</v>
      </c>
      <c r="I63" s="26"/>
    </row>
    <row r="64" spans="1:9" ht="15.75" x14ac:dyDescent="0.3">
      <c r="A64" s="14" t="s">
        <v>156</v>
      </c>
      <c r="B64" s="37">
        <f>B57*B63</f>
        <v>0.3634781478881442</v>
      </c>
      <c r="C64" s="14" t="s">
        <v>91</v>
      </c>
      <c r="D64" s="14" t="s">
        <v>111</v>
      </c>
      <c r="E64" s="14">
        <v>0.35</v>
      </c>
      <c r="F64" s="37">
        <f>180*ATAN(TAN($B$55*PI()/180)-E64*(2*$B$63*(1-$B$57)/$B$62))/PI()</f>
        <v>0</v>
      </c>
      <c r="G64" s="26" t="s">
        <v>127</v>
      </c>
      <c r="H64" s="26">
        <f>B65*H61/E7</f>
        <v>111375.56080890117</v>
      </c>
      <c r="I64" s="26"/>
    </row>
    <row r="65" spans="1:9" x14ac:dyDescent="0.2">
      <c r="A65" s="14" t="s">
        <v>122</v>
      </c>
      <c r="B65" s="37">
        <f>(2*B63/3)*(1+B57+B57^2)/(1+B57)</f>
        <v>0.3634781478881442</v>
      </c>
      <c r="C65" s="14" t="s">
        <v>91</v>
      </c>
      <c r="D65" s="14" t="s">
        <v>123</v>
      </c>
      <c r="E65" s="14">
        <v>1</v>
      </c>
      <c r="F65" s="37">
        <f>180*ATAN(TAN($B$55*PI()/180)-E65*(2*$B$63*(1-$B$57)/$B$62))/PI()</f>
        <v>0</v>
      </c>
      <c r="G65" s="26" t="s">
        <v>128</v>
      </c>
      <c r="H65" s="26">
        <f>SQRT(H64)</f>
        <v>333.72977213443392</v>
      </c>
      <c r="I65" s="26"/>
    </row>
    <row r="66" spans="1:9" x14ac:dyDescent="0.2">
      <c r="A66" s="27" t="s">
        <v>117</v>
      </c>
      <c r="B66" s="14">
        <f>IF(B5&lt;1,SQRT(1-B5^2),SQRT(B5^2-1))</f>
        <v>0.99919967974374369</v>
      </c>
      <c r="C66" s="14"/>
      <c r="D66" s="9"/>
      <c r="E66" s="9"/>
      <c r="F66" s="9"/>
      <c r="G66" s="26" t="s">
        <v>129</v>
      </c>
      <c r="H66" s="44">
        <f>IF(H64&lt;1000000,1.328/SQRT(H64), 0.455/( (LOG(H64)^2.58)*(1+0.144*H63^2)^0.65))</f>
        <v>3.9792673920175502E-3</v>
      </c>
      <c r="I66" s="26"/>
    </row>
    <row r="67" spans="1:9" ht="15.75" x14ac:dyDescent="0.3">
      <c r="A67" s="20" t="s">
        <v>157</v>
      </c>
      <c r="B67" s="39">
        <f>(PI()/180)*2*PI()*B58/(2+SQRT(4+B58^2*B66^2*(1+((TAN(F64*PI()/180))^2)/B66^2)))</f>
        <v>7.4282340723071161E-2</v>
      </c>
      <c r="C67" s="14" t="s">
        <v>95</v>
      </c>
      <c r="D67" s="9"/>
      <c r="E67" s="9"/>
      <c r="F67" s="9"/>
      <c r="G67" s="26" t="s">
        <v>131</v>
      </c>
      <c r="H67" s="26">
        <f>IF(B56&lt;=0.05,2.003*B61, (1.977+0.52*B56)*B61)</f>
        <v>1.3368854872370275</v>
      </c>
      <c r="I67" s="12" t="s">
        <v>144</v>
      </c>
    </row>
    <row r="68" spans="1:9" ht="13.5" thickBot="1" x14ac:dyDescent="0.25">
      <c r="A68" s="14"/>
      <c r="B68" s="39"/>
      <c r="C68" s="14"/>
      <c r="D68" s="9"/>
      <c r="E68" s="9"/>
      <c r="F68" s="9"/>
      <c r="G68" s="46" t="s">
        <v>132</v>
      </c>
      <c r="H68" s="26">
        <f>1.1*(1+(0.6/E64)*B56+100*B56^4)*(1.34*(B5^0.18)*(COS(F64*PI()/180))^0.28)</f>
        <v>0.95861265600735268</v>
      </c>
      <c r="I68" s="26"/>
    </row>
    <row r="69" spans="1:9" ht="14.25" thickTop="1" thickBot="1" x14ac:dyDescent="0.25">
      <c r="A69" s="14"/>
      <c r="B69" s="84"/>
      <c r="C69" s="91"/>
      <c r="D69" s="9"/>
      <c r="G69" s="46" t="s">
        <v>133</v>
      </c>
      <c r="H69" s="26">
        <v>1.05</v>
      </c>
      <c r="I69" s="26"/>
    </row>
    <row r="70" spans="1:9" ht="17.25" thickTop="1" thickBot="1" x14ac:dyDescent="0.35">
      <c r="A70" s="83" t="s">
        <v>134</v>
      </c>
      <c r="B70" s="84">
        <f>H70*B61*E5</f>
        <v>1.200131395122739E-2</v>
      </c>
      <c r="C70" s="85" t="s">
        <v>135</v>
      </c>
      <c r="D70" s="9"/>
      <c r="E70" s="9"/>
      <c r="F70" s="11"/>
      <c r="G70" s="14" t="s">
        <v>162</v>
      </c>
      <c r="H70" s="48">
        <f>H66*H67*H68*H69/B61</f>
        <v>8.1059360319431298E-3</v>
      </c>
      <c r="I70" s="26"/>
    </row>
    <row r="71" spans="1:9" x14ac:dyDescent="0.2">
      <c r="A71" s="9"/>
      <c r="B71" s="82"/>
      <c r="C71" s="9"/>
      <c r="D71" s="9"/>
      <c r="E71" s="9"/>
      <c r="F71" s="11"/>
      <c r="G71" s="87"/>
    </row>
    <row r="72" spans="1:9" x14ac:dyDescent="0.2">
      <c r="A72" s="9"/>
      <c r="B72" s="82"/>
      <c r="C72" s="9"/>
      <c r="D72" s="9"/>
      <c r="E72" s="9"/>
      <c r="F72" s="11"/>
      <c r="G72" s="87"/>
    </row>
    <row r="73" spans="1:9" x14ac:dyDescent="0.2">
      <c r="A73" s="9"/>
      <c r="B73" s="82"/>
      <c r="C73" s="9"/>
      <c r="D73" s="9"/>
      <c r="E73" s="9"/>
      <c r="F73" s="11"/>
      <c r="G73" s="87"/>
    </row>
    <row r="75" spans="1:9" x14ac:dyDescent="0.2">
      <c r="A75" s="40" t="s">
        <v>137</v>
      </c>
    </row>
    <row r="76" spans="1:9" x14ac:dyDescent="0.2">
      <c r="A76" s="26" t="s">
        <v>138</v>
      </c>
      <c r="B76" s="49" t="s">
        <v>139</v>
      </c>
    </row>
    <row r="77" spans="1:9" x14ac:dyDescent="0.2">
      <c r="A77" s="50">
        <v>0</v>
      </c>
      <c r="B77" s="51">
        <v>0</v>
      </c>
    </row>
    <row r="78" spans="1:9" x14ac:dyDescent="0.2">
      <c r="A78" s="52">
        <f>B63</f>
        <v>0.3634781478881442</v>
      </c>
      <c r="B78" s="51">
        <v>0</v>
      </c>
    </row>
    <row r="79" spans="1:9" x14ac:dyDescent="0.2">
      <c r="A79" s="50">
        <f>B63+(B62/2)*TAN(PI()*F65/180)</f>
        <v>0.3634781478881442</v>
      </c>
      <c r="B79" s="86">
        <f>B62/2</f>
        <v>0.90869536972036047</v>
      </c>
    </row>
    <row r="80" spans="1:9" x14ac:dyDescent="0.2">
      <c r="A80" s="50">
        <f>B62/2*TAN(PI()*F62/180)</f>
        <v>0</v>
      </c>
      <c r="B80" s="86">
        <f>B62/2</f>
        <v>0.90869536972036047</v>
      </c>
    </row>
    <row r="81" spans="1:2" x14ac:dyDescent="0.2">
      <c r="A81" s="53">
        <v>0</v>
      </c>
      <c r="B81" s="54">
        <v>0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topLeftCell="A34" zoomScale="205" zoomScaleNormal="205" workbookViewId="0">
      <selection activeCell="B33" sqref="B33"/>
    </sheetView>
  </sheetViews>
  <sheetFormatPr defaultColWidth="8.85546875" defaultRowHeight="12.75" x14ac:dyDescent="0.2"/>
  <cols>
    <col min="4" max="4" width="15.28515625" customWidth="1"/>
    <col min="5" max="5" width="13.140625" bestFit="1" customWidth="1"/>
  </cols>
  <sheetData>
    <row r="1" spans="1:5" x14ac:dyDescent="0.2">
      <c r="A1" s="40" t="s">
        <v>208</v>
      </c>
    </row>
    <row r="2" spans="1:5" x14ac:dyDescent="0.2">
      <c r="A2" t="s">
        <v>57</v>
      </c>
      <c r="B2">
        <f>CD_0</f>
        <v>1.4999999999999999E-2</v>
      </c>
      <c r="D2" t="s">
        <v>209</v>
      </c>
      <c r="E2">
        <v>0.05</v>
      </c>
    </row>
    <row r="3" spans="1:5" x14ac:dyDescent="0.2">
      <c r="A3" t="s">
        <v>58</v>
      </c>
      <c r="B3">
        <f>A</f>
        <v>7</v>
      </c>
      <c r="D3" t="s">
        <v>210</v>
      </c>
      <c r="E3" t="e">
        <f>#REF!</f>
        <v>#REF!</v>
      </c>
    </row>
    <row r="4" spans="1:5" x14ac:dyDescent="0.2">
      <c r="A4" t="s">
        <v>43</v>
      </c>
      <c r="B4" s="1">
        <v>0</v>
      </c>
      <c r="D4" t="s">
        <v>211</v>
      </c>
      <c r="E4">
        <f>3.23*SQRT(B6/1000)</f>
        <v>0.19493517688043763</v>
      </c>
    </row>
    <row r="5" spans="1:5" x14ac:dyDescent="0.2">
      <c r="A5" t="s">
        <v>212</v>
      </c>
      <c r="B5">
        <v>2</v>
      </c>
      <c r="D5" t="s">
        <v>213</v>
      </c>
      <c r="E5">
        <v>1</v>
      </c>
    </row>
    <row r="6" spans="1:5" x14ac:dyDescent="0.2">
      <c r="A6" t="s">
        <v>46</v>
      </c>
      <c r="B6" s="1">
        <f>WTO</f>
        <v>3.6422972697339673</v>
      </c>
      <c r="D6" t="s">
        <v>214</v>
      </c>
      <c r="E6">
        <v>0.05</v>
      </c>
    </row>
    <row r="7" spans="1:5" x14ac:dyDescent="0.2">
      <c r="A7" t="s">
        <v>48</v>
      </c>
      <c r="B7">
        <f>S</f>
        <v>4.3549782185485588</v>
      </c>
      <c r="D7" t="s">
        <v>215</v>
      </c>
      <c r="E7">
        <v>3</v>
      </c>
    </row>
    <row r="8" spans="1:5" x14ac:dyDescent="0.2">
      <c r="D8" t="s">
        <v>216</v>
      </c>
      <c r="E8">
        <v>10</v>
      </c>
    </row>
    <row r="10" spans="1:5" x14ac:dyDescent="0.2">
      <c r="A10" t="s">
        <v>60</v>
      </c>
      <c r="B10">
        <f>1/(3.14159*A*0.8)</f>
        <v>5.6841099115870805E-2</v>
      </c>
      <c r="D10" t="s">
        <v>51</v>
      </c>
      <c r="E10" t="e">
        <f>E3/B6</f>
        <v>#REF!</v>
      </c>
    </row>
    <row r="11" spans="1:5" x14ac:dyDescent="0.2">
      <c r="A11" t="s">
        <v>62</v>
      </c>
      <c r="B11">
        <f>IF(B4&lt;10000,(1-0.00002615*B4)*0.076474,IF(B4&gt;40000,(-0.0000091*B4+0.6211)*0.076474,(-0.00001681*B4+0.9066)*0.076474))</f>
        <v>7.6474E-2</v>
      </c>
      <c r="D11" t="s">
        <v>217</v>
      </c>
      <c r="E11" t="e">
        <f>32.2*(E10-E2)</f>
        <v>#REF!</v>
      </c>
    </row>
    <row r="12" spans="1:5" x14ac:dyDescent="0.2">
      <c r="A12" t="s">
        <v>49</v>
      </c>
      <c r="B12">
        <f>WTO/S</f>
        <v>0.83635258018532266</v>
      </c>
      <c r="D12" t="s">
        <v>218</v>
      </c>
      <c r="E12">
        <f>E4*E5/S</f>
        <v>4.4761458518937494E-2</v>
      </c>
    </row>
    <row r="13" spans="1:5" x14ac:dyDescent="0.2">
      <c r="A13" t="s">
        <v>48</v>
      </c>
      <c r="B13">
        <f>B6/B12</f>
        <v>4.3549782185485588</v>
      </c>
      <c r="D13" t="s">
        <v>219</v>
      </c>
      <c r="E13">
        <f>B11/(2*B12)*(E2*CL_G - CD_0 - k*CL_G - E6 - E12)</f>
        <v>-5.6436861000524413E-3</v>
      </c>
    </row>
    <row r="14" spans="1:5" x14ac:dyDescent="0.2">
      <c r="A14" t="s">
        <v>220</v>
      </c>
      <c r="B14">
        <f>1.2*SQRT( 32.2*B12*(2/(B11*B5)) )</f>
        <v>22.518889978501669</v>
      </c>
      <c r="D14" t="s">
        <v>221</v>
      </c>
      <c r="E14">
        <f>B14^2/(0.15*32.2)</f>
        <v>104.98973206291157</v>
      </c>
    </row>
    <row r="15" spans="1:5" x14ac:dyDescent="0.2">
      <c r="A15" t="s">
        <v>222</v>
      </c>
      <c r="B15">
        <f>0.5*B11*(B14^2)/32.2</f>
        <v>0.60217385773343246</v>
      </c>
      <c r="D15" t="s">
        <v>223</v>
      </c>
      <c r="E15">
        <f>E14*(1-COS(E7*3.14159/180))</f>
        <v>0.14388453590591302</v>
      </c>
    </row>
    <row r="18" spans="1:5" x14ac:dyDescent="0.2">
      <c r="D18" s="40" t="s">
        <v>224</v>
      </c>
      <c r="E18" t="e">
        <f>(0.5/E13)*LN( (E11 + E13*B14^2)/E11 )</f>
        <v>#REF!</v>
      </c>
    </row>
    <row r="19" spans="1:5" x14ac:dyDescent="0.2">
      <c r="D19" s="40" t="s">
        <v>225</v>
      </c>
      <c r="E19">
        <f>3*B14</f>
        <v>67.556669935504999</v>
      </c>
    </row>
    <row r="20" spans="1:5" x14ac:dyDescent="0.2">
      <c r="D20" s="40" t="s">
        <v>226</v>
      </c>
      <c r="E20">
        <f>E14*SIN(E7*3.14159/180)</f>
        <v>5.494733386238428</v>
      </c>
    </row>
    <row r="21" spans="1:5" x14ac:dyDescent="0.2">
      <c r="D21" s="40" t="s">
        <v>227</v>
      </c>
      <c r="E21">
        <f>(E8-E15)/TAN(E7*3.14159/180)</f>
        <v>188.06604552371107</v>
      </c>
    </row>
    <row r="23" spans="1:5" x14ac:dyDescent="0.2">
      <c r="D23" s="40" t="s">
        <v>228</v>
      </c>
      <c r="E23" s="40" t="e">
        <f>IF(E21&gt;0,E18+E19+E20+E21,E18+E19+E20)</f>
        <v>#REF!</v>
      </c>
    </row>
    <row r="26" spans="1:5" x14ac:dyDescent="0.2">
      <c r="A26" s="40" t="s">
        <v>42</v>
      </c>
    </row>
    <row r="27" spans="1:5" x14ac:dyDescent="0.2">
      <c r="A27" s="63" t="s">
        <v>47</v>
      </c>
      <c r="B27">
        <f>WL</f>
        <v>3.4569189078935869</v>
      </c>
      <c r="D27" t="s">
        <v>229</v>
      </c>
      <c r="E27">
        <f>B31*S*(CD_0 + k*B5^2 + E6 + E12)</f>
        <v>0.9847765863657757</v>
      </c>
    </row>
    <row r="28" spans="1:5" x14ac:dyDescent="0.2">
      <c r="A28" s="63" t="s">
        <v>49</v>
      </c>
      <c r="B28">
        <f>B27/S</f>
        <v>0.79378557926421045</v>
      </c>
      <c r="D28" t="s">
        <v>230</v>
      </c>
      <c r="E28">
        <f>(180/3.14159)*ASIN(-E27/B27)</f>
        <v>-16.551162841905821</v>
      </c>
    </row>
    <row r="29" spans="1:5" x14ac:dyDescent="0.2">
      <c r="A29" t="s">
        <v>231</v>
      </c>
      <c r="B29">
        <f>1.3*SQRT( 32.2*B28*(2/(B11*CL_G)) )</f>
        <v>23.766541460280536</v>
      </c>
      <c r="D29" t="s">
        <v>232</v>
      </c>
      <c r="E29">
        <v>-3</v>
      </c>
    </row>
    <row r="30" spans="1:5" x14ac:dyDescent="0.2">
      <c r="A30" t="s">
        <v>233</v>
      </c>
      <c r="B30">
        <f>1.15*SQRT( 32.2*B28*(2/(B11*CL_G)) )</f>
        <v>21.024248214863551</v>
      </c>
      <c r="D30" t="s">
        <v>221</v>
      </c>
      <c r="E30">
        <f>(1.23^2)*( 32.2*B28*(2/(B11*CL_G)) )/(0.19*32.2)</f>
        <v>82.650601777888326</v>
      </c>
    </row>
    <row r="31" spans="1:5" x14ac:dyDescent="0.2">
      <c r="A31" t="s">
        <v>234</v>
      </c>
      <c r="B31">
        <f>0.5*B11*B29^2/32.2</f>
        <v>0.67074881447825785</v>
      </c>
      <c r="D31" t="s">
        <v>223</v>
      </c>
      <c r="E31">
        <f>E30*(1-COS(E29*3.1415/180))</f>
        <v>0.11326309764508966</v>
      </c>
    </row>
    <row r="32" spans="1:5" x14ac:dyDescent="0.2">
      <c r="A32" t="s">
        <v>235</v>
      </c>
      <c r="B32">
        <f>0.5*B11*B30^2/32.2</f>
        <v>0.52489071428845924</v>
      </c>
      <c r="D32" t="s">
        <v>217</v>
      </c>
      <c r="E32">
        <f>32.2*((B34/B27) - B33)</f>
        <v>8.6239589338997629</v>
      </c>
    </row>
    <row r="33" spans="1:5" x14ac:dyDescent="0.2">
      <c r="A33" t="s">
        <v>236</v>
      </c>
      <c r="B33">
        <v>0.6</v>
      </c>
      <c r="D33" t="s">
        <v>219</v>
      </c>
      <c r="E33">
        <f>B11/(2*B28)*(B33*CL_G - CD_0 - k*CL_G - E6 - E12)</f>
        <v>4.7041152603298095E-2</v>
      </c>
    </row>
    <row r="34" spans="1:5" x14ac:dyDescent="0.2">
      <c r="A34" t="s">
        <v>237</v>
      </c>
      <c r="B34">
        <v>3</v>
      </c>
    </row>
    <row r="37" spans="1:5" x14ac:dyDescent="0.2">
      <c r="D37" s="40" t="s">
        <v>238</v>
      </c>
      <c r="E37">
        <f>(E31-50)/TAN(E29*3.14159/180)</f>
        <v>951.89645124251922</v>
      </c>
    </row>
    <row r="38" spans="1:5" x14ac:dyDescent="0.2">
      <c r="D38" s="40" t="s">
        <v>226</v>
      </c>
      <c r="E38">
        <f>-E30*SIN(E29*3.14159/180)</f>
        <v>4.3255946277635058</v>
      </c>
    </row>
    <row r="39" spans="1:5" x14ac:dyDescent="0.2">
      <c r="D39" s="40" t="s">
        <v>239</v>
      </c>
      <c r="E39">
        <f>3*B30</f>
        <v>63.072744644590657</v>
      </c>
    </row>
    <row r="40" spans="1:5" x14ac:dyDescent="0.2">
      <c r="D40" s="40" t="s">
        <v>240</v>
      </c>
      <c r="E40">
        <f>(0.5/E33)*LN( E32/(E32 + E33*B30^2) )</f>
        <v>-13.042090515398392</v>
      </c>
    </row>
    <row r="42" spans="1:5" x14ac:dyDescent="0.2">
      <c r="D42" s="40" t="s">
        <v>241</v>
      </c>
      <c r="E42">
        <f>SUM(E37:E41)</f>
        <v>1006.252699999475</v>
      </c>
    </row>
    <row r="43" spans="1:5" x14ac:dyDescent="0.2">
      <c r="D43" s="40" t="s">
        <v>242</v>
      </c>
      <c r="E43" s="40">
        <f>1.6*E42</f>
        <v>1610.0043199991601</v>
      </c>
    </row>
  </sheetData>
  <phoneticPr fontId="2" type="noConversion"/>
  <pageMargins left="0.75" right="0.75" top="1" bottom="1" header="0.5" footer="0.5"/>
  <pageSetup scale="7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49" zoomScale="265" zoomScaleNormal="9" workbookViewId="0">
      <selection activeCell="E25" sqref="E25"/>
    </sheetView>
  </sheetViews>
  <sheetFormatPr defaultColWidth="8.85546875" defaultRowHeight="12.75" x14ac:dyDescent="0.2"/>
  <cols>
    <col min="1" max="1" width="13.42578125" customWidth="1"/>
  </cols>
  <sheetData>
    <row r="1" spans="1:9" x14ac:dyDescent="0.2">
      <c r="A1" s="92" t="s">
        <v>243</v>
      </c>
      <c r="B1" s="92"/>
      <c r="C1" s="92"/>
      <c r="D1" s="26"/>
    </row>
    <row r="2" spans="1:9" x14ac:dyDescent="0.2">
      <c r="A2" s="26" t="s">
        <v>244</v>
      </c>
      <c r="B2" s="93" t="s">
        <v>245</v>
      </c>
      <c r="C2" s="93" t="s">
        <v>246</v>
      </c>
      <c r="D2" s="26"/>
    </row>
    <row r="3" spans="1:9" ht="15.75" x14ac:dyDescent="0.3">
      <c r="A3" s="30" t="s">
        <v>147</v>
      </c>
      <c r="B3" s="19">
        <f>LAMLE</f>
        <v>0</v>
      </c>
      <c r="C3" s="26" t="s">
        <v>98</v>
      </c>
      <c r="D3" s="26"/>
    </row>
    <row r="4" spans="1:9" x14ac:dyDescent="0.2">
      <c r="A4" s="30" t="s">
        <v>106</v>
      </c>
      <c r="B4" s="13">
        <f>lambda</f>
        <v>1</v>
      </c>
      <c r="C4" s="26"/>
      <c r="D4" s="26"/>
    </row>
    <row r="5" spans="1:9" x14ac:dyDescent="0.2">
      <c r="A5" s="26" t="s">
        <v>103</v>
      </c>
      <c r="B5" s="93">
        <f>tc</f>
        <v>0.12</v>
      </c>
      <c r="C5" s="26"/>
      <c r="D5" s="26"/>
    </row>
    <row r="6" spans="1:9" x14ac:dyDescent="0.2">
      <c r="A6" s="26" t="s">
        <v>247</v>
      </c>
      <c r="B6" s="93">
        <v>0.01</v>
      </c>
      <c r="C6" s="26"/>
      <c r="D6" s="26"/>
    </row>
    <row r="7" spans="1:9" x14ac:dyDescent="0.2">
      <c r="A7" s="30" t="s">
        <v>117</v>
      </c>
      <c r="B7" s="13">
        <f>SQRT(1-B6^2)</f>
        <v>0.99994999874993751</v>
      </c>
      <c r="C7" s="26"/>
      <c r="D7" s="26"/>
      <c r="E7" s="87"/>
      <c r="F7" s="87"/>
      <c r="G7" s="87"/>
      <c r="H7" s="94"/>
      <c r="I7" s="9"/>
    </row>
    <row r="8" spans="1:9" x14ac:dyDescent="0.2">
      <c r="A8" s="26" t="s">
        <v>58</v>
      </c>
      <c r="B8" s="93">
        <f>A</f>
        <v>7</v>
      </c>
      <c r="C8" s="26"/>
      <c r="D8" s="26"/>
      <c r="E8" s="95"/>
      <c r="F8" s="87"/>
      <c r="G8" s="87"/>
      <c r="H8" s="87"/>
      <c r="I8" s="87"/>
    </row>
    <row r="9" spans="1:9" ht="15.75" x14ac:dyDescent="0.3">
      <c r="A9" s="27" t="s">
        <v>297</v>
      </c>
      <c r="B9" s="24">
        <v>0</v>
      </c>
      <c r="C9" s="26" t="s">
        <v>98</v>
      </c>
      <c r="D9" s="26"/>
      <c r="E9" s="87"/>
      <c r="F9" s="87"/>
      <c r="G9" s="87"/>
      <c r="H9" s="87"/>
      <c r="I9" s="87"/>
    </row>
    <row r="10" spans="1:9" ht="15.75" x14ac:dyDescent="0.3">
      <c r="A10" s="26" t="s">
        <v>298</v>
      </c>
      <c r="B10" s="93">
        <f>Wing!F5</f>
        <v>0.1</v>
      </c>
      <c r="C10" s="26" t="s">
        <v>95</v>
      </c>
      <c r="D10" s="26"/>
      <c r="H10" s="87"/>
      <c r="I10" s="87"/>
    </row>
    <row r="11" spans="1:9" ht="15.75" x14ac:dyDescent="0.3">
      <c r="A11" s="26" t="s">
        <v>299</v>
      </c>
      <c r="B11" s="93">
        <f>Wing!B24</f>
        <v>8.2766446810843552E-2</v>
      </c>
      <c r="C11" s="26" t="s">
        <v>95</v>
      </c>
      <c r="D11" s="26"/>
      <c r="H11" s="87"/>
      <c r="I11" s="87"/>
    </row>
    <row r="12" spans="1:9" ht="15.75" x14ac:dyDescent="0.3">
      <c r="A12" s="30" t="s">
        <v>148</v>
      </c>
      <c r="B12" s="93">
        <f>a_0L</f>
        <v>-1.5</v>
      </c>
      <c r="C12" s="21" t="s">
        <v>98</v>
      </c>
      <c r="D12" s="26"/>
      <c r="E12" s="87"/>
      <c r="F12" s="87"/>
      <c r="G12" s="87"/>
      <c r="H12" s="87"/>
      <c r="I12" s="87"/>
    </row>
    <row r="13" spans="1:9" ht="15.75" x14ac:dyDescent="0.3">
      <c r="A13" s="26" t="s">
        <v>300</v>
      </c>
      <c r="B13" s="93">
        <f>Wing!F4</f>
        <v>1.3</v>
      </c>
      <c r="C13" s="21"/>
      <c r="D13" s="26"/>
      <c r="E13" s="87"/>
      <c r="F13" s="87"/>
      <c r="G13" s="87"/>
      <c r="H13" s="87"/>
      <c r="I13" s="87"/>
    </row>
    <row r="14" spans="1:9" ht="15.75" x14ac:dyDescent="0.3">
      <c r="A14" s="30" t="s">
        <v>301</v>
      </c>
      <c r="B14" s="93">
        <v>15</v>
      </c>
      <c r="C14" s="21" t="s">
        <v>98</v>
      </c>
      <c r="D14" s="26"/>
      <c r="E14" s="87"/>
      <c r="F14" s="87"/>
      <c r="G14" s="87"/>
      <c r="H14" s="87"/>
      <c r="I14" s="87"/>
    </row>
    <row r="15" spans="1:9" x14ac:dyDescent="0.2">
      <c r="A15" s="96"/>
      <c r="B15" s="97"/>
      <c r="C15" s="22"/>
      <c r="D15" s="87"/>
      <c r="E15" s="87"/>
      <c r="F15" s="87"/>
      <c r="G15" s="87"/>
      <c r="H15" s="87"/>
      <c r="I15" s="87"/>
    </row>
    <row r="16" spans="1:9" x14ac:dyDescent="0.2">
      <c r="A16" s="40" t="s">
        <v>248</v>
      </c>
      <c r="H16" s="87"/>
      <c r="I16" s="87"/>
    </row>
    <row r="17" spans="1:9" x14ac:dyDescent="0.2">
      <c r="A17" s="16" t="s">
        <v>249</v>
      </c>
      <c r="B17" s="26" t="s">
        <v>250</v>
      </c>
      <c r="C17" s="143" t="s">
        <v>521</v>
      </c>
      <c r="D17" s="99"/>
      <c r="H17" s="87"/>
      <c r="I17" s="87"/>
    </row>
    <row r="18" spans="1:9" ht="15.75" x14ac:dyDescent="0.3">
      <c r="A18" s="26" t="s">
        <v>302</v>
      </c>
      <c r="B18" s="15">
        <v>0.6</v>
      </c>
      <c r="C18" s="26"/>
      <c r="D18" s="26"/>
      <c r="E18" s="87"/>
      <c r="F18" s="87"/>
      <c r="G18" s="87"/>
      <c r="H18" s="87"/>
      <c r="I18" s="87"/>
    </row>
    <row r="19" spans="1:9" ht="15.75" x14ac:dyDescent="0.3">
      <c r="A19" s="30" t="s">
        <v>303</v>
      </c>
      <c r="B19" s="79">
        <v>40</v>
      </c>
      <c r="C19" s="26" t="s">
        <v>98</v>
      </c>
      <c r="D19" s="26"/>
      <c r="E19" s="87"/>
      <c r="F19" s="87"/>
      <c r="G19" s="87"/>
      <c r="H19" s="87"/>
      <c r="I19" s="87"/>
    </row>
    <row r="20" spans="1:9" ht="15.75" x14ac:dyDescent="0.3">
      <c r="A20" s="26" t="s">
        <v>304</v>
      </c>
      <c r="B20" s="79">
        <v>0.25</v>
      </c>
      <c r="C20" s="26"/>
      <c r="D20" s="26"/>
      <c r="E20" s="87"/>
      <c r="F20" s="87"/>
      <c r="G20" s="87"/>
      <c r="H20" s="87"/>
      <c r="I20" s="87"/>
    </row>
    <row r="21" spans="1:9" x14ac:dyDescent="0.2">
      <c r="A21" s="87"/>
      <c r="B21" s="90"/>
      <c r="C21" s="87"/>
      <c r="D21" s="87"/>
      <c r="E21" s="87"/>
      <c r="F21" s="87"/>
      <c r="G21" s="87"/>
      <c r="H21" s="87"/>
      <c r="I21" s="87"/>
    </row>
    <row r="22" spans="1:9" x14ac:dyDescent="0.2">
      <c r="A22" s="100" t="s">
        <v>305</v>
      </c>
      <c r="B22" s="90"/>
      <c r="C22" s="87"/>
      <c r="D22" s="87"/>
      <c r="E22" s="87"/>
      <c r="F22" s="87"/>
      <c r="G22" s="87"/>
      <c r="H22" s="87"/>
      <c r="I22" s="87"/>
    </row>
    <row r="23" spans="1:9" x14ac:dyDescent="0.2">
      <c r="B23" s="95" t="s">
        <v>252</v>
      </c>
      <c r="C23" s="87"/>
      <c r="D23" s="87"/>
      <c r="E23" s="87"/>
      <c r="F23" s="87"/>
      <c r="G23" s="87"/>
      <c r="H23" s="87"/>
      <c r="I23" s="87"/>
    </row>
    <row r="24" spans="1:9" x14ac:dyDescent="0.2">
      <c r="A24" s="79" t="s">
        <v>253</v>
      </c>
      <c r="B24" s="26">
        <v>5.75</v>
      </c>
      <c r="C24" s="26"/>
      <c r="D24" s="26" t="s">
        <v>254</v>
      </c>
      <c r="E24" s="87"/>
      <c r="F24" s="87"/>
      <c r="G24" s="87"/>
      <c r="H24" s="87"/>
      <c r="I24" s="87"/>
    </row>
    <row r="25" spans="1:9" ht="15.75" x14ac:dyDescent="0.3">
      <c r="A25" s="26" t="s">
        <v>306</v>
      </c>
      <c r="B25" s="79">
        <v>0.5</v>
      </c>
      <c r="C25" s="26"/>
      <c r="D25" s="26" t="s">
        <v>255</v>
      </c>
      <c r="E25" s="87"/>
      <c r="F25" s="87"/>
      <c r="G25" s="87"/>
      <c r="H25" s="87"/>
      <c r="I25" s="87"/>
    </row>
    <row r="26" spans="1:9" ht="15.75" x14ac:dyDescent="0.3">
      <c r="A26" s="30" t="s">
        <v>307</v>
      </c>
      <c r="B26" s="79">
        <f>-(PI()/180)*B25*B24*B19/B10</f>
        <v>-20.071286397934788</v>
      </c>
      <c r="C26" s="26" t="s">
        <v>98</v>
      </c>
      <c r="D26" s="26"/>
      <c r="E26" s="87"/>
      <c r="F26" s="87"/>
      <c r="G26" s="87"/>
      <c r="H26" s="87"/>
      <c r="I26" s="87"/>
    </row>
    <row r="27" spans="1:9" x14ac:dyDescent="0.2">
      <c r="A27" s="87"/>
      <c r="B27" s="90"/>
      <c r="C27" s="87"/>
      <c r="D27" s="87"/>
      <c r="E27" s="87"/>
      <c r="F27" s="87"/>
      <c r="G27" s="87"/>
      <c r="H27" s="87"/>
      <c r="I27" s="87"/>
    </row>
    <row r="28" spans="1:9" x14ac:dyDescent="0.2">
      <c r="A28" s="87"/>
      <c r="B28" s="100" t="s">
        <v>256</v>
      </c>
      <c r="C28" s="87"/>
      <c r="D28" s="87"/>
      <c r="E28" s="87"/>
      <c r="F28" s="87"/>
      <c r="G28" s="87"/>
      <c r="H28" s="87"/>
      <c r="I28" s="87"/>
    </row>
    <row r="29" spans="1:9" ht="15.75" x14ac:dyDescent="0.3">
      <c r="A29" s="26" t="s">
        <v>308</v>
      </c>
      <c r="B29" s="26">
        <v>-0.4</v>
      </c>
      <c r="C29" s="26"/>
      <c r="D29" s="26" t="s">
        <v>257</v>
      </c>
      <c r="E29" s="87"/>
      <c r="F29" s="87"/>
      <c r="G29" s="87"/>
      <c r="H29" s="87"/>
      <c r="I29" s="87"/>
    </row>
    <row r="30" spans="1:9" ht="15.75" x14ac:dyDescent="0.3">
      <c r="A30" s="30" t="s">
        <v>307</v>
      </c>
      <c r="B30" s="26">
        <f>B19*B29</f>
        <v>-16</v>
      </c>
      <c r="C30" s="26" t="s">
        <v>98</v>
      </c>
      <c r="D30" s="26"/>
      <c r="E30" s="87"/>
      <c r="F30" s="87"/>
      <c r="G30" s="87"/>
      <c r="H30" s="87"/>
      <c r="I30" s="87"/>
    </row>
    <row r="31" spans="1:9" x14ac:dyDescent="0.2">
      <c r="A31" s="96"/>
      <c r="B31" s="87"/>
      <c r="C31" s="87"/>
      <c r="D31" s="87"/>
      <c r="E31" s="87"/>
      <c r="F31" s="87"/>
      <c r="G31" s="87"/>
      <c r="H31" s="87"/>
      <c r="I31" s="87"/>
    </row>
    <row r="32" spans="1:9" x14ac:dyDescent="0.2">
      <c r="A32" s="96"/>
      <c r="B32" s="100" t="s">
        <v>258</v>
      </c>
      <c r="C32" s="87"/>
      <c r="D32" s="87"/>
      <c r="E32" s="87"/>
      <c r="F32" s="87"/>
      <c r="G32" s="87"/>
      <c r="H32" s="87"/>
      <c r="I32" s="87"/>
    </row>
    <row r="33" spans="1:9" x14ac:dyDescent="0.2">
      <c r="A33" s="20" t="s">
        <v>60</v>
      </c>
      <c r="B33" s="26">
        <v>1.1000000000000001</v>
      </c>
      <c r="C33" s="26"/>
      <c r="D33" s="26" t="s">
        <v>259</v>
      </c>
      <c r="E33" s="87"/>
      <c r="F33" s="87"/>
      <c r="G33" s="87"/>
      <c r="H33" s="87"/>
      <c r="I33" s="87"/>
    </row>
    <row r="34" spans="1:9" x14ac:dyDescent="0.2">
      <c r="A34" s="30" t="s">
        <v>309</v>
      </c>
      <c r="B34" s="26">
        <v>0.8</v>
      </c>
      <c r="C34" s="26"/>
      <c r="D34" s="26" t="s">
        <v>260</v>
      </c>
      <c r="E34" s="87"/>
      <c r="F34" s="87"/>
      <c r="G34" s="87"/>
      <c r="H34" s="87"/>
      <c r="I34" s="87"/>
    </row>
    <row r="35" spans="1:9" ht="15.75" x14ac:dyDescent="0.3">
      <c r="A35" s="30" t="s">
        <v>307</v>
      </c>
      <c r="B35" s="26">
        <f>-B33*B34/B10</f>
        <v>-8.8000000000000007</v>
      </c>
      <c r="C35" s="26" t="s">
        <v>98</v>
      </c>
      <c r="D35" s="26"/>
      <c r="E35" s="87"/>
      <c r="F35" s="87"/>
      <c r="G35" s="87"/>
      <c r="H35" s="87"/>
      <c r="I35" s="87"/>
    </row>
    <row r="36" spans="1:9" x14ac:dyDescent="0.2">
      <c r="A36" s="96"/>
      <c r="B36" s="87"/>
      <c r="C36" s="87"/>
      <c r="D36" s="87"/>
      <c r="E36" s="87"/>
      <c r="F36" s="87"/>
      <c r="G36" s="87"/>
      <c r="H36" s="87"/>
      <c r="I36" s="87"/>
    </row>
    <row r="37" spans="1:9" x14ac:dyDescent="0.2">
      <c r="A37" s="100" t="s">
        <v>261</v>
      </c>
      <c r="B37" s="87"/>
      <c r="C37" s="87"/>
      <c r="D37" s="87"/>
      <c r="E37" s="87"/>
      <c r="F37" s="87"/>
      <c r="G37" s="87"/>
      <c r="H37" s="87"/>
      <c r="I37" s="87"/>
    </row>
    <row r="38" spans="1:9" ht="15.75" x14ac:dyDescent="0.3">
      <c r="A38" s="26" t="s">
        <v>310</v>
      </c>
      <c r="B38" s="26">
        <v>0</v>
      </c>
      <c r="C38" s="26"/>
      <c r="D38" s="26" t="s">
        <v>262</v>
      </c>
      <c r="E38" s="87"/>
      <c r="F38" s="87"/>
      <c r="G38" s="87"/>
      <c r="H38" s="87"/>
      <c r="I38" s="87"/>
    </row>
    <row r="39" spans="1:9" x14ac:dyDescent="0.2">
      <c r="A39" s="26" t="s">
        <v>263</v>
      </c>
      <c r="B39" s="14">
        <f>4/((1+B38)*COS(PI()*B3/180))</f>
        <v>4</v>
      </c>
      <c r="C39" s="26" t="str">
        <f>IF(B8-B39&gt;0,"High","Low")</f>
        <v>High</v>
      </c>
      <c r="D39" s="26"/>
      <c r="E39" s="87"/>
      <c r="F39" s="87"/>
      <c r="G39" s="87"/>
      <c r="H39" s="87"/>
      <c r="I39" s="87"/>
    </row>
    <row r="40" spans="1:9" x14ac:dyDescent="0.2">
      <c r="A40" s="87"/>
      <c r="B40" s="87"/>
      <c r="C40" s="87"/>
      <c r="D40" s="87"/>
      <c r="E40" s="87"/>
      <c r="F40" s="87"/>
      <c r="G40" s="87"/>
      <c r="H40" s="87"/>
      <c r="I40" s="87"/>
    </row>
    <row r="41" spans="1:9" x14ac:dyDescent="0.2">
      <c r="A41" s="95" t="s">
        <v>264</v>
      </c>
      <c r="B41" s="87"/>
      <c r="C41" s="87"/>
      <c r="D41" s="95" t="s">
        <v>265</v>
      </c>
      <c r="E41" s="87"/>
      <c r="F41" s="87"/>
      <c r="G41" s="87"/>
      <c r="H41" s="87"/>
      <c r="I41" s="87"/>
    </row>
    <row r="42" spans="1:9" x14ac:dyDescent="0.2">
      <c r="A42" s="30" t="s">
        <v>266</v>
      </c>
      <c r="B42" s="26">
        <v>0.8</v>
      </c>
      <c r="C42" s="26" t="s">
        <v>267</v>
      </c>
      <c r="D42" s="26" t="s">
        <v>268</v>
      </c>
      <c r="E42" s="87"/>
      <c r="F42" s="87"/>
      <c r="G42" s="87"/>
      <c r="H42" s="87"/>
      <c r="I42" s="87"/>
    </row>
    <row r="43" spans="1:9" ht="15.75" x14ac:dyDescent="0.3">
      <c r="A43" s="26" t="s">
        <v>311</v>
      </c>
      <c r="B43" s="26">
        <v>1.3</v>
      </c>
      <c r="C43" s="26"/>
      <c r="D43" s="26" t="s">
        <v>269</v>
      </c>
      <c r="E43" s="87"/>
      <c r="F43" s="87"/>
      <c r="G43" s="87"/>
      <c r="H43" s="87"/>
      <c r="I43" s="87"/>
    </row>
    <row r="44" spans="1:9" ht="15.75" x14ac:dyDescent="0.3">
      <c r="A44" s="21" t="s">
        <v>312</v>
      </c>
      <c r="B44" s="26">
        <f>B43*B13</f>
        <v>1.6900000000000002</v>
      </c>
      <c r="C44" s="26"/>
      <c r="D44" s="26"/>
      <c r="E44" s="87"/>
      <c r="F44" s="87"/>
      <c r="G44" s="87"/>
      <c r="H44" s="87"/>
      <c r="I44" s="87"/>
    </row>
    <row r="45" spans="1:9" ht="15.75" x14ac:dyDescent="0.3">
      <c r="A45" s="30" t="s">
        <v>313</v>
      </c>
      <c r="B45" s="26">
        <v>12.5</v>
      </c>
      <c r="C45" s="26" t="s">
        <v>98</v>
      </c>
      <c r="D45" s="26" t="s">
        <v>270</v>
      </c>
      <c r="E45" s="87"/>
      <c r="F45" s="87"/>
      <c r="G45" s="87"/>
      <c r="H45" s="87"/>
      <c r="I45" s="87"/>
    </row>
    <row r="46" spans="1:9" ht="15.75" x14ac:dyDescent="0.3">
      <c r="A46" s="30" t="s">
        <v>301</v>
      </c>
      <c r="B46" s="26">
        <f>B44/B11 + B12 + B45</f>
        <v>31.418902406942358</v>
      </c>
      <c r="C46" s="26" t="s">
        <v>98</v>
      </c>
      <c r="D46" s="26"/>
      <c r="E46" s="87"/>
      <c r="F46" s="87"/>
      <c r="G46" s="87"/>
      <c r="H46" s="87"/>
      <c r="I46" s="87"/>
    </row>
    <row r="47" spans="1:9" x14ac:dyDescent="0.2">
      <c r="A47" s="96"/>
      <c r="B47" s="87"/>
      <c r="C47" s="87"/>
      <c r="D47" s="87"/>
      <c r="E47" s="87"/>
      <c r="F47" s="87"/>
      <c r="G47" s="87"/>
      <c r="H47" s="87"/>
      <c r="I47" s="87"/>
    </row>
    <row r="48" spans="1:9" x14ac:dyDescent="0.2">
      <c r="A48" s="95" t="s">
        <v>271</v>
      </c>
      <c r="B48" s="33"/>
      <c r="C48" s="33"/>
      <c r="D48" s="33"/>
      <c r="E48" s="33"/>
      <c r="F48" s="33"/>
      <c r="G48" s="33"/>
      <c r="H48" s="33"/>
      <c r="I48" s="33"/>
    </row>
    <row r="49" spans="1:9" x14ac:dyDescent="0.2">
      <c r="A49" s="20" t="s">
        <v>272</v>
      </c>
      <c r="B49" s="26">
        <f>(B38+1)*(B8/B7)*COS(B3*PI()/180)</f>
        <v>7.0003500262521881</v>
      </c>
      <c r="C49" s="20"/>
      <c r="D49" s="20"/>
      <c r="E49" s="33"/>
      <c r="F49" s="33"/>
      <c r="G49" s="33"/>
      <c r="H49" s="33"/>
      <c r="I49" s="33"/>
    </row>
    <row r="50" spans="1:9" ht="15.75" x14ac:dyDescent="0.3">
      <c r="A50" s="26" t="s">
        <v>314</v>
      </c>
      <c r="B50" s="26">
        <v>1.2</v>
      </c>
      <c r="C50" s="26"/>
      <c r="D50" s="26" t="s">
        <v>273</v>
      </c>
      <c r="E50" s="87"/>
      <c r="F50" s="87"/>
      <c r="G50" s="87"/>
      <c r="H50" s="87"/>
      <c r="I50" s="87"/>
    </row>
    <row r="51" spans="1:9" ht="15.75" x14ac:dyDescent="0.3">
      <c r="A51" s="26" t="s">
        <v>315</v>
      </c>
      <c r="B51" s="26">
        <v>0</v>
      </c>
      <c r="C51" s="26"/>
      <c r="D51" s="26" t="s">
        <v>274</v>
      </c>
      <c r="E51" s="87"/>
      <c r="F51" s="87"/>
      <c r="G51" s="87"/>
      <c r="H51" s="87"/>
      <c r="I51" s="87"/>
    </row>
    <row r="52" spans="1:9" x14ac:dyDescent="0.2">
      <c r="A52" s="26" t="s">
        <v>275</v>
      </c>
      <c r="B52" s="26">
        <f>(B51 + 1)*B8*TAN(B3*PI()/180)</f>
        <v>0</v>
      </c>
      <c r="C52" s="26"/>
      <c r="D52" s="26"/>
      <c r="E52" s="87"/>
      <c r="F52" s="87"/>
      <c r="G52" s="87"/>
      <c r="H52" s="87"/>
      <c r="I52" s="87"/>
    </row>
    <row r="53" spans="1:9" ht="15.75" x14ac:dyDescent="0.3">
      <c r="A53" s="30" t="s">
        <v>316</v>
      </c>
      <c r="B53" s="26">
        <v>-1.4999999999999999E-2</v>
      </c>
      <c r="C53" s="26"/>
      <c r="D53" s="26" t="s">
        <v>276</v>
      </c>
      <c r="E53" s="87"/>
      <c r="F53" s="87"/>
      <c r="G53" s="87"/>
      <c r="H53" s="87"/>
      <c r="I53" s="87"/>
    </row>
    <row r="54" spans="1:9" ht="15.75" x14ac:dyDescent="0.3">
      <c r="A54" s="26" t="s">
        <v>317</v>
      </c>
      <c r="B54" s="26">
        <f>B50+B53</f>
        <v>1.1850000000000001</v>
      </c>
      <c r="C54" s="26"/>
      <c r="D54" s="26"/>
      <c r="E54" s="87"/>
      <c r="F54" s="87"/>
      <c r="G54" s="87"/>
      <c r="H54" s="87"/>
      <c r="I54" s="87"/>
    </row>
    <row r="55" spans="1:9" ht="18.75" x14ac:dyDescent="0.35">
      <c r="A55" s="30" t="s">
        <v>318</v>
      </c>
      <c r="B55" s="26">
        <v>34</v>
      </c>
      <c r="C55" s="26" t="s">
        <v>98</v>
      </c>
      <c r="D55" s="26" t="s">
        <v>277</v>
      </c>
      <c r="E55" s="87"/>
      <c r="F55" s="87"/>
      <c r="G55" s="87"/>
      <c r="H55" s="87"/>
      <c r="I55" s="87"/>
    </row>
    <row r="56" spans="1:9" x14ac:dyDescent="0.2">
      <c r="A56" s="20" t="s">
        <v>278</v>
      </c>
      <c r="B56" s="26">
        <f>B8*COS(B3*PI()/180)*(1+(2*B4^2))</f>
        <v>21</v>
      </c>
      <c r="C56" s="26"/>
      <c r="D56" s="26"/>
      <c r="E56" s="87"/>
      <c r="F56" s="87"/>
      <c r="G56" s="87"/>
      <c r="H56" s="87"/>
      <c r="I56" s="87"/>
    </row>
    <row r="57" spans="1:9" ht="15.75" x14ac:dyDescent="0.3">
      <c r="A57" s="30" t="s">
        <v>313</v>
      </c>
      <c r="B57" s="26">
        <v>1</v>
      </c>
      <c r="C57" s="26" t="s">
        <v>98</v>
      </c>
      <c r="D57" s="26" t="s">
        <v>279</v>
      </c>
      <c r="E57" s="87"/>
      <c r="F57" s="87"/>
      <c r="G57" s="87"/>
      <c r="H57" s="87"/>
      <c r="I57" s="87"/>
    </row>
    <row r="58" spans="1:9" ht="15.75" x14ac:dyDescent="0.3">
      <c r="A58" s="30" t="s">
        <v>301</v>
      </c>
      <c r="B58" s="26">
        <f>B55+B57</f>
        <v>35</v>
      </c>
      <c r="C58" s="26" t="s">
        <v>98</v>
      </c>
      <c r="D58" s="26"/>
      <c r="E58" s="87"/>
      <c r="F58" s="87"/>
      <c r="G58" s="87"/>
      <c r="H58" s="87"/>
      <c r="I58" s="87"/>
    </row>
    <row r="59" spans="1:9" x14ac:dyDescent="0.2">
      <c r="A59" s="96"/>
      <c r="B59" s="87"/>
      <c r="C59" s="87"/>
      <c r="D59" s="87"/>
      <c r="E59" s="87"/>
      <c r="F59" s="87"/>
      <c r="G59" s="87"/>
      <c r="H59" s="87"/>
      <c r="I59" s="87"/>
    </row>
    <row r="60" spans="1:9" x14ac:dyDescent="0.2">
      <c r="A60" s="100" t="s">
        <v>280</v>
      </c>
      <c r="B60" s="100"/>
      <c r="C60" s="100"/>
      <c r="D60" s="100"/>
      <c r="E60" s="100"/>
      <c r="F60" s="100"/>
      <c r="G60" s="100"/>
      <c r="H60" s="100"/>
      <c r="I60" s="100"/>
    </row>
    <row r="61" spans="1:9" x14ac:dyDescent="0.2">
      <c r="A61" s="21" t="s">
        <v>281</v>
      </c>
      <c r="B61" s="21" t="str">
        <f>IF(B17="slot","slot",IF(B17="plane","plane",IF(B17="split","split")))</f>
        <v>slot</v>
      </c>
      <c r="C61" s="98" t="s">
        <v>251</v>
      </c>
      <c r="D61" s="99"/>
      <c r="E61" s="100"/>
      <c r="F61" s="100"/>
      <c r="G61" s="100"/>
      <c r="H61" s="100"/>
      <c r="I61" s="100"/>
    </row>
    <row r="62" spans="1:9" ht="15.75" x14ac:dyDescent="0.3">
      <c r="A62" s="30" t="s">
        <v>319</v>
      </c>
      <c r="B62" s="21">
        <f>IF(B61="slot",B30+B12,IF(B61="plane",B26+B12,IF(B61="split",B35+B12)))</f>
        <v>-17.5</v>
      </c>
      <c r="C62" s="21"/>
      <c r="D62" s="48"/>
      <c r="E62" s="100"/>
      <c r="F62" s="100"/>
      <c r="G62" s="100"/>
      <c r="H62" s="100"/>
      <c r="I62" s="100"/>
    </row>
    <row r="63" spans="1:9" ht="15.75" x14ac:dyDescent="0.3">
      <c r="A63" s="20" t="s">
        <v>320</v>
      </c>
      <c r="B63" s="21">
        <f>IF(C39="low",B58,B46)</f>
        <v>31.418902406942358</v>
      </c>
      <c r="C63" s="21" t="s">
        <v>98</v>
      </c>
      <c r="D63" s="48"/>
      <c r="E63" s="100"/>
      <c r="F63" s="100"/>
      <c r="G63" s="100"/>
      <c r="H63" s="100"/>
      <c r="I63" s="100"/>
    </row>
    <row r="64" spans="1:9" ht="16.5" thickBot="1" x14ac:dyDescent="0.35">
      <c r="A64" s="26" t="s">
        <v>321</v>
      </c>
      <c r="B64" s="21">
        <f>IF(C39="low",B54,B44)</f>
        <v>1.6900000000000002</v>
      </c>
      <c r="C64" s="21"/>
      <c r="D64" s="48"/>
      <c r="E64" s="100"/>
      <c r="F64" s="100"/>
      <c r="G64" s="100"/>
      <c r="H64" s="100"/>
      <c r="I64" s="100"/>
    </row>
    <row r="65" spans="1:9" ht="16.5" thickTop="1" x14ac:dyDescent="0.3">
      <c r="A65" s="101" t="s">
        <v>322</v>
      </c>
      <c r="B65" s="102">
        <v>-2.5</v>
      </c>
      <c r="C65" s="102" t="s">
        <v>98</v>
      </c>
      <c r="D65" s="102" t="s">
        <v>282</v>
      </c>
      <c r="E65" s="87"/>
      <c r="F65" s="87"/>
      <c r="G65" s="87"/>
      <c r="H65" s="87"/>
      <c r="I65" s="87"/>
    </row>
    <row r="66" spans="1:9" ht="15.75" x14ac:dyDescent="0.3">
      <c r="A66" s="30" t="s">
        <v>323</v>
      </c>
      <c r="B66" s="26">
        <f>B14 + B65</f>
        <v>12.5</v>
      </c>
      <c r="C66" s="26" t="s">
        <v>98</v>
      </c>
      <c r="D66" s="26"/>
      <c r="E66" s="87"/>
      <c r="F66" s="87"/>
      <c r="G66" s="87"/>
      <c r="H66" s="87"/>
      <c r="I66" s="87"/>
    </row>
    <row r="67" spans="1:9" ht="15.75" x14ac:dyDescent="0.3">
      <c r="A67" s="26" t="s">
        <v>324</v>
      </c>
      <c r="B67" s="26">
        <f>B10*(B66-B62)</f>
        <v>3</v>
      </c>
      <c r="C67" s="26"/>
      <c r="D67" s="26"/>
      <c r="E67" s="87"/>
      <c r="F67" s="87"/>
      <c r="G67" s="87"/>
      <c r="H67" s="87"/>
      <c r="I67" s="87"/>
    </row>
    <row r="68" spans="1:9" ht="15.75" x14ac:dyDescent="0.3">
      <c r="A68" s="30" t="s">
        <v>325</v>
      </c>
      <c r="B68" s="26">
        <f>B67 - B13</f>
        <v>1.7</v>
      </c>
      <c r="C68" s="26"/>
      <c r="D68" s="26"/>
      <c r="E68" s="87"/>
      <c r="F68" s="87"/>
      <c r="G68" s="87"/>
      <c r="H68" s="87"/>
      <c r="I68" s="87"/>
    </row>
    <row r="69" spans="1:9" x14ac:dyDescent="0.2">
      <c r="A69" s="20" t="s">
        <v>326</v>
      </c>
      <c r="B69" s="26">
        <f>(1-0.08*(COS(B9*PI()/180))^2)*(COS(B9*PI()/180))^(3/4)</f>
        <v>0.92</v>
      </c>
      <c r="C69" s="26"/>
      <c r="D69" s="26"/>
      <c r="E69" s="87"/>
      <c r="F69" s="87"/>
      <c r="G69" s="87"/>
      <c r="H69" s="87"/>
      <c r="I69" s="87"/>
    </row>
    <row r="70" spans="1:9" ht="15.75" x14ac:dyDescent="0.3">
      <c r="A70" s="30" t="s">
        <v>316</v>
      </c>
      <c r="B70" s="26">
        <f>B68*B18*B69</f>
        <v>0.93840000000000001</v>
      </c>
      <c r="C70" s="26"/>
      <c r="D70" s="26"/>
      <c r="E70" s="87"/>
      <c r="F70" s="87"/>
      <c r="G70" s="87"/>
      <c r="H70" s="87"/>
      <c r="I70" s="87"/>
    </row>
    <row r="71" spans="1:9" ht="15.75" x14ac:dyDescent="0.3">
      <c r="A71" s="26" t="s">
        <v>317</v>
      </c>
      <c r="B71" s="26">
        <f>IF(C39="Low",B54+B70, B44+B70)</f>
        <v>2.6284000000000001</v>
      </c>
      <c r="C71" s="26"/>
      <c r="D71" s="26"/>
      <c r="E71" s="87"/>
      <c r="F71" s="87"/>
      <c r="G71" s="87"/>
      <c r="H71" s="87"/>
      <c r="I71" s="87"/>
    </row>
    <row r="72" spans="1:9" ht="15.75" x14ac:dyDescent="0.3">
      <c r="A72" s="20" t="s">
        <v>327</v>
      </c>
      <c r="B72" s="26">
        <f>B63 + B65</f>
        <v>28.918902406942358</v>
      </c>
      <c r="C72" s="26" t="s">
        <v>98</v>
      </c>
      <c r="D72" s="26"/>
      <c r="E72" s="87"/>
      <c r="F72" s="87"/>
      <c r="G72" s="87"/>
      <c r="H72" s="87"/>
      <c r="I72" s="87"/>
    </row>
    <row r="73" spans="1:9" x14ac:dyDescent="0.2">
      <c r="A73" s="87"/>
      <c r="B73" s="87"/>
      <c r="C73" s="87"/>
      <c r="D73" s="87"/>
      <c r="E73" s="87"/>
      <c r="F73" s="87"/>
      <c r="G73" s="87"/>
      <c r="H73" s="87"/>
      <c r="I73" s="87"/>
    </row>
    <row r="74" spans="1:9" x14ac:dyDescent="0.2">
      <c r="A74" s="100" t="s">
        <v>283</v>
      </c>
      <c r="B74" s="100"/>
      <c r="C74" s="100"/>
      <c r="D74" s="87"/>
      <c r="E74" s="87"/>
      <c r="F74" s="87"/>
      <c r="G74" s="87"/>
      <c r="H74" s="87"/>
      <c r="I74" s="87"/>
    </row>
    <row r="75" spans="1:9" ht="15.75" x14ac:dyDescent="0.3">
      <c r="A75" s="30" t="s">
        <v>325</v>
      </c>
      <c r="B75" s="26">
        <v>0.3</v>
      </c>
      <c r="C75" s="26"/>
      <c r="D75" s="26" t="s">
        <v>284</v>
      </c>
      <c r="E75" s="87"/>
      <c r="F75" s="87"/>
      <c r="G75" s="87"/>
      <c r="H75" s="87"/>
      <c r="I75" s="87"/>
    </row>
    <row r="76" spans="1:9" ht="15.75" x14ac:dyDescent="0.3">
      <c r="A76" s="30" t="s">
        <v>316</v>
      </c>
      <c r="B76" s="26">
        <f>B75*B18*COS(B3*PI()/180)</f>
        <v>0.18</v>
      </c>
      <c r="C76" s="26"/>
      <c r="D76" s="26"/>
      <c r="E76" s="87"/>
      <c r="F76" s="87"/>
      <c r="G76" s="87"/>
      <c r="H76" s="87"/>
      <c r="I76" s="87"/>
    </row>
    <row r="77" spans="1:9" ht="15.75" x14ac:dyDescent="0.3">
      <c r="A77" s="26" t="s">
        <v>317</v>
      </c>
      <c r="B77" s="26">
        <f>B71 + B76</f>
        <v>2.8084000000000002</v>
      </c>
      <c r="C77" s="26"/>
      <c r="D77" s="26"/>
      <c r="E77" s="87"/>
      <c r="F77" s="87"/>
      <c r="G77" s="87"/>
      <c r="H77" s="87"/>
      <c r="I77" s="87"/>
    </row>
    <row r="78" spans="1:9" x14ac:dyDescent="0.2">
      <c r="B78" s="87"/>
      <c r="C78" s="87"/>
      <c r="D78" s="87"/>
      <c r="E78" s="87"/>
      <c r="F78" s="87"/>
      <c r="G78" s="87"/>
      <c r="H78" s="87"/>
      <c r="I78" s="87"/>
    </row>
    <row r="79" spans="1:9" x14ac:dyDescent="0.2">
      <c r="A79" s="100" t="s">
        <v>285</v>
      </c>
      <c r="B79" s="100"/>
      <c r="C79" s="100"/>
      <c r="D79" s="87"/>
      <c r="E79" s="87"/>
      <c r="F79" s="87"/>
      <c r="G79" s="87"/>
      <c r="H79" s="87"/>
      <c r="I79" s="87"/>
    </row>
    <row r="80" spans="1:9" ht="15.75" x14ac:dyDescent="0.3">
      <c r="A80" s="26" t="s">
        <v>328</v>
      </c>
      <c r="B80" s="26">
        <v>1.4</v>
      </c>
      <c r="C80" s="26"/>
      <c r="D80" s="26" t="s">
        <v>286</v>
      </c>
      <c r="E80" s="87"/>
      <c r="F80" s="87"/>
      <c r="G80" s="87"/>
      <c r="H80" s="87"/>
      <c r="I80" s="87"/>
    </row>
    <row r="81" spans="1:9" ht="15.75" x14ac:dyDescent="0.3">
      <c r="A81" s="26" t="s">
        <v>329</v>
      </c>
      <c r="B81" s="26">
        <v>7.4999999999999997E-2</v>
      </c>
      <c r="C81" s="26"/>
      <c r="D81" s="26" t="s">
        <v>287</v>
      </c>
      <c r="E81" s="87"/>
      <c r="F81" s="87"/>
      <c r="G81" s="87"/>
      <c r="H81" s="87"/>
      <c r="I81" s="87"/>
    </row>
    <row r="82" spans="1:9" ht="15.75" x14ac:dyDescent="0.3">
      <c r="A82" s="30" t="s">
        <v>330</v>
      </c>
      <c r="B82" s="26">
        <f>B80*B81*B18</f>
        <v>6.3E-2</v>
      </c>
      <c r="C82" s="26"/>
      <c r="D82" s="26"/>
      <c r="E82" s="87"/>
      <c r="F82" s="87"/>
      <c r="G82" s="87"/>
      <c r="H82" s="87"/>
      <c r="I82" s="87"/>
    </row>
    <row r="83" spans="1:9" x14ac:dyDescent="0.2">
      <c r="A83" s="95"/>
      <c r="B83" s="87"/>
      <c r="C83" s="87"/>
      <c r="D83" s="87"/>
      <c r="E83" s="87"/>
      <c r="F83" s="87"/>
      <c r="G83" s="87"/>
      <c r="H83" s="87"/>
      <c r="I83" s="87"/>
    </row>
    <row r="85" spans="1:9" x14ac:dyDescent="0.2">
      <c r="A85" s="95" t="s">
        <v>288</v>
      </c>
      <c r="B85" s="95"/>
      <c r="D85" s="95"/>
      <c r="E85" s="87"/>
    </row>
    <row r="87" spans="1:9" x14ac:dyDescent="0.2">
      <c r="B87" s="103" t="s">
        <v>289</v>
      </c>
      <c r="C87" s="103"/>
      <c r="D87" s="16" t="s">
        <v>290</v>
      </c>
      <c r="E87" s="104"/>
      <c r="F87" s="16" t="s">
        <v>291</v>
      </c>
      <c r="G87" s="104"/>
      <c r="H87" s="16" t="s">
        <v>292</v>
      </c>
      <c r="I87" s="104"/>
    </row>
    <row r="88" spans="1:9" ht="15.75" x14ac:dyDescent="0.3">
      <c r="B88" s="105" t="s">
        <v>141</v>
      </c>
      <c r="C88" s="106" t="s">
        <v>331</v>
      </c>
      <c r="D88" s="107" t="s">
        <v>141</v>
      </c>
      <c r="E88" s="106" t="s">
        <v>331</v>
      </c>
      <c r="F88" s="107" t="s">
        <v>141</v>
      </c>
      <c r="G88" s="106" t="s">
        <v>332</v>
      </c>
      <c r="H88" s="107" t="s">
        <v>141</v>
      </c>
      <c r="I88" s="106" t="s">
        <v>332</v>
      </c>
    </row>
    <row r="89" spans="1:9" x14ac:dyDescent="0.2">
      <c r="B89" s="49">
        <f>B12</f>
        <v>-1.5</v>
      </c>
      <c r="C89" s="108">
        <v>0</v>
      </c>
      <c r="D89" s="26">
        <f>B62</f>
        <v>-17.5</v>
      </c>
      <c r="E89" s="108">
        <v>0</v>
      </c>
      <c r="F89" s="26">
        <f>B12</f>
        <v>-1.5</v>
      </c>
      <c r="G89" s="108">
        <v>0</v>
      </c>
      <c r="H89" s="26">
        <f>B62</f>
        <v>-17.5</v>
      </c>
      <c r="I89" s="108">
        <v>0</v>
      </c>
    </row>
    <row r="90" spans="1:9" x14ac:dyDescent="0.2">
      <c r="B90" s="49">
        <f>C90/B10 + B89</f>
        <v>8.9</v>
      </c>
      <c r="C90" s="108">
        <f>0.8*B13</f>
        <v>1.04</v>
      </c>
      <c r="D90" s="26">
        <f>E90/B10 + D89</f>
        <v>6.5000000000000036</v>
      </c>
      <c r="E90" s="108">
        <f>0.8*B67</f>
        <v>2.4000000000000004</v>
      </c>
      <c r="F90" s="26">
        <f>G90/B11 + B12</f>
        <v>14.835121925553889</v>
      </c>
      <c r="G90" s="108">
        <f>0.8*B64</f>
        <v>1.3520000000000003</v>
      </c>
      <c r="H90" s="26">
        <f>I90/B11 + B62</f>
        <v>7.9054641829146952</v>
      </c>
      <c r="I90" s="108">
        <f>0.8*B71</f>
        <v>2.1027200000000001</v>
      </c>
    </row>
    <row r="91" spans="1:9" x14ac:dyDescent="0.2">
      <c r="B91" s="49">
        <f>B14</f>
        <v>15</v>
      </c>
      <c r="C91" s="108">
        <f>B13</f>
        <v>1.3</v>
      </c>
      <c r="D91" s="26">
        <f>B66</f>
        <v>12.5</v>
      </c>
      <c r="E91" s="108">
        <f>B67</f>
        <v>3</v>
      </c>
      <c r="F91" s="26">
        <f>B63</f>
        <v>31.418902406942358</v>
      </c>
      <c r="G91" s="108">
        <f>B64</f>
        <v>1.6900000000000002</v>
      </c>
      <c r="H91" s="26">
        <f>B72</f>
        <v>28.918902406942358</v>
      </c>
      <c r="I91" s="108">
        <f>B71</f>
        <v>2.6284000000000001</v>
      </c>
    </row>
    <row r="92" spans="1:9" x14ac:dyDescent="0.2">
      <c r="B92" s="49">
        <f>B91 + (B91-B90)</f>
        <v>21.1</v>
      </c>
      <c r="C92" s="26">
        <f>C90</f>
        <v>1.04</v>
      </c>
      <c r="D92" s="103">
        <f>D91 + (D91-D90)</f>
        <v>18.499999999999996</v>
      </c>
      <c r="E92" s="103">
        <f>E90</f>
        <v>2.4000000000000004</v>
      </c>
      <c r="F92" s="26">
        <f>F91 + (F91-F90)</f>
        <v>48.002682888330824</v>
      </c>
      <c r="G92" s="26">
        <f>G90</f>
        <v>1.3520000000000003</v>
      </c>
      <c r="H92" s="103">
        <f>H91 + (H91-H90)</f>
        <v>49.932340630970018</v>
      </c>
      <c r="I92" s="103">
        <f>I90</f>
        <v>2.1027200000000001</v>
      </c>
    </row>
    <row r="100" spans="3:7" x14ac:dyDescent="0.2">
      <c r="C100" s="61" t="s">
        <v>293</v>
      </c>
      <c r="G100" s="61" t="s">
        <v>294</v>
      </c>
    </row>
    <row r="115" spans="3:7" x14ac:dyDescent="0.2">
      <c r="C115" s="61" t="s">
        <v>295</v>
      </c>
      <c r="G115" s="61" t="s">
        <v>296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127" workbookViewId="0">
      <selection activeCell="B141" sqref="B141"/>
    </sheetView>
  </sheetViews>
  <sheetFormatPr defaultColWidth="11.42578125" defaultRowHeight="12.75" x14ac:dyDescent="0.2"/>
  <cols>
    <col min="1" max="1" width="11.42578125" customWidth="1"/>
    <col min="2" max="7" width="9" customWidth="1"/>
  </cols>
  <sheetData>
    <row r="1" spans="1:7" x14ac:dyDescent="0.2">
      <c r="B1" s="4" t="s">
        <v>333</v>
      </c>
    </row>
    <row r="2" spans="1:7" x14ac:dyDescent="0.2">
      <c r="A2" s="109" t="s">
        <v>334</v>
      </c>
      <c r="B2" s="109" t="s">
        <v>335</v>
      </c>
      <c r="C2" s="109" t="s">
        <v>336</v>
      </c>
      <c r="E2" s="4" t="s">
        <v>58</v>
      </c>
      <c r="F2" s="5">
        <f>A</f>
        <v>7</v>
      </c>
    </row>
    <row r="3" spans="1:7" x14ac:dyDescent="0.2">
      <c r="A3" s="110">
        <v>1.03E-2</v>
      </c>
      <c r="B3" s="110">
        <v>5.1000000000000004E-3</v>
      </c>
      <c r="C3" s="110">
        <v>3.5999999999999997E-2</v>
      </c>
      <c r="E3" s="4" t="s">
        <v>337</v>
      </c>
      <c r="F3" s="5">
        <v>0.76800000000000002</v>
      </c>
    </row>
    <row r="4" spans="1:7" x14ac:dyDescent="0.2">
      <c r="A4" s="110">
        <f>KDW</f>
        <v>0.76800000000000002</v>
      </c>
      <c r="B4" s="110">
        <v>1</v>
      </c>
      <c r="C4" s="110">
        <v>1</v>
      </c>
      <c r="E4" s="4" t="s">
        <v>338</v>
      </c>
      <c r="F4" s="5">
        <v>1</v>
      </c>
    </row>
    <row r="5" spans="1:7" x14ac:dyDescent="0.2">
      <c r="A5" s="110">
        <f>KVS</f>
        <v>1</v>
      </c>
      <c r="B5" s="110">
        <v>1</v>
      </c>
      <c r="C5" s="110">
        <v>1</v>
      </c>
      <c r="E5" s="4" t="s">
        <v>70</v>
      </c>
      <c r="F5" s="5">
        <v>2</v>
      </c>
    </row>
    <row r="6" spans="1:7" x14ac:dyDescent="0.2">
      <c r="A6" s="110">
        <v>0.5</v>
      </c>
      <c r="B6" s="110">
        <v>0.55700000000000005</v>
      </c>
      <c r="C6" s="110">
        <v>0.49</v>
      </c>
      <c r="E6" s="4" t="s">
        <v>339</v>
      </c>
      <c r="F6" s="5">
        <f>q</f>
        <v>2.24129492397967</v>
      </c>
      <c r="G6" s="5" t="s">
        <v>340</v>
      </c>
    </row>
    <row r="7" spans="1:7" x14ac:dyDescent="0.2">
      <c r="A7" s="110">
        <v>0.5</v>
      </c>
      <c r="B7" s="110">
        <v>0.57699999999999996</v>
      </c>
      <c r="C7" s="110">
        <v>0.49</v>
      </c>
      <c r="E7" s="4" t="s">
        <v>341</v>
      </c>
      <c r="F7" s="5">
        <f>S</f>
        <v>4.3549782185485588</v>
      </c>
      <c r="G7" s="5" t="s">
        <v>342</v>
      </c>
    </row>
    <row r="8" spans="1:7" x14ac:dyDescent="0.2">
      <c r="A8" s="110">
        <v>0.622</v>
      </c>
      <c r="B8" s="110">
        <v>0.64900000000000002</v>
      </c>
      <c r="C8" s="110">
        <v>0.75800000000000001</v>
      </c>
      <c r="E8" s="4" t="s">
        <v>343</v>
      </c>
      <c r="F8" s="5">
        <v>0.6</v>
      </c>
    </row>
    <row r="9" spans="1:7" x14ac:dyDescent="0.2">
      <c r="A9" s="110">
        <v>0.78500000000000003</v>
      </c>
      <c r="B9" s="110">
        <v>0.5</v>
      </c>
      <c r="C9" s="110">
        <v>0.6</v>
      </c>
      <c r="E9" s="5" t="s">
        <v>344</v>
      </c>
      <c r="F9" s="5">
        <f>F8*sw</f>
        <v>2.6129869311291354</v>
      </c>
      <c r="G9" s="5" t="s">
        <v>342</v>
      </c>
    </row>
    <row r="10" spans="1:7" x14ac:dyDescent="0.2">
      <c r="A10" s="110">
        <v>-0.4</v>
      </c>
      <c r="B10" s="110">
        <v>-0.4</v>
      </c>
      <c r="C10" s="110">
        <v>-0.3</v>
      </c>
      <c r="E10" s="4" t="s">
        <v>103</v>
      </c>
      <c r="F10" s="5">
        <f>tc</f>
        <v>0.12</v>
      </c>
    </row>
    <row r="11" spans="1:7" x14ac:dyDescent="0.2">
      <c r="A11" s="110">
        <v>1</v>
      </c>
      <c r="B11" s="110">
        <v>1</v>
      </c>
      <c r="C11" s="110">
        <v>0</v>
      </c>
      <c r="E11" s="4" t="s">
        <v>345</v>
      </c>
      <c r="F11" s="5">
        <f>WTO</f>
        <v>3.6422972697339673</v>
      </c>
      <c r="G11" s="5" t="s">
        <v>346</v>
      </c>
    </row>
    <row r="12" spans="1:7" x14ac:dyDescent="0.2">
      <c r="A12" s="110">
        <v>0.05</v>
      </c>
      <c r="B12" s="110">
        <v>0.1</v>
      </c>
      <c r="C12" s="110">
        <v>4.0000000000000001E-3</v>
      </c>
      <c r="E12" s="4" t="s">
        <v>347</v>
      </c>
      <c r="F12" s="8">
        <v>0.1</v>
      </c>
      <c r="G12" s="5" t="s">
        <v>346</v>
      </c>
    </row>
    <row r="13" spans="1:7" x14ac:dyDescent="0.2">
      <c r="A13" s="110">
        <v>-1</v>
      </c>
      <c r="B13" s="110">
        <v>-1</v>
      </c>
      <c r="C13" s="110">
        <v>0.3</v>
      </c>
      <c r="E13" s="111" t="s">
        <v>348</v>
      </c>
      <c r="F13" s="5">
        <f>LAMLE</f>
        <v>0</v>
      </c>
      <c r="G13" s="5" t="s">
        <v>98</v>
      </c>
    </row>
    <row r="14" spans="1:7" x14ac:dyDescent="0.2">
      <c r="A14" s="110">
        <v>0.04</v>
      </c>
      <c r="B14" s="110">
        <v>0.1</v>
      </c>
      <c r="C14" s="110">
        <v>0</v>
      </c>
      <c r="E14" s="111" t="s">
        <v>106</v>
      </c>
      <c r="F14" s="5">
        <f>lambda</f>
        <v>1</v>
      </c>
    </row>
    <row r="15" spans="1:7" x14ac:dyDescent="0.2">
      <c r="A15" s="110">
        <v>0</v>
      </c>
      <c r="B15" s="110">
        <v>0</v>
      </c>
      <c r="C15" s="110">
        <v>6.0000000000000001E-3</v>
      </c>
    </row>
    <row r="16" spans="1:7" x14ac:dyDescent="0.2">
      <c r="A16" s="110">
        <v>0</v>
      </c>
      <c r="B16" s="110">
        <v>0</v>
      </c>
      <c r="C16" s="110">
        <v>3.5000000000000001E-3</v>
      </c>
    </row>
    <row r="18" spans="1:7" x14ac:dyDescent="0.2">
      <c r="A18" s="5" t="s">
        <v>334</v>
      </c>
      <c r="B18" s="8">
        <f>A3*A4*A5*WDG^A6*n^A7*sw^A8*A^A9*tc^A10*(A11+LAM)^A12*(COS(GAM*3.14/180))^A13*sf^A14*q^A15*WFW^A16</f>
        <v>0.61704505047570513</v>
      </c>
      <c r="C18" s="5" t="s">
        <v>346</v>
      </c>
    </row>
    <row r="19" spans="1:7" x14ac:dyDescent="0.2">
      <c r="A19" s="5" t="s">
        <v>335</v>
      </c>
      <c r="B19" s="8">
        <f>B3*B4*B5*WDG^B6*n^B7*sw^B8*A^B9*tc^B10*(B11+LAM)^B12*(COS(GAM*3.14/180))^B13*sf^B14*q^B15*WFW^B16</f>
        <v>0.29603681664708903</v>
      </c>
      <c r="C19" s="5" t="s">
        <v>346</v>
      </c>
    </row>
    <row r="20" spans="1:7" x14ac:dyDescent="0.2">
      <c r="A20" s="5" t="s">
        <v>336</v>
      </c>
      <c r="B20" s="8">
        <f>C3*C4*C5*WDG^C6*n^C7*sw^C8*A^C9*tc^C10*(C11+LAM)^C12*(COS(GAM*3.14/180))^C13*sf^C14*q^C15*WFW^C16</f>
        <v>1.7584902368592281</v>
      </c>
      <c r="C20" s="5" t="s">
        <v>346</v>
      </c>
    </row>
    <row r="23" spans="1:7" x14ac:dyDescent="0.2">
      <c r="B23" s="4" t="s">
        <v>349</v>
      </c>
    </row>
    <row r="24" spans="1:7" x14ac:dyDescent="0.2">
      <c r="A24" s="109" t="s">
        <v>334</v>
      </c>
      <c r="B24" s="109" t="s">
        <v>335</v>
      </c>
      <c r="C24" s="109" t="s">
        <v>336</v>
      </c>
    </row>
    <row r="25" spans="1:7" x14ac:dyDescent="0.2">
      <c r="A25" s="110">
        <v>0.55030000000000001</v>
      </c>
      <c r="B25" s="110">
        <v>3.7900000000000003E-2</v>
      </c>
      <c r="C25" s="110">
        <v>9.1999999999999998E-3</v>
      </c>
      <c r="E25" s="4" t="s">
        <v>350</v>
      </c>
      <c r="F25" s="5">
        <f>AHT</f>
        <v>5</v>
      </c>
    </row>
    <row r="26" spans="1:7" x14ac:dyDescent="0.2">
      <c r="A26" s="110">
        <v>-2</v>
      </c>
      <c r="B26" s="110">
        <v>-0.25</v>
      </c>
      <c r="C26" s="110">
        <v>0</v>
      </c>
      <c r="E26" s="4" t="s">
        <v>351</v>
      </c>
      <c r="F26" s="5">
        <f>bh</f>
        <v>1.8173907394407209</v>
      </c>
      <c r="G26" s="5" t="s">
        <v>206</v>
      </c>
    </row>
    <row r="27" spans="1:7" x14ac:dyDescent="0.2">
      <c r="A27" s="110">
        <v>0.26</v>
      </c>
      <c r="B27" s="110">
        <v>0.63900000000000001</v>
      </c>
      <c r="C27" s="110">
        <v>0.41399999999999998</v>
      </c>
      <c r="E27" s="4" t="s">
        <v>352</v>
      </c>
      <c r="F27" s="5">
        <v>6</v>
      </c>
      <c r="G27" s="5" t="s">
        <v>206</v>
      </c>
    </row>
    <row r="28" spans="1:7" x14ac:dyDescent="0.2">
      <c r="A28" s="110">
        <v>0.26</v>
      </c>
      <c r="B28" s="110">
        <v>0.1</v>
      </c>
      <c r="C28" s="110">
        <v>0.41399999999999998</v>
      </c>
      <c r="E28" s="5" t="s">
        <v>353</v>
      </c>
      <c r="F28" s="5">
        <f>0.3*LHT</f>
        <v>0.78</v>
      </c>
      <c r="G28" s="5" t="s">
        <v>206</v>
      </c>
    </row>
    <row r="29" spans="1:7" x14ac:dyDescent="0.2">
      <c r="A29" s="110">
        <v>0.80600000000000005</v>
      </c>
      <c r="B29" s="110">
        <v>0.75</v>
      </c>
      <c r="C29" s="110">
        <v>0.89600000000000002</v>
      </c>
      <c r="E29" s="4" t="s">
        <v>354</v>
      </c>
      <c r="F29" s="5">
        <f>LHT</f>
        <v>2.6</v>
      </c>
      <c r="G29" s="5" t="s">
        <v>206</v>
      </c>
    </row>
    <row r="30" spans="1:7" x14ac:dyDescent="0.2">
      <c r="A30" s="110">
        <v>0</v>
      </c>
      <c r="B30" s="110">
        <v>-1</v>
      </c>
      <c r="C30" s="110">
        <v>0</v>
      </c>
      <c r="E30" s="5" t="s">
        <v>70</v>
      </c>
      <c r="F30" s="5">
        <f>n</f>
        <v>2</v>
      </c>
    </row>
    <row r="31" spans="1:7" x14ac:dyDescent="0.2">
      <c r="A31" s="110">
        <v>0</v>
      </c>
      <c r="B31" s="110">
        <v>0.70399999999999996</v>
      </c>
      <c r="C31" s="110">
        <v>0</v>
      </c>
      <c r="E31" s="5" t="s">
        <v>339</v>
      </c>
      <c r="F31" s="5">
        <f>q</f>
        <v>2.24129492397967</v>
      </c>
      <c r="G31" s="5" t="s">
        <v>355</v>
      </c>
    </row>
    <row r="32" spans="1:7" x14ac:dyDescent="0.2">
      <c r="A32" s="110">
        <v>0</v>
      </c>
      <c r="B32" s="110">
        <v>-1</v>
      </c>
      <c r="C32" s="110">
        <v>3.4000000000000002E-2</v>
      </c>
      <c r="E32" s="4" t="s">
        <v>356</v>
      </c>
      <c r="F32" s="117">
        <f>Tail!B61</f>
        <v>0.66058181996097809</v>
      </c>
      <c r="G32" s="5" t="s">
        <v>342</v>
      </c>
    </row>
    <row r="33" spans="1:7" x14ac:dyDescent="0.2">
      <c r="A33" s="110">
        <v>0</v>
      </c>
      <c r="B33" s="110">
        <v>0.11600000000000001</v>
      </c>
      <c r="C33" s="110">
        <v>4.2999999999999997E-2</v>
      </c>
      <c r="E33" s="4" t="s">
        <v>357</v>
      </c>
      <c r="F33" s="5">
        <f>tc</f>
        <v>0.12</v>
      </c>
    </row>
    <row r="34" spans="1:7" x14ac:dyDescent="0.2">
      <c r="A34" s="110">
        <v>0</v>
      </c>
      <c r="B34" s="110">
        <v>0</v>
      </c>
      <c r="C34" s="110">
        <v>-0.12</v>
      </c>
      <c r="E34" s="5" t="s">
        <v>345</v>
      </c>
      <c r="F34" s="5">
        <f>WDG</f>
        <v>3.6422972697339673</v>
      </c>
      <c r="G34" s="5" t="s">
        <v>346</v>
      </c>
    </row>
    <row r="35" spans="1:7" x14ac:dyDescent="0.2">
      <c r="A35" s="110">
        <v>0</v>
      </c>
      <c r="B35" s="110">
        <v>0</v>
      </c>
      <c r="C35" s="110">
        <v>-0.02</v>
      </c>
      <c r="E35" s="111" t="s">
        <v>414</v>
      </c>
      <c r="F35" s="5">
        <f>GAM</f>
        <v>0</v>
      </c>
      <c r="G35" s="5" t="s">
        <v>98</v>
      </c>
    </row>
    <row r="36" spans="1:7" x14ac:dyDescent="0.2">
      <c r="A36" s="110">
        <v>0</v>
      </c>
      <c r="B36" s="110">
        <v>0</v>
      </c>
      <c r="C36" s="110">
        <v>0.16800000000000001</v>
      </c>
      <c r="E36" s="111" t="s">
        <v>415</v>
      </c>
      <c r="F36" s="118">
        <f>Tail!B57</f>
        <v>1</v>
      </c>
    </row>
    <row r="38" spans="1:7" x14ac:dyDescent="0.2">
      <c r="A38" s="5" t="s">
        <v>334</v>
      </c>
      <c r="B38" s="8">
        <f>A25*(1+(FW/bh))^A26*WDG^A27*n^A28*SHT^A29*LHT^A30*KY^A31*(COS(GAMHT*31.4/180))^A32*AH^A33*tcht^A34*LAMHT^A35*q^A36</f>
        <v>3.5682785363303104E-2</v>
      </c>
      <c r="C38" s="5" t="s">
        <v>346</v>
      </c>
    </row>
    <row r="39" spans="1:7" x14ac:dyDescent="0.2">
      <c r="A39" s="5" t="s">
        <v>335</v>
      </c>
      <c r="B39" s="8">
        <f>B25*(1+(FW/bh))^B26*WDG^B27*n^B28*SHT^B29*LHT^B30*KY^B31*(COS(GAMHT*3.14/180))^B32*AH^B33*tcht^B34*LAMHT^B35*q^B36</f>
        <v>1.8371492552383625E-2</v>
      </c>
      <c r="C39" s="5" t="s">
        <v>346</v>
      </c>
    </row>
    <row r="40" spans="1:7" x14ac:dyDescent="0.2">
      <c r="A40" s="5" t="s">
        <v>336</v>
      </c>
      <c r="B40" s="8">
        <f>C25*(1+(FW/bh))^C26*WDG^C27*n^C28*SHT^C29*LHT^C30*KY^C31*(COS(GAMHT*3.14/180))^C32*AH^C33*tcht^C34*LAMHT^C35*q^C36</f>
        <v>2.2851551895595495E-2</v>
      </c>
      <c r="C40" s="5" t="s">
        <v>346</v>
      </c>
    </row>
    <row r="43" spans="1:7" x14ac:dyDescent="0.2">
      <c r="B43" s="4" t="s">
        <v>358</v>
      </c>
    </row>
    <row r="44" spans="1:7" x14ac:dyDescent="0.2">
      <c r="A44" s="109" t="s">
        <v>334</v>
      </c>
      <c r="B44" s="109" t="s">
        <v>335</v>
      </c>
      <c r="C44" s="109" t="s">
        <v>336</v>
      </c>
    </row>
    <row r="45" spans="1:7" x14ac:dyDescent="0.2">
      <c r="A45" s="110">
        <v>0.45200000000000001</v>
      </c>
      <c r="B45" s="110">
        <v>2.5999999999999999E-3</v>
      </c>
      <c r="C45" s="110">
        <v>7.6E-3</v>
      </c>
      <c r="E45" s="4" t="s">
        <v>359</v>
      </c>
      <c r="F45" s="5">
        <f>AV</f>
        <v>1.5</v>
      </c>
    </row>
    <row r="46" spans="1:7" x14ac:dyDescent="0.2">
      <c r="A46" s="110">
        <v>1</v>
      </c>
      <c r="B46" s="110">
        <v>1</v>
      </c>
      <c r="C46" s="110">
        <v>0.2</v>
      </c>
      <c r="E46" s="4" t="s">
        <v>360</v>
      </c>
      <c r="F46" s="5">
        <v>0</v>
      </c>
      <c r="G46" s="5" t="s">
        <v>206</v>
      </c>
    </row>
    <row r="47" spans="1:7" x14ac:dyDescent="0.2">
      <c r="A47" s="110">
        <v>0.5</v>
      </c>
      <c r="B47" s="110">
        <v>0.22500000000000001</v>
      </c>
      <c r="C47" s="110">
        <v>1</v>
      </c>
      <c r="E47" s="4" t="s">
        <v>361</v>
      </c>
      <c r="F47" s="5">
        <f>hv</f>
        <v>0.74490853718239902</v>
      </c>
      <c r="G47" s="5" t="s">
        <v>206</v>
      </c>
    </row>
    <row r="48" spans="1:7" x14ac:dyDescent="0.2">
      <c r="A48" s="110">
        <v>0.48799999999999999</v>
      </c>
      <c r="B48" s="110">
        <v>0.55600000000000005</v>
      </c>
      <c r="C48" s="110">
        <v>0.376</v>
      </c>
      <c r="E48" s="4" t="s">
        <v>362</v>
      </c>
      <c r="F48" s="5">
        <f>LVT</f>
        <v>2.6</v>
      </c>
      <c r="G48" s="5" t="s">
        <v>206</v>
      </c>
    </row>
    <row r="49" spans="1:7" x14ac:dyDescent="0.2">
      <c r="A49" s="110">
        <v>0.48799999999999999</v>
      </c>
      <c r="B49" s="110">
        <v>0.53600000000000003</v>
      </c>
      <c r="C49" s="110">
        <v>0.376</v>
      </c>
      <c r="E49" s="4" t="s">
        <v>363</v>
      </c>
      <c r="F49" s="5">
        <v>1</v>
      </c>
    </row>
    <row r="50" spans="1:7" x14ac:dyDescent="0.2">
      <c r="A50" s="110">
        <v>0.71799999999999997</v>
      </c>
      <c r="B50" s="110">
        <v>0.5</v>
      </c>
      <c r="C50" s="110">
        <v>0.873</v>
      </c>
      <c r="E50" s="4" t="s">
        <v>364</v>
      </c>
      <c r="F50" s="5">
        <f>LV</f>
        <v>2.6</v>
      </c>
      <c r="G50" s="5" t="s">
        <v>206</v>
      </c>
    </row>
    <row r="51" spans="1:7" x14ac:dyDescent="0.2">
      <c r="A51" s="110">
        <v>0.34100000000000003</v>
      </c>
      <c r="B51" s="110">
        <v>0</v>
      </c>
      <c r="C51" s="110">
        <v>0</v>
      </c>
      <c r="E51" s="4" t="s">
        <v>89</v>
      </c>
      <c r="F51" s="5">
        <f>MC</f>
        <v>0.04</v>
      </c>
    </row>
    <row r="52" spans="1:7" x14ac:dyDescent="0.2">
      <c r="A52" s="110">
        <v>-1</v>
      </c>
      <c r="B52" s="110">
        <v>-0.5</v>
      </c>
      <c r="C52" s="110">
        <v>0</v>
      </c>
      <c r="E52" s="5" t="s">
        <v>70</v>
      </c>
      <c r="F52" s="5">
        <f>n</f>
        <v>2</v>
      </c>
    </row>
    <row r="53" spans="1:7" x14ac:dyDescent="0.2">
      <c r="A53" s="110">
        <v>0.34799999999999998</v>
      </c>
      <c r="B53" s="110">
        <v>0</v>
      </c>
      <c r="C53" s="110">
        <v>0</v>
      </c>
      <c r="E53" s="5" t="s">
        <v>339</v>
      </c>
      <c r="F53" s="5">
        <f>q</f>
        <v>2.24129492397967</v>
      </c>
      <c r="G53" s="5" t="s">
        <v>355</v>
      </c>
    </row>
    <row r="54" spans="1:7" x14ac:dyDescent="0.2">
      <c r="A54" s="110">
        <v>0.223</v>
      </c>
      <c r="B54" s="110">
        <v>0.35</v>
      </c>
      <c r="C54" s="110">
        <v>0.35699999999999998</v>
      </c>
      <c r="E54" s="4" t="s">
        <v>365</v>
      </c>
      <c r="F54" s="5">
        <v>0.3</v>
      </c>
    </row>
    <row r="55" spans="1:7" x14ac:dyDescent="0.2">
      <c r="A55" s="110">
        <v>1</v>
      </c>
      <c r="B55" s="110">
        <v>0</v>
      </c>
      <c r="C55" s="110">
        <v>0</v>
      </c>
      <c r="E55" s="5" t="s">
        <v>366</v>
      </c>
      <c r="F55" s="5">
        <f>F54*SVT</f>
        <v>0.11097774575344432</v>
      </c>
      <c r="G55" s="5" t="s">
        <v>342</v>
      </c>
    </row>
    <row r="56" spans="1:7" x14ac:dyDescent="0.2">
      <c r="A56" s="110">
        <v>0.25</v>
      </c>
      <c r="B56" s="110">
        <v>0</v>
      </c>
      <c r="C56" s="110">
        <v>3.9E-2</v>
      </c>
      <c r="E56" s="4" t="s">
        <v>367</v>
      </c>
      <c r="F56" s="5">
        <f>SVT</f>
        <v>0.36992581917814776</v>
      </c>
      <c r="G56" s="5" t="s">
        <v>342</v>
      </c>
    </row>
    <row r="57" spans="1:7" x14ac:dyDescent="0.2">
      <c r="A57" s="110">
        <v>-0.32300000000000001</v>
      </c>
      <c r="B57" s="110">
        <v>-1</v>
      </c>
      <c r="C57" s="110">
        <v>-0.224</v>
      </c>
      <c r="E57" s="4" t="s">
        <v>368</v>
      </c>
      <c r="F57" s="5">
        <v>0.04</v>
      </c>
    </row>
    <row r="58" spans="1:7" x14ac:dyDescent="0.2">
      <c r="A58" s="110">
        <v>0</v>
      </c>
      <c r="B58" s="110">
        <v>-0.5</v>
      </c>
      <c r="C58" s="110">
        <v>-0.49</v>
      </c>
      <c r="E58" s="5" t="s">
        <v>345</v>
      </c>
      <c r="F58" s="5">
        <f>WDG</f>
        <v>3.6422972697339673</v>
      </c>
      <c r="G58" s="5" t="s">
        <v>346</v>
      </c>
    </row>
    <row r="59" spans="1:7" x14ac:dyDescent="0.2">
      <c r="A59" s="110">
        <v>0</v>
      </c>
      <c r="B59" s="110">
        <v>0.875</v>
      </c>
      <c r="C59" s="110">
        <v>0</v>
      </c>
      <c r="E59" s="111" t="s">
        <v>416</v>
      </c>
      <c r="F59" s="117">
        <f>Tail!B14</f>
        <v>0</v>
      </c>
      <c r="G59" s="5" t="s">
        <v>98</v>
      </c>
    </row>
    <row r="60" spans="1:7" x14ac:dyDescent="0.2">
      <c r="A60" s="110">
        <v>0</v>
      </c>
      <c r="B60" s="110">
        <v>0</v>
      </c>
      <c r="C60" s="110">
        <v>0.122</v>
      </c>
      <c r="E60" s="111" t="s">
        <v>417</v>
      </c>
      <c r="F60" s="118">
        <f>Tail!B16</f>
        <v>1</v>
      </c>
    </row>
    <row r="62" spans="1:7" x14ac:dyDescent="0.2">
      <c r="A62" s="5" t="s">
        <v>334</v>
      </c>
      <c r="B62" s="8">
        <f>A45*KRHT*(1+A46*(HHT/HVT))^A47*WDG^A48*n^A49*SVT^A50*M^A51*LVT^A52*(1+(SR/SVT))^A53*avt^A54*(A55+LAMVT)^A56*(COS(GAMVT*3.14/180))^A57*tcvt^A58*KZ^A59*q^A60</f>
        <v>0.10675932569632851</v>
      </c>
      <c r="C62" s="5" t="s">
        <v>346</v>
      </c>
    </row>
    <row r="63" spans="1:7" x14ac:dyDescent="0.2">
      <c r="A63" s="5" t="s">
        <v>335</v>
      </c>
      <c r="B63" s="8">
        <f>B45*KRHT*(1+B46*(HHT/HVT))^B47*WDG^B48*n^B49*SVT^B50*M^B51*LVT^B52*(1+(SR/SVT))^B53*avt^B54*(B55+LAMVT)^B56*(COS(GAMVT*3.14/180))^B57*tcvt^B58*KZ^B59*q^B60</f>
        <v>3.8790413945449818E-2</v>
      </c>
      <c r="C63" s="5" t="s">
        <v>346</v>
      </c>
    </row>
    <row r="64" spans="1:7" x14ac:dyDescent="0.2">
      <c r="A64" s="5" t="s">
        <v>369</v>
      </c>
      <c r="B64" s="8">
        <f>C45*KRHT*(1+C46*(HHT/HVT))^C47*WDG^C48*n^C49*SVT^C50*M^C51*LVT^C52*(1+(SR/SVT))^C53*avt^C54*(C55+LAMVT)^C56*(COS(GAMVT*3.14/180))^C57*tcvt^C58*KZ^C59*q^C60</f>
        <v>4.1558337305764304E-2</v>
      </c>
      <c r="C64" s="5" t="s">
        <v>346</v>
      </c>
    </row>
    <row r="67" spans="1:7" x14ac:dyDescent="0.2">
      <c r="B67" s="4" t="s">
        <v>370</v>
      </c>
    </row>
    <row r="68" spans="1:7" x14ac:dyDescent="0.2">
      <c r="A68" s="109" t="s">
        <v>334</v>
      </c>
      <c r="B68" s="109" t="s">
        <v>335</v>
      </c>
      <c r="C68" s="109" t="s">
        <v>336</v>
      </c>
    </row>
    <row r="69" spans="1:7" x14ac:dyDescent="0.2">
      <c r="A69" s="110">
        <v>0.499</v>
      </c>
      <c r="B69" s="110">
        <v>0.32800000000000001</v>
      </c>
      <c r="C69" s="110">
        <v>5.1999999999999998E-2</v>
      </c>
      <c r="E69" s="4" t="s">
        <v>371</v>
      </c>
      <c r="F69" s="5">
        <f>b</f>
        <v>5.521308497977623</v>
      </c>
      <c r="G69" s="5" t="s">
        <v>206</v>
      </c>
    </row>
    <row r="70" spans="1:7" x14ac:dyDescent="0.2">
      <c r="A70" s="110">
        <f>KDWF</f>
        <v>1</v>
      </c>
      <c r="B70" s="110">
        <f>KDOOR</f>
        <v>1</v>
      </c>
      <c r="C70" s="110">
        <v>1</v>
      </c>
      <c r="E70" s="4" t="s">
        <v>205</v>
      </c>
      <c r="F70" s="5">
        <f>D</f>
        <v>0.33300000000000002</v>
      </c>
      <c r="G70" s="5" t="s">
        <v>206</v>
      </c>
    </row>
    <row r="71" spans="1:7" x14ac:dyDescent="0.2">
      <c r="A71" s="110">
        <v>1</v>
      </c>
      <c r="B71" s="110">
        <f>KLG</f>
        <v>1</v>
      </c>
      <c r="C71" s="110">
        <v>1</v>
      </c>
      <c r="E71" s="5" t="s">
        <v>372</v>
      </c>
      <c r="F71" s="5">
        <f>0.75*((1+2*LAM)/(1+LAM))*((BW/LF)*TAN(GAM))</f>
        <v>0</v>
      </c>
    </row>
    <row r="72" spans="1:7" x14ac:dyDescent="0.2">
      <c r="A72" s="110">
        <v>0.35</v>
      </c>
      <c r="B72" s="110">
        <v>0.5</v>
      </c>
      <c r="C72" s="110">
        <v>0.17699999999999999</v>
      </c>
      <c r="E72" s="4" t="s">
        <v>373</v>
      </c>
      <c r="F72" s="5">
        <v>1</v>
      </c>
    </row>
    <row r="73" spans="1:7" x14ac:dyDescent="0.2">
      <c r="A73" s="110">
        <v>0.25</v>
      </c>
      <c r="B73" s="110">
        <v>0.5</v>
      </c>
      <c r="C73" s="110">
        <v>0.17699999999999999</v>
      </c>
      <c r="E73" s="4" t="s">
        <v>374</v>
      </c>
      <c r="F73" s="5">
        <v>1</v>
      </c>
    </row>
    <row r="74" spans="1:7" x14ac:dyDescent="0.2">
      <c r="A74" s="110">
        <v>0.5</v>
      </c>
      <c r="B74" s="110">
        <v>0.35</v>
      </c>
      <c r="C74" s="110">
        <v>-7.1999999999999995E-2</v>
      </c>
      <c r="E74" s="4" t="s">
        <v>375</v>
      </c>
      <c r="F74" s="5">
        <v>1</v>
      </c>
    </row>
    <row r="75" spans="1:7" x14ac:dyDescent="0.2">
      <c r="A75" s="110">
        <v>0</v>
      </c>
      <c r="B75" s="110">
        <v>0</v>
      </c>
      <c r="C75" s="110">
        <v>-5.0999999999999997E-2</v>
      </c>
      <c r="E75" s="4" t="s">
        <v>376</v>
      </c>
      <c r="F75" s="5">
        <f>LL</f>
        <v>2.9970000000000003</v>
      </c>
      <c r="G75" s="5" t="s">
        <v>206</v>
      </c>
    </row>
    <row r="76" spans="1:7" x14ac:dyDescent="0.2">
      <c r="A76" s="110">
        <v>0.84899999999999998</v>
      </c>
      <c r="B76" s="110">
        <v>-0.1</v>
      </c>
      <c r="C76" s="110">
        <v>7.1999999999999995E-2</v>
      </c>
      <c r="E76" s="5" t="s">
        <v>377</v>
      </c>
      <c r="F76" s="5">
        <f>LHT</f>
        <v>2.6</v>
      </c>
      <c r="G76" s="5" t="s">
        <v>206</v>
      </c>
    </row>
    <row r="77" spans="1:7" x14ac:dyDescent="0.2">
      <c r="A77" s="110">
        <v>0</v>
      </c>
      <c r="B77" s="110">
        <v>0.30199999999999999</v>
      </c>
      <c r="C77" s="110">
        <v>1.0860000000000001</v>
      </c>
      <c r="E77" s="5" t="s">
        <v>70</v>
      </c>
      <c r="F77" s="5">
        <f>n</f>
        <v>2</v>
      </c>
    </row>
    <row r="78" spans="1:7" x14ac:dyDescent="0.2">
      <c r="A78" s="110">
        <v>0.68500000000000005</v>
      </c>
      <c r="B78" s="110">
        <v>0</v>
      </c>
      <c r="C78" s="110">
        <v>0</v>
      </c>
      <c r="E78" s="5" t="s">
        <v>339</v>
      </c>
      <c r="F78" s="5">
        <f>q</f>
        <v>2.24129492397967</v>
      </c>
    </row>
    <row r="79" spans="1:7" x14ac:dyDescent="0.2">
      <c r="A79" s="110">
        <v>0</v>
      </c>
      <c r="B79" s="110">
        <v>0.04</v>
      </c>
      <c r="C79" s="110">
        <v>0</v>
      </c>
      <c r="E79" s="4" t="s">
        <v>344</v>
      </c>
      <c r="F79" s="5">
        <v>2</v>
      </c>
      <c r="G79" s="5" t="s">
        <v>342</v>
      </c>
    </row>
    <row r="80" spans="1:7" x14ac:dyDescent="0.2">
      <c r="A80" s="110">
        <v>0</v>
      </c>
      <c r="B80" s="110">
        <v>0</v>
      </c>
      <c r="C80" s="110">
        <v>0.24099999999999999</v>
      </c>
      <c r="E80" s="5" t="s">
        <v>367</v>
      </c>
      <c r="F80" s="5">
        <f>SVT</f>
        <v>0.36992581917814776</v>
      </c>
      <c r="G80" s="5" t="s">
        <v>342</v>
      </c>
    </row>
    <row r="81" spans="1:7" x14ac:dyDescent="0.2">
      <c r="A81" s="110">
        <v>0</v>
      </c>
      <c r="B81" s="110">
        <v>0</v>
      </c>
      <c r="C81" s="110">
        <f>WP</f>
        <v>11.9</v>
      </c>
      <c r="E81" s="4" t="s">
        <v>378</v>
      </c>
      <c r="F81" s="5">
        <f>D</f>
        <v>0.33300000000000002</v>
      </c>
      <c r="G81" s="5" t="s">
        <v>206</v>
      </c>
    </row>
    <row r="82" spans="1:7" x14ac:dyDescent="0.2">
      <c r="E82" s="4" t="s">
        <v>379</v>
      </c>
      <c r="F82" s="5">
        <v>0</v>
      </c>
      <c r="G82" s="5" t="s">
        <v>380</v>
      </c>
    </row>
    <row r="83" spans="1:7" x14ac:dyDescent="0.2">
      <c r="E83" s="5" t="s">
        <v>381</v>
      </c>
      <c r="F83" s="5">
        <f>11.9+(VPR*8)^0.271</f>
        <v>11.9</v>
      </c>
    </row>
    <row r="84" spans="1:7" x14ac:dyDescent="0.2">
      <c r="E84" s="5" t="s">
        <v>345</v>
      </c>
      <c r="F84" s="5">
        <f>WDG</f>
        <v>3.6422972697339673</v>
      </c>
      <c r="G84" s="5" t="s">
        <v>346</v>
      </c>
    </row>
    <row r="85" spans="1:7" x14ac:dyDescent="0.2">
      <c r="E85" s="112" t="s">
        <v>348</v>
      </c>
      <c r="F85" s="5">
        <f>GAM</f>
        <v>0</v>
      </c>
      <c r="G85" s="5" t="s">
        <v>98</v>
      </c>
    </row>
    <row r="86" spans="1:7" x14ac:dyDescent="0.2">
      <c r="E86" s="112" t="s">
        <v>106</v>
      </c>
      <c r="F86" s="5">
        <f>LAM</f>
        <v>1</v>
      </c>
    </row>
    <row r="88" spans="1:7" x14ac:dyDescent="0.2">
      <c r="A88" s="5" t="s">
        <v>334</v>
      </c>
      <c r="B88" s="8">
        <f>A69*A70*A71*WDG^A72*n^A73*LF^A74*LHT^A75*D^A76*SWF^A77*WF^A78*(1+KWS)^A79*q^A80+A81</f>
        <v>0.29895942951777971</v>
      </c>
      <c r="C88" s="5" t="s">
        <v>346</v>
      </c>
    </row>
    <row r="89" spans="1:7" x14ac:dyDescent="0.2">
      <c r="A89" s="5" t="s">
        <v>335</v>
      </c>
      <c r="B89" s="8">
        <f>B69*B70*B71*WDG^B72*n^B73*LF^B74*LHT^B75*D^B76*SWF^B77*WF^B78*(1+KWS)^B79*q^B80+B81</f>
        <v>1.7888895663273401</v>
      </c>
      <c r="C89" s="5" t="s">
        <v>346</v>
      </c>
    </row>
    <row r="90" spans="1:7" x14ac:dyDescent="0.2">
      <c r="A90" s="5" t="s">
        <v>369</v>
      </c>
      <c r="B90" s="8">
        <f>C69*C70*C71*WDG^C72*n^C73*LF^C74*LHT^C75*D^C76*SWF^C77*WF^C78*(1+KWS)^C79*q^C80+C81</f>
        <v>12.054941883592013</v>
      </c>
      <c r="C90" s="5" t="s">
        <v>346</v>
      </c>
    </row>
    <row r="93" spans="1:7" x14ac:dyDescent="0.2">
      <c r="B93" s="4" t="s">
        <v>382</v>
      </c>
    </row>
    <row r="94" spans="1:7" x14ac:dyDescent="0.2">
      <c r="A94" s="109" t="s">
        <v>334</v>
      </c>
      <c r="B94" s="109" t="s">
        <v>335</v>
      </c>
      <c r="C94" s="109" t="s">
        <v>336</v>
      </c>
    </row>
    <row r="95" spans="1:7" x14ac:dyDescent="0.2">
      <c r="A95" s="110">
        <v>1</v>
      </c>
      <c r="B95" s="110">
        <v>1.06E-2</v>
      </c>
      <c r="C95" s="110">
        <v>3.44E-2</v>
      </c>
      <c r="E95" s="4" t="s">
        <v>383</v>
      </c>
      <c r="F95" s="5">
        <v>1</v>
      </c>
    </row>
    <row r="96" spans="1:7" x14ac:dyDescent="0.2">
      <c r="A96" s="110">
        <f>KCB</f>
        <v>1</v>
      </c>
      <c r="B96" s="110">
        <v>1</v>
      </c>
      <c r="C96" s="110">
        <v>1</v>
      </c>
      <c r="E96" s="4" t="s">
        <v>384</v>
      </c>
      <c r="F96" s="5">
        <v>1</v>
      </c>
    </row>
    <row r="97" spans="1:7" x14ac:dyDescent="0.2">
      <c r="A97" s="110">
        <f>KTPG</f>
        <v>1</v>
      </c>
      <c r="B97" s="110">
        <f>KMP</f>
        <v>1</v>
      </c>
      <c r="C97" s="110">
        <v>1</v>
      </c>
      <c r="E97" s="4" t="s">
        <v>385</v>
      </c>
      <c r="F97" s="5">
        <v>1</v>
      </c>
    </row>
    <row r="98" spans="1:7" x14ac:dyDescent="0.2">
      <c r="A98" s="110">
        <v>0.25</v>
      </c>
      <c r="B98" s="110">
        <v>0.88800000000000001</v>
      </c>
      <c r="C98" s="110">
        <v>0.76800000000000002</v>
      </c>
      <c r="E98" s="4" t="s">
        <v>386</v>
      </c>
      <c r="F98" s="5">
        <v>0</v>
      </c>
      <c r="G98" s="5" t="s">
        <v>387</v>
      </c>
    </row>
    <row r="99" spans="1:7" x14ac:dyDescent="0.2">
      <c r="A99" s="110">
        <v>0.25</v>
      </c>
      <c r="B99" s="110">
        <v>0.25</v>
      </c>
      <c r="C99" s="110">
        <v>0.76800000000000002</v>
      </c>
      <c r="E99" s="5" t="s">
        <v>70</v>
      </c>
      <c r="F99" s="5">
        <f>n</f>
        <v>2</v>
      </c>
    </row>
    <row r="100" spans="1:7" x14ac:dyDescent="0.2">
      <c r="A100" s="110">
        <v>0.97299999999999998</v>
      </c>
      <c r="B100" s="110">
        <v>0.4</v>
      </c>
      <c r="C100" s="110">
        <v>0.40899999999999997</v>
      </c>
      <c r="E100" s="4" t="s">
        <v>388</v>
      </c>
      <c r="F100" s="5">
        <v>1</v>
      </c>
      <c r="G100" s="5" t="s">
        <v>389</v>
      </c>
    </row>
    <row r="101" spans="1:7" x14ac:dyDescent="0.2">
      <c r="A101" s="110">
        <v>0</v>
      </c>
      <c r="B101" s="110">
        <v>0.32100000000000001</v>
      </c>
      <c r="C101" s="110">
        <v>0</v>
      </c>
      <c r="E101" s="4" t="s">
        <v>390</v>
      </c>
      <c r="F101" s="5">
        <v>1</v>
      </c>
      <c r="G101" s="5" t="s">
        <v>391</v>
      </c>
    </row>
    <row r="102" spans="1:7" x14ac:dyDescent="0.2">
      <c r="A102" s="110">
        <v>0</v>
      </c>
      <c r="B102" s="110">
        <v>-0.5</v>
      </c>
      <c r="C102" s="110">
        <v>0</v>
      </c>
      <c r="E102" s="4" t="s">
        <v>392</v>
      </c>
      <c r="F102" s="5">
        <v>10</v>
      </c>
      <c r="G102" s="5" t="s">
        <v>94</v>
      </c>
    </row>
    <row r="103" spans="1:7" x14ac:dyDescent="0.2">
      <c r="A103" s="110">
        <v>0</v>
      </c>
      <c r="B103" s="110">
        <v>0.1</v>
      </c>
      <c r="C103" s="110">
        <v>0</v>
      </c>
      <c r="E103" s="4" t="s">
        <v>393</v>
      </c>
      <c r="F103" s="6">
        <f>WL</f>
        <v>3.4569189078935869</v>
      </c>
      <c r="G103" s="5" t="s">
        <v>346</v>
      </c>
    </row>
    <row r="105" spans="1:7" x14ac:dyDescent="0.2">
      <c r="A105" s="5" t="s">
        <v>334</v>
      </c>
      <c r="B105" s="5">
        <f>A95*A96*A97*WL^A98*n^A99*LM^A100*NMW^A101*NMSS^A102*VS^A103</f>
        <v>0</v>
      </c>
    </row>
    <row r="106" spans="1:7" x14ac:dyDescent="0.2">
      <c r="A106" s="5" t="s">
        <v>335</v>
      </c>
      <c r="B106" s="5">
        <f>B95*B96*B97*WL^B98*n^B99*LM^B100*NMW^B101*NMSS^B102*VS^B103</f>
        <v>0</v>
      </c>
    </row>
    <row r="107" spans="1:7" x14ac:dyDescent="0.2">
      <c r="A107" s="5" t="s">
        <v>336</v>
      </c>
      <c r="B107" s="5">
        <f>C95*C96*C97*WL^C98*n^C99*LM^C100*NMW^C101*NMSS^C102*VS^C103</f>
        <v>0</v>
      </c>
    </row>
    <row r="110" spans="1:7" x14ac:dyDescent="0.2">
      <c r="B110" s="4" t="s">
        <v>394</v>
      </c>
    </row>
    <row r="111" spans="1:7" x14ac:dyDescent="0.2">
      <c r="A111" s="109" t="s">
        <v>334</v>
      </c>
      <c r="B111" s="109" t="s">
        <v>335</v>
      </c>
      <c r="C111" s="109" t="s">
        <v>336</v>
      </c>
    </row>
    <row r="112" spans="1:7" x14ac:dyDescent="0.2">
      <c r="A112" s="110">
        <v>1</v>
      </c>
      <c r="B112" s="110">
        <v>3.2000000000000001E-2</v>
      </c>
      <c r="C112" s="110">
        <v>1</v>
      </c>
      <c r="E112" s="4" t="s">
        <v>395</v>
      </c>
      <c r="F112" s="5">
        <v>1</v>
      </c>
    </row>
    <row r="113" spans="1:7" x14ac:dyDescent="0.2">
      <c r="A113" s="110">
        <v>1</v>
      </c>
      <c r="B113" s="110">
        <f>KNP</f>
        <v>1</v>
      </c>
      <c r="C113" s="110">
        <v>1.5299999999999999E-2</v>
      </c>
      <c r="E113" s="4" t="s">
        <v>396</v>
      </c>
      <c r="F113" s="5">
        <v>0</v>
      </c>
      <c r="G113" s="5" t="s">
        <v>387</v>
      </c>
    </row>
    <row r="114" spans="1:7" x14ac:dyDescent="0.2">
      <c r="A114" s="110">
        <v>0.28999999999999998</v>
      </c>
      <c r="B114" s="110">
        <v>0.64600000000000002</v>
      </c>
      <c r="C114" s="110">
        <v>0.56599999999999995</v>
      </c>
      <c r="E114" s="5" t="s">
        <v>70</v>
      </c>
      <c r="F114" s="5">
        <f>n</f>
        <v>2</v>
      </c>
    </row>
    <row r="115" spans="1:7" x14ac:dyDescent="0.2">
      <c r="A115" s="110">
        <v>0.28999999999999998</v>
      </c>
      <c r="B115" s="110">
        <v>0.2</v>
      </c>
      <c r="C115" s="110">
        <v>0.56599999999999995</v>
      </c>
      <c r="E115" s="4" t="s">
        <v>397</v>
      </c>
      <c r="F115" s="5">
        <v>2</v>
      </c>
      <c r="G115" s="5" t="s">
        <v>389</v>
      </c>
    </row>
    <row r="116" spans="1:7" x14ac:dyDescent="0.2">
      <c r="A116" s="110">
        <v>0.5</v>
      </c>
      <c r="B116" s="110">
        <v>0.5</v>
      </c>
      <c r="C116" s="110">
        <v>0.84499999999999997</v>
      </c>
      <c r="E116" s="5" t="s">
        <v>393</v>
      </c>
      <c r="F116" s="5">
        <f>WL</f>
        <v>3.4569189078935869</v>
      </c>
      <c r="G116" s="5" t="s">
        <v>346</v>
      </c>
    </row>
    <row r="117" spans="1:7" x14ac:dyDescent="0.2">
      <c r="A117" s="110">
        <v>0.52500000000000002</v>
      </c>
      <c r="B117" s="110">
        <v>0.45</v>
      </c>
      <c r="C117" s="110">
        <v>0</v>
      </c>
    </row>
    <row r="119" spans="1:7" x14ac:dyDescent="0.2">
      <c r="A119" s="5" t="s">
        <v>334</v>
      </c>
      <c r="B119" s="8">
        <f>A112*A113*WL^A114*n^A115*LN^A116*NNW^A117</f>
        <v>0</v>
      </c>
      <c r="C119" s="5" t="s">
        <v>346</v>
      </c>
    </row>
    <row r="120" spans="1:7" x14ac:dyDescent="0.2">
      <c r="A120" s="5" t="s">
        <v>335</v>
      </c>
      <c r="B120" s="8">
        <f>B112*B113*WL^B114*n^B115*LN^B116*NNW^B117</f>
        <v>0</v>
      </c>
      <c r="C120" s="5" t="s">
        <v>346</v>
      </c>
    </row>
    <row r="121" spans="1:7" x14ac:dyDescent="0.2">
      <c r="A121" s="5" t="s">
        <v>336</v>
      </c>
      <c r="B121" s="8">
        <f>C112*C113*WL^C114*n^C115*LN^C116*NNW^C117</f>
        <v>0</v>
      </c>
      <c r="C121" s="5" t="s">
        <v>346</v>
      </c>
    </row>
    <row r="124" spans="1:7" x14ac:dyDescent="0.2">
      <c r="B124" s="4" t="s">
        <v>398</v>
      </c>
    </row>
    <row r="125" spans="1:7" x14ac:dyDescent="0.2">
      <c r="B125" s="5" t="s">
        <v>334</v>
      </c>
      <c r="C125" s="5" t="s">
        <v>335</v>
      </c>
      <c r="D125" s="5" t="s">
        <v>336</v>
      </c>
    </row>
    <row r="126" spans="1:7" x14ac:dyDescent="0.2">
      <c r="A126" s="5" t="s">
        <v>399</v>
      </c>
      <c r="B126" s="8">
        <f>B18</f>
        <v>0.61704505047570513</v>
      </c>
      <c r="C126" s="8">
        <f>B19</f>
        <v>0.29603681664708903</v>
      </c>
      <c r="D126" s="8">
        <f>B20</f>
        <v>1.7584902368592281</v>
      </c>
    </row>
    <row r="127" spans="1:7" x14ac:dyDescent="0.2">
      <c r="A127" s="5" t="s">
        <v>400</v>
      </c>
      <c r="B127" s="8">
        <f>B38</f>
        <v>3.5682785363303104E-2</v>
      </c>
      <c r="C127" s="8">
        <f>B39</f>
        <v>1.8371492552383625E-2</v>
      </c>
      <c r="D127" s="8">
        <f>B40</f>
        <v>2.2851551895595495E-2</v>
      </c>
    </row>
    <row r="128" spans="1:7" x14ac:dyDescent="0.2">
      <c r="A128" s="5" t="s">
        <v>401</v>
      </c>
      <c r="B128" s="8">
        <f>B62</f>
        <v>0.10675932569632851</v>
      </c>
      <c r="C128" s="8">
        <f>B63</f>
        <v>3.8790413945449818E-2</v>
      </c>
      <c r="D128" s="8">
        <f>B64</f>
        <v>4.1558337305764304E-2</v>
      </c>
    </row>
    <row r="129" spans="1:4" x14ac:dyDescent="0.2">
      <c r="A129" s="5" t="s">
        <v>402</v>
      </c>
      <c r="B129" s="8">
        <f>B88</f>
        <v>0.29895942951777971</v>
      </c>
      <c r="C129" s="8">
        <f>B89</f>
        <v>1.7888895663273401</v>
      </c>
      <c r="D129" s="8">
        <f>B90</f>
        <v>12.054941883592013</v>
      </c>
    </row>
    <row r="130" spans="1:4" x14ac:dyDescent="0.2">
      <c r="A130" s="5" t="s">
        <v>403</v>
      </c>
      <c r="B130" s="5">
        <f>B105</f>
        <v>0</v>
      </c>
      <c r="C130" s="5">
        <f>B106</f>
        <v>0</v>
      </c>
      <c r="D130" s="5">
        <f>B107</f>
        <v>0</v>
      </c>
    </row>
    <row r="131" spans="1:4" x14ac:dyDescent="0.2">
      <c r="A131" s="5" t="s">
        <v>404</v>
      </c>
      <c r="B131" s="8">
        <f>B119</f>
        <v>0</v>
      </c>
      <c r="C131" s="8">
        <f>B120</f>
        <v>0</v>
      </c>
      <c r="D131" s="8">
        <f>B121</f>
        <v>0</v>
      </c>
    </row>
    <row r="132" spans="1:4" x14ac:dyDescent="0.2">
      <c r="A132" s="4" t="s">
        <v>405</v>
      </c>
      <c r="B132" s="113">
        <f>SUM(B126:B131)</f>
        <v>1.0584465910531164</v>
      </c>
      <c r="C132" s="113">
        <f>SUM(C126:C131)</f>
        <v>2.1420882894722624</v>
      </c>
      <c r="D132" s="113">
        <f>SUM(D126:D131)</f>
        <v>13.877842009652602</v>
      </c>
    </row>
    <row r="133" spans="1:4" x14ac:dyDescent="0.2">
      <c r="A133" s="4"/>
      <c r="B133" s="8"/>
      <c r="C133" s="8"/>
      <c r="D133" s="8"/>
    </row>
    <row r="137" spans="1:4" x14ac:dyDescent="0.2">
      <c r="B137" s="114" t="s">
        <v>406</v>
      </c>
    </row>
    <row r="138" spans="1:4" x14ac:dyDescent="0.2">
      <c r="A138" s="4" t="s">
        <v>407</v>
      </c>
      <c r="B138" s="6">
        <f>IterTow!F40</f>
        <v>1.4569189078935869</v>
      </c>
      <c r="C138" s="5" t="s">
        <v>346</v>
      </c>
    </row>
    <row r="139" spans="1:4" x14ac:dyDescent="0.2">
      <c r="B139" s="4"/>
    </row>
    <row r="140" spans="1:4" x14ac:dyDescent="0.2">
      <c r="A140" s="4" t="s">
        <v>408</v>
      </c>
      <c r="B140" s="4" t="s">
        <v>409</v>
      </c>
      <c r="C140" s="4" t="s">
        <v>410</v>
      </c>
    </row>
    <row r="141" spans="1:4" x14ac:dyDescent="0.2">
      <c r="A141" s="5" t="s">
        <v>399</v>
      </c>
      <c r="B141" s="8">
        <f t="shared" ref="B141:B143" si="0">B126</f>
        <v>0.61704505047570513</v>
      </c>
      <c r="C141" s="5">
        <f>100*B141/B138</f>
        <v>42.35273817455144</v>
      </c>
      <c r="D141" s="5" t="s">
        <v>267</v>
      </c>
    </row>
    <row r="142" spans="1:4" x14ac:dyDescent="0.2">
      <c r="A142" s="5" t="s">
        <v>400</v>
      </c>
      <c r="B142" s="8">
        <f>B127</f>
        <v>3.5682785363303104E-2</v>
      </c>
      <c r="C142" s="5">
        <f>100*B142/B138</f>
        <v>2.449195021766398</v>
      </c>
      <c r="D142" s="5" t="s">
        <v>267</v>
      </c>
    </row>
    <row r="143" spans="1:4" x14ac:dyDescent="0.2">
      <c r="A143" s="5" t="s">
        <v>401</v>
      </c>
      <c r="B143" s="8">
        <f t="shared" si="0"/>
        <v>0.10675932569632851</v>
      </c>
      <c r="C143" s="5">
        <f>100*B143/B138</f>
        <v>7.3277465971445945</v>
      </c>
      <c r="D143" s="5" t="s">
        <v>267</v>
      </c>
    </row>
    <row r="144" spans="1:4" x14ac:dyDescent="0.2">
      <c r="A144" s="5" t="s">
        <v>402</v>
      </c>
      <c r="B144" s="8">
        <v>2.2000000000000002</v>
      </c>
      <c r="C144" s="5">
        <f>100*B144/B138</f>
        <v>151.00360000000001</v>
      </c>
      <c r="D144" s="5" t="s">
        <v>267</v>
      </c>
    </row>
    <row r="145" spans="1:4" x14ac:dyDescent="0.2">
      <c r="A145" s="5" t="s">
        <v>403</v>
      </c>
      <c r="B145" s="8">
        <v>0.05</v>
      </c>
      <c r="C145" s="5">
        <f>100*B145/B138</f>
        <v>3.4318999999999993</v>
      </c>
      <c r="D145" s="5" t="s">
        <v>267</v>
      </c>
    </row>
    <row r="146" spans="1:4" x14ac:dyDescent="0.2">
      <c r="A146" s="5" t="s">
        <v>404</v>
      </c>
      <c r="B146" s="8">
        <v>0.1</v>
      </c>
      <c r="C146" s="5">
        <f>100*B146/B138</f>
        <v>6.8637999999999986</v>
      </c>
      <c r="D146" s="5" t="s">
        <v>267</v>
      </c>
    </row>
    <row r="147" spans="1:4" x14ac:dyDescent="0.2">
      <c r="A147" s="5" t="s">
        <v>411</v>
      </c>
      <c r="B147" s="8">
        <v>0.63929999999999998</v>
      </c>
      <c r="C147" s="5">
        <f>100*B147/B138</f>
        <v>43.880273399999993</v>
      </c>
      <c r="D147" s="5" t="s">
        <v>267</v>
      </c>
    </row>
    <row r="148" spans="1:4" x14ac:dyDescent="0.2">
      <c r="A148" s="115" t="s">
        <v>405</v>
      </c>
      <c r="B148" s="113"/>
      <c r="C148" s="115">
        <f>SUM(C141:C147)</f>
        <v>257.30925319346244</v>
      </c>
      <c r="D148" s="5" t="s">
        <v>267</v>
      </c>
    </row>
    <row r="149" spans="1:4" x14ac:dyDescent="0.2">
      <c r="A149" s="116" t="s">
        <v>412</v>
      </c>
      <c r="B149" s="8">
        <f>B138-SUM(B141:B147)</f>
        <v>-2.2918682536417498</v>
      </c>
      <c r="C149" s="116">
        <f>100*B149/B138</f>
        <v>-157.30925319346238</v>
      </c>
      <c r="D149" s="5" t="s">
        <v>267</v>
      </c>
    </row>
    <row r="150" spans="1:4" x14ac:dyDescent="0.2">
      <c r="A150" s="5" t="s">
        <v>413</v>
      </c>
      <c r="B150" s="8">
        <f>0.17*F11</f>
        <v>0.61919053585477446</v>
      </c>
      <c r="C150" s="5">
        <f>100*B150/B138</f>
        <v>42.5</v>
      </c>
      <c r="D150" s="5" t="s">
        <v>267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3"/>
  <sheetViews>
    <sheetView zoomScale="175" zoomScaleNormal="175" workbookViewId="0">
      <selection activeCell="B103" sqref="B103"/>
    </sheetView>
  </sheetViews>
  <sheetFormatPr defaultColWidth="8.85546875" defaultRowHeight="12.75" x14ac:dyDescent="0.2"/>
  <cols>
    <col min="1" max="1" width="11.140625" customWidth="1"/>
  </cols>
  <sheetData>
    <row r="2" spans="1:7" x14ac:dyDescent="0.2">
      <c r="B2" s="40" t="s">
        <v>418</v>
      </c>
    </row>
    <row r="5" spans="1:7" x14ac:dyDescent="0.2">
      <c r="A5" s="40" t="s">
        <v>419</v>
      </c>
    </row>
    <row r="6" spans="1:7" x14ac:dyDescent="0.2">
      <c r="A6" s="63" t="s">
        <v>420</v>
      </c>
      <c r="B6">
        <f>LF</f>
        <v>2.9970000000000003</v>
      </c>
    </row>
    <row r="7" spans="1:7" x14ac:dyDescent="0.2">
      <c r="A7" s="63"/>
    </row>
    <row r="8" spans="1:7" x14ac:dyDescent="0.2">
      <c r="A8" s="40" t="s">
        <v>421</v>
      </c>
    </row>
    <row r="9" spans="1:7" x14ac:dyDescent="0.2">
      <c r="A9" t="s">
        <v>422</v>
      </c>
      <c r="B9" s="2">
        <v>0.1</v>
      </c>
    </row>
    <row r="10" spans="1:7" x14ac:dyDescent="0.2">
      <c r="A10" t="s">
        <v>423</v>
      </c>
      <c r="B10" s="2">
        <f>mac</f>
        <v>0.78875835685394602</v>
      </c>
    </row>
    <row r="11" spans="1:7" x14ac:dyDescent="0.2">
      <c r="B11" s="2"/>
    </row>
    <row r="13" spans="1:7" x14ac:dyDescent="0.2">
      <c r="A13" s="10" t="s">
        <v>424</v>
      </c>
      <c r="B13" s="9"/>
      <c r="C13" s="9"/>
    </row>
    <row r="14" spans="1:7" x14ac:dyDescent="0.2">
      <c r="A14" s="119" t="s">
        <v>425</v>
      </c>
      <c r="B14" s="119" t="s">
        <v>426</v>
      </c>
      <c r="C14" s="119" t="s">
        <v>427</v>
      </c>
      <c r="D14" s="119" t="s">
        <v>428</v>
      </c>
      <c r="E14" s="120" t="s">
        <v>429</v>
      </c>
      <c r="F14" s="119" t="s">
        <v>430</v>
      </c>
      <c r="G14" s="121" t="s">
        <v>431</v>
      </c>
    </row>
    <row r="15" spans="1:7" x14ac:dyDescent="0.2">
      <c r="A15" s="53"/>
      <c r="B15" s="122" t="s">
        <v>432</v>
      </c>
      <c r="C15" s="53"/>
      <c r="D15" s="53"/>
      <c r="E15" s="122" t="s">
        <v>433</v>
      </c>
      <c r="F15" s="53" t="s">
        <v>434</v>
      </c>
    </row>
    <row r="16" spans="1:7" x14ac:dyDescent="0.2">
      <c r="A16" t="s">
        <v>435</v>
      </c>
      <c r="B16" s="123">
        <f>WFW</f>
        <v>0.1</v>
      </c>
      <c r="C16" s="119">
        <v>0.2</v>
      </c>
      <c r="D16" s="56">
        <v>0.4</v>
      </c>
      <c r="E16" s="119">
        <f t="shared" ref="E16:E23" si="0">0.5*(D16-C16) + C16</f>
        <v>0.30000000000000004</v>
      </c>
      <c r="F16" s="119">
        <f t="shared" ref="F16:F23" si="1">B16*(E16 -liftctr)*LF</f>
        <v>5.9940000000000021E-2</v>
      </c>
      <c r="G16">
        <f t="shared" ref="G16:G23" si="2">B16/(1+(D16-C16)/0.05)</f>
        <v>0.02</v>
      </c>
    </row>
    <row r="17" spans="1:7" x14ac:dyDescent="0.2">
      <c r="A17" s="124" t="s">
        <v>436</v>
      </c>
      <c r="B17" s="125">
        <f>exp</f>
        <v>0</v>
      </c>
      <c r="C17" s="50">
        <v>0.4</v>
      </c>
      <c r="D17" s="56">
        <v>0.5</v>
      </c>
      <c r="E17" s="50">
        <f t="shared" si="0"/>
        <v>0.45</v>
      </c>
      <c r="F17" s="50">
        <f t="shared" si="1"/>
        <v>0</v>
      </c>
      <c r="G17">
        <f t="shared" si="2"/>
        <v>0</v>
      </c>
    </row>
    <row r="18" spans="1:7" x14ac:dyDescent="0.2">
      <c r="A18" t="s">
        <v>437</v>
      </c>
      <c r="B18" s="133">
        <f>RefWT!B138</f>
        <v>1.4569189078935869</v>
      </c>
      <c r="C18" s="50">
        <v>0</v>
      </c>
      <c r="D18" s="56">
        <v>1</v>
      </c>
      <c r="E18" s="50">
        <f t="shared" si="0"/>
        <v>0.5</v>
      </c>
      <c r="F18" s="50">
        <f t="shared" si="1"/>
        <v>1.7465543867828324</v>
      </c>
      <c r="G18">
        <f t="shared" si="2"/>
        <v>6.9377090852075565E-2</v>
      </c>
    </row>
    <row r="19" spans="1:7" x14ac:dyDescent="0.2">
      <c r="A19" t="s">
        <v>438</v>
      </c>
      <c r="B19" s="134">
        <v>0.63929999999999998</v>
      </c>
      <c r="C19" s="50">
        <v>0</v>
      </c>
      <c r="D19" s="56">
        <v>0.1</v>
      </c>
      <c r="E19" s="50">
        <f t="shared" si="0"/>
        <v>0.05</v>
      </c>
      <c r="F19" s="50">
        <f t="shared" si="1"/>
        <v>-9.5799105000000009E-2</v>
      </c>
      <c r="G19">
        <f t="shared" si="2"/>
        <v>0.21309999999999998</v>
      </c>
    </row>
    <row r="20" spans="1:7" x14ac:dyDescent="0.2">
      <c r="A20" t="s">
        <v>439</v>
      </c>
      <c r="B20" s="134">
        <v>0.35</v>
      </c>
      <c r="C20" s="50">
        <v>0.4</v>
      </c>
      <c r="D20" s="56">
        <v>0.6</v>
      </c>
      <c r="E20" s="50">
        <f t="shared" si="0"/>
        <v>0.5</v>
      </c>
      <c r="F20" s="50">
        <f t="shared" si="1"/>
        <v>0.41958000000000001</v>
      </c>
      <c r="G20">
        <f t="shared" si="2"/>
        <v>7.0000000000000007E-2</v>
      </c>
    </row>
    <row r="21" spans="1:7" x14ac:dyDescent="0.2">
      <c r="A21" t="s">
        <v>400</v>
      </c>
      <c r="B21" s="134">
        <f>RefWT!B142</f>
        <v>3.5682785363303104E-2</v>
      </c>
      <c r="C21" s="50">
        <v>0.85</v>
      </c>
      <c r="D21" s="56">
        <v>1</v>
      </c>
      <c r="E21" s="50">
        <f t="shared" si="0"/>
        <v>0.92500000000000004</v>
      </c>
      <c r="F21" s="50">
        <f t="shared" si="1"/>
        <v>8.8226578880401016E-2</v>
      </c>
      <c r="G21">
        <f t="shared" si="2"/>
        <v>8.9206963408257761E-3</v>
      </c>
    </row>
    <row r="22" spans="1:7" x14ac:dyDescent="0.2">
      <c r="A22" s="87" t="s">
        <v>401</v>
      </c>
      <c r="B22" s="134">
        <f>RefWT!B143</f>
        <v>0.10675932569632851</v>
      </c>
      <c r="C22" s="50">
        <v>0.85</v>
      </c>
      <c r="D22" s="56">
        <v>1</v>
      </c>
      <c r="E22" s="50">
        <f>0.5*(D22-C22) + C22</f>
        <v>0.92500000000000004</v>
      </c>
      <c r="F22" s="87">
        <f t="shared" si="1"/>
        <v>0.26396510176731469</v>
      </c>
      <c r="G22">
        <f>B22/(1+(D22-C22)/0.05)</f>
        <v>2.6689831424082128E-2</v>
      </c>
    </row>
    <row r="23" spans="1:7" ht="13.5" thickBot="1" x14ac:dyDescent="0.25">
      <c r="A23" s="87" t="s">
        <v>412</v>
      </c>
      <c r="B23" s="135">
        <f>RefWT!B149</f>
        <v>-2.2918682536417498</v>
      </c>
      <c r="C23" s="87">
        <v>0</v>
      </c>
      <c r="D23" s="87">
        <v>1</v>
      </c>
      <c r="E23" s="50">
        <f t="shared" si="0"/>
        <v>0.5</v>
      </c>
      <c r="F23" s="50">
        <f t="shared" si="1"/>
        <v>-2.7474916624657304</v>
      </c>
      <c r="G23">
        <f t="shared" si="2"/>
        <v>-0.10913658350675</v>
      </c>
    </row>
    <row r="24" spans="1:7" ht="13.5" thickBot="1" x14ac:dyDescent="0.25">
      <c r="A24" s="127" t="s">
        <v>440</v>
      </c>
      <c r="B24" s="128">
        <f>SUM(B16:B23)</f>
        <v>0.3967927653114689</v>
      </c>
      <c r="C24" s="87"/>
      <c r="D24" s="87"/>
      <c r="E24" s="127" t="s">
        <v>441</v>
      </c>
      <c r="F24" s="129">
        <f>SUM(F16:F23)</f>
        <v>-0.26502470003518219</v>
      </c>
    </row>
    <row r="25" spans="1:7" x14ac:dyDescent="0.2">
      <c r="A25" s="87"/>
      <c r="B25" s="126"/>
      <c r="C25" s="87"/>
      <c r="D25" s="87"/>
      <c r="E25" s="130"/>
      <c r="F25" s="131"/>
    </row>
    <row r="26" spans="1:7" x14ac:dyDescent="0.2">
      <c r="A26" s="26" t="s">
        <v>442</v>
      </c>
      <c r="B26" s="20">
        <f>F26/((E26-liftctr)*LF)</f>
        <v>-0.10718787475765953</v>
      </c>
      <c r="C26" s="26">
        <f>C21</f>
        <v>0.85</v>
      </c>
      <c r="D26" s="26">
        <f>D21</f>
        <v>1</v>
      </c>
      <c r="E26" s="26">
        <f>0.5*(D26-C26) + C26</f>
        <v>0.92500000000000004</v>
      </c>
      <c r="F26" s="26">
        <f>F24</f>
        <v>-0.26502470003518219</v>
      </c>
      <c r="G26">
        <f>B26/(1+(D26-C26)/0.05)</f>
        <v>-2.6796968689414884E-2</v>
      </c>
    </row>
    <row r="29" spans="1:7" x14ac:dyDescent="0.2">
      <c r="A29" s="40" t="s">
        <v>443</v>
      </c>
    </row>
    <row r="30" spans="1:7" x14ac:dyDescent="0.2">
      <c r="A30" t="s">
        <v>444</v>
      </c>
      <c r="B30">
        <f>B31/LF</f>
        <v>-0.12286191787205235</v>
      </c>
      <c r="C30" s="121"/>
    </row>
    <row r="31" spans="1:7" x14ac:dyDescent="0.2">
      <c r="A31" t="s">
        <v>445</v>
      </c>
      <c r="B31">
        <f>F24/B24 + liftctr*LF</f>
        <v>-0.36821716786254094</v>
      </c>
      <c r="C31" t="s">
        <v>206</v>
      </c>
    </row>
    <row r="33" spans="1:3" x14ac:dyDescent="0.2">
      <c r="A33" s="40" t="s">
        <v>446</v>
      </c>
    </row>
    <row r="34" spans="1:3" x14ac:dyDescent="0.2">
      <c r="A34" t="s">
        <v>447</v>
      </c>
      <c r="B34">
        <f>(liftctr-B30)*LF/B10</f>
        <v>0.84679567837050362</v>
      </c>
      <c r="C34" t="str">
        <f>IF(B34&gt;0,"stable","unstable")</f>
        <v>stable</v>
      </c>
    </row>
    <row r="37" spans="1:3" x14ac:dyDescent="0.2">
      <c r="A37" s="40" t="s">
        <v>448</v>
      </c>
      <c r="B37" s="40"/>
      <c r="C37" s="40"/>
    </row>
    <row r="39" spans="1:3" x14ac:dyDescent="0.2">
      <c r="A39" s="2" t="s">
        <v>449</v>
      </c>
    </row>
    <row r="40" spans="1:3" x14ac:dyDescent="0.2">
      <c r="A40" t="s">
        <v>341</v>
      </c>
      <c r="B40">
        <f>S</f>
        <v>4.3549782185485588</v>
      </c>
      <c r="C40" t="s">
        <v>342</v>
      </c>
    </row>
    <row r="41" spans="1:3" x14ac:dyDescent="0.2">
      <c r="A41" t="s">
        <v>450</v>
      </c>
      <c r="B41">
        <f>Wing!B24</f>
        <v>8.2766446810843552E-2</v>
      </c>
      <c r="C41" t="s">
        <v>451</v>
      </c>
    </row>
    <row r="42" spans="1:3" x14ac:dyDescent="0.2">
      <c r="A42" t="s">
        <v>452</v>
      </c>
      <c r="B42">
        <f>(xcgol-liftctr)*LF</f>
        <v>-0.66791716786254096</v>
      </c>
      <c r="C42" t="s">
        <v>206</v>
      </c>
    </row>
    <row r="43" spans="1:3" x14ac:dyDescent="0.2">
      <c r="A43" t="s">
        <v>453</v>
      </c>
      <c r="B43">
        <f>B10</f>
        <v>0.78875835685394602</v>
      </c>
      <c r="C43" t="s">
        <v>206</v>
      </c>
    </row>
    <row r="44" spans="1:3" x14ac:dyDescent="0.2">
      <c r="A44" s="2" t="s">
        <v>454</v>
      </c>
    </row>
    <row r="45" spans="1:3" x14ac:dyDescent="0.2">
      <c r="A45" t="s">
        <v>455</v>
      </c>
      <c r="B45">
        <f>Tail!E55</f>
        <v>0.111</v>
      </c>
      <c r="C45" t="s">
        <v>451</v>
      </c>
    </row>
    <row r="46" spans="1:3" x14ac:dyDescent="0.2">
      <c r="A46" t="s">
        <v>456</v>
      </c>
      <c r="B46">
        <v>0.3</v>
      </c>
      <c r="C46" t="s">
        <v>457</v>
      </c>
    </row>
    <row r="47" spans="1:3" x14ac:dyDescent="0.2">
      <c r="A47" s="62" t="s">
        <v>458</v>
      </c>
      <c r="B47">
        <v>1</v>
      </c>
    </row>
    <row r="48" spans="1:3" x14ac:dyDescent="0.2">
      <c r="A48" t="s">
        <v>459</v>
      </c>
      <c r="B48">
        <f>(0.5*(D26-C26) + C26)*LF - xcg</f>
        <v>3.1404421678625414</v>
      </c>
      <c r="C48" t="s">
        <v>206</v>
      </c>
    </row>
    <row r="49" spans="1:7" x14ac:dyDescent="0.2">
      <c r="A49" t="s">
        <v>356</v>
      </c>
      <c r="B49">
        <f>SHT</f>
        <v>0.66058181996097809</v>
      </c>
      <c r="C49" t="s">
        <v>342</v>
      </c>
    </row>
    <row r="50" spans="1:7" x14ac:dyDescent="0.2">
      <c r="A50" s="2" t="s">
        <v>460</v>
      </c>
      <c r="B50" s="2"/>
    </row>
    <row r="51" spans="1:7" x14ac:dyDescent="0.2">
      <c r="A51" t="s">
        <v>461</v>
      </c>
      <c r="B51">
        <v>0.1</v>
      </c>
      <c r="C51" t="s">
        <v>462</v>
      </c>
    </row>
    <row r="52" spans="1:7" x14ac:dyDescent="0.2">
      <c r="A52" t="s">
        <v>463</v>
      </c>
      <c r="B52">
        <v>1.6</v>
      </c>
      <c r="C52" t="s">
        <v>206</v>
      </c>
    </row>
    <row r="53" spans="1:7" x14ac:dyDescent="0.2">
      <c r="A53" t="s">
        <v>464</v>
      </c>
      <c r="B53">
        <v>9.1999999999999998E-3</v>
      </c>
      <c r="C53" t="s">
        <v>97</v>
      </c>
    </row>
    <row r="54" spans="1:7" x14ac:dyDescent="0.2">
      <c r="A54" t="s">
        <v>465</v>
      </c>
      <c r="B54">
        <v>1925.7</v>
      </c>
      <c r="C54" t="s">
        <v>94</v>
      </c>
    </row>
    <row r="55" spans="1:7" x14ac:dyDescent="0.2">
      <c r="A55" t="s">
        <v>466</v>
      </c>
      <c r="B55">
        <v>1</v>
      </c>
    </row>
    <row r="57" spans="1:7" x14ac:dyDescent="0.2">
      <c r="A57" s="2" t="s">
        <v>115</v>
      </c>
    </row>
    <row r="58" spans="1:7" x14ac:dyDescent="0.2">
      <c r="A58" t="s">
        <v>467</v>
      </c>
      <c r="B58">
        <f>B48*B49/(B40*B43)</f>
        <v>0.60393118612741181</v>
      </c>
    </row>
    <row r="59" spans="1:7" x14ac:dyDescent="0.2">
      <c r="A59" t="s">
        <v>468</v>
      </c>
      <c r="B59">
        <f>(2*B51*B52*B55)/(B55*B54*B40*B43)</f>
        <v>4.8376159453893868E-5</v>
      </c>
      <c r="C59" t="str">
        <f>IF(B59&lt;0,"stable","unstable")</f>
        <v>unstable</v>
      </c>
    </row>
    <row r="60" spans="1:7" x14ac:dyDescent="0.2">
      <c r="A60" t="s">
        <v>469</v>
      </c>
      <c r="B60" s="20">
        <f>(B41*180/PI())*B42/B43</f>
        <v>-4.015647442648385</v>
      </c>
      <c r="C60" t="str">
        <f>IF(B60&lt;0,"stable","unstable")</f>
        <v>stable</v>
      </c>
      <c r="D60" s="40" t="s">
        <v>470</v>
      </c>
      <c r="G60" s="20">
        <f>-B34*B41*180/PI()</f>
        <v>-4.015647442648385</v>
      </c>
    </row>
    <row r="61" spans="1:7" x14ac:dyDescent="0.2">
      <c r="A61" t="s">
        <v>471</v>
      </c>
      <c r="B61">
        <f>(B45*180/PI())*(1-B46)*B47*B58</f>
        <v>2.688630417927147</v>
      </c>
      <c r="C61" t="str">
        <f>IF(B61&lt;0,"stable","unstable")</f>
        <v>unstable</v>
      </c>
    </row>
    <row r="63" spans="1:7" x14ac:dyDescent="0.2">
      <c r="A63" s="40" t="s">
        <v>472</v>
      </c>
      <c r="B63" s="40">
        <f>B60-B61-B59</f>
        <v>-6.7043262367349863</v>
      </c>
      <c r="C63" t="str">
        <f>IF(B63&lt;0,"stable","unstable")</f>
        <v>stable</v>
      </c>
    </row>
    <row r="67" spans="1:3" x14ac:dyDescent="0.2">
      <c r="A67" s="40" t="s">
        <v>473</v>
      </c>
      <c r="B67" s="40"/>
      <c r="C67" s="40"/>
    </row>
    <row r="69" spans="1:3" x14ac:dyDescent="0.2">
      <c r="A69" s="2" t="s">
        <v>449</v>
      </c>
    </row>
    <row r="70" spans="1:3" x14ac:dyDescent="0.2">
      <c r="A70" t="s">
        <v>474</v>
      </c>
      <c r="B70">
        <f>A</f>
        <v>7</v>
      </c>
    </row>
    <row r="71" spans="1:3" x14ac:dyDescent="0.2">
      <c r="A71" s="62" t="s">
        <v>348</v>
      </c>
      <c r="B71">
        <f>LAMLE</f>
        <v>0</v>
      </c>
      <c r="C71" t="s">
        <v>98</v>
      </c>
    </row>
    <row r="72" spans="1:3" x14ac:dyDescent="0.2">
      <c r="A72" s="62" t="s">
        <v>106</v>
      </c>
      <c r="B72">
        <f>lambda</f>
        <v>1</v>
      </c>
    </row>
    <row r="73" spans="1:3" x14ac:dyDescent="0.2">
      <c r="A73" t="s">
        <v>341</v>
      </c>
      <c r="B73">
        <f>S</f>
        <v>4.3549782185485588</v>
      </c>
      <c r="C73" t="s">
        <v>342</v>
      </c>
    </row>
    <row r="74" spans="1:3" x14ac:dyDescent="0.2">
      <c r="A74" t="s">
        <v>117</v>
      </c>
      <c r="B74">
        <f>b</f>
        <v>5.521308497977623</v>
      </c>
      <c r="C74" t="s">
        <v>206</v>
      </c>
    </row>
    <row r="75" spans="1:3" x14ac:dyDescent="0.2">
      <c r="A75" t="s">
        <v>475</v>
      </c>
      <c r="B75">
        <v>-4</v>
      </c>
      <c r="C75" t="s">
        <v>206</v>
      </c>
    </row>
    <row r="76" spans="1:3" x14ac:dyDescent="0.2">
      <c r="A76" t="s">
        <v>476</v>
      </c>
      <c r="B76">
        <v>0.20100000000000001</v>
      </c>
    </row>
    <row r="77" spans="1:3" x14ac:dyDescent="0.2">
      <c r="A77" s="2" t="s">
        <v>477</v>
      </c>
    </row>
    <row r="78" spans="1:3" x14ac:dyDescent="0.2">
      <c r="A78" t="s">
        <v>478</v>
      </c>
      <c r="B78">
        <f>D</f>
        <v>0.33300000000000002</v>
      </c>
      <c r="C78" t="s">
        <v>206</v>
      </c>
    </row>
    <row r="79" spans="1:3" x14ac:dyDescent="0.2">
      <c r="A79" t="s">
        <v>479</v>
      </c>
      <c r="B79">
        <f>D</f>
        <v>0.33300000000000002</v>
      </c>
      <c r="C79" t="s">
        <v>206</v>
      </c>
    </row>
    <row r="80" spans="1:3" x14ac:dyDescent="0.2">
      <c r="A80" t="s">
        <v>480</v>
      </c>
      <c r="B80">
        <f>1</f>
        <v>1</v>
      </c>
      <c r="C80" t="s">
        <v>380</v>
      </c>
    </row>
    <row r="81" spans="1:4" x14ac:dyDescent="0.2">
      <c r="A81" s="2" t="s">
        <v>481</v>
      </c>
    </row>
    <row r="82" spans="1:4" x14ac:dyDescent="0.2">
      <c r="A82" t="s">
        <v>482</v>
      </c>
      <c r="B82">
        <f>Tail!E14</f>
        <v>0.111</v>
      </c>
      <c r="C82" t="s">
        <v>451</v>
      </c>
    </row>
    <row r="83" spans="1:4" x14ac:dyDescent="0.2">
      <c r="A83" t="s">
        <v>483</v>
      </c>
      <c r="B83">
        <f>(0.5*(D22-C22) + C22)*LF - xcg</f>
        <v>3.1404421678625414</v>
      </c>
      <c r="C83" t="s">
        <v>206</v>
      </c>
    </row>
    <row r="84" spans="1:4" x14ac:dyDescent="0.2">
      <c r="A84" t="s">
        <v>484</v>
      </c>
      <c r="B84">
        <f>SVT</f>
        <v>0.36992581917814776</v>
      </c>
      <c r="C84" t="s">
        <v>342</v>
      </c>
    </row>
    <row r="85" spans="1:4" x14ac:dyDescent="0.2">
      <c r="A85" s="62" t="s">
        <v>485</v>
      </c>
      <c r="B85" s="72">
        <f>Tail!B14</f>
        <v>0</v>
      </c>
      <c r="C85" t="s">
        <v>98</v>
      </c>
    </row>
    <row r="86" spans="1:4" x14ac:dyDescent="0.2">
      <c r="A86" s="2" t="s">
        <v>115</v>
      </c>
    </row>
    <row r="87" spans="1:4" x14ac:dyDescent="0.2">
      <c r="A87" t="s">
        <v>486</v>
      </c>
      <c r="B87">
        <f>(B83*B84)/(B74*B73)</f>
        <v>4.831449489019294E-2</v>
      </c>
    </row>
    <row r="88" spans="1:4" x14ac:dyDescent="0.2">
      <c r="A88" t="s">
        <v>487</v>
      </c>
      <c r="B88">
        <f>0.724+(3.06*B84/B73)/(1+COS(B85*PI()/180)) + 0.4*B75/B78 + 0.009*B70</f>
        <v>-3.8878416970831777</v>
      </c>
      <c r="C88" t="s">
        <v>488</v>
      </c>
    </row>
    <row r="89" spans="1:4" x14ac:dyDescent="0.2">
      <c r="A89" t="s">
        <v>489</v>
      </c>
      <c r="B89">
        <f>B87*(B82*180/PI())*B88</f>
        <v>-1.1946250796415236</v>
      </c>
      <c r="C89" t="s">
        <v>490</v>
      </c>
      <c r="D89" t="str">
        <f>IF(B89&gt;0,"stable","unstable")</f>
        <v>unstable</v>
      </c>
    </row>
    <row r="90" spans="1:4" x14ac:dyDescent="0.2">
      <c r="A90" t="s">
        <v>491</v>
      </c>
      <c r="B90">
        <f>-1.3*B80*B78/(B73*B74*B79)</f>
        <v>-5.4064893454675189E-2</v>
      </c>
      <c r="C90" t="s">
        <v>492</v>
      </c>
      <c r="D90" t="str">
        <f>IF(B90&gt;0,"stable","unstable")</f>
        <v>unstable</v>
      </c>
    </row>
    <row r="91" spans="1:4" x14ac:dyDescent="0.2">
      <c r="A91" t="s">
        <v>469</v>
      </c>
      <c r="B91">
        <f>B76^2*(1/(4*PI()*B70) - TAN(B71*PI()/180)/(PI()*B70*(B70+4*COS(B71*PI()/180)))*(COS(B71*PI()/180) - (B70/2) - (B70^2/(8*COS(B71*PI()/180))) + (6*B42*SIN(B71*PI()/180)/(B43*B70))))</f>
        <v>4.5928706113254744E-4</v>
      </c>
      <c r="C91" t="s">
        <v>493</v>
      </c>
      <c r="D91" t="str">
        <f>IF(B91&gt;0,"stable","unstable")</f>
        <v>stable</v>
      </c>
    </row>
    <row r="93" spans="1:4" x14ac:dyDescent="0.2">
      <c r="A93" s="40" t="s">
        <v>494</v>
      </c>
      <c r="B93" s="40">
        <f>SUM(B89:B91)</f>
        <v>-1.2482306860350663</v>
      </c>
      <c r="C93" t="str">
        <f>IF(B93&gt;0,"stable","unstable")</f>
        <v>unstable</v>
      </c>
    </row>
    <row r="95" spans="1:4" x14ac:dyDescent="0.2">
      <c r="A95" s="40" t="s">
        <v>495</v>
      </c>
      <c r="B95" s="40">
        <f>-B93</f>
        <v>1.2482306860350663</v>
      </c>
      <c r="C95" t="str">
        <f>IF(B95&lt;0,"stable","unstable")</f>
        <v>unstable</v>
      </c>
    </row>
    <row r="99" spans="1:3" x14ac:dyDescent="0.2">
      <c r="B99" s="40" t="s">
        <v>496</v>
      </c>
    </row>
    <row r="100" spans="1:3" x14ac:dyDescent="0.2">
      <c r="A100" s="2" t="s">
        <v>497</v>
      </c>
    </row>
    <row r="101" spans="1:3" x14ac:dyDescent="0.2">
      <c r="A101" s="62" t="s">
        <v>498</v>
      </c>
      <c r="B101">
        <v>20</v>
      </c>
      <c r="C101" t="s">
        <v>98</v>
      </c>
    </row>
    <row r="102" spans="1:3" x14ac:dyDescent="0.2">
      <c r="A102" s="62" t="s">
        <v>117</v>
      </c>
      <c r="B102">
        <v>10</v>
      </c>
      <c r="C102" t="s">
        <v>98</v>
      </c>
    </row>
    <row r="103" spans="1:3" x14ac:dyDescent="0.2">
      <c r="A103" t="s">
        <v>499</v>
      </c>
      <c r="B103">
        <v>0</v>
      </c>
      <c r="C103" t="s">
        <v>346</v>
      </c>
    </row>
    <row r="104" spans="1:3" x14ac:dyDescent="0.2">
      <c r="A104" t="s">
        <v>341</v>
      </c>
      <c r="B104">
        <f>B73</f>
        <v>4.3549782185485588</v>
      </c>
      <c r="C104" t="s">
        <v>342</v>
      </c>
    </row>
    <row r="105" spans="1:3" x14ac:dyDescent="0.2">
      <c r="A105" t="s">
        <v>117</v>
      </c>
      <c r="B105">
        <f>B74</f>
        <v>5.521308497977623</v>
      </c>
      <c r="C105" t="s">
        <v>206</v>
      </c>
    </row>
    <row r="106" spans="1:3" x14ac:dyDescent="0.2">
      <c r="A106" s="63" t="s">
        <v>500</v>
      </c>
      <c r="B106" s="63">
        <f>B93</f>
        <v>-1.2482306860350663</v>
      </c>
    </row>
    <row r="107" spans="1:3" x14ac:dyDescent="0.2">
      <c r="A107" t="s">
        <v>501</v>
      </c>
      <c r="B107">
        <v>0.9</v>
      </c>
      <c r="C107" t="s">
        <v>206</v>
      </c>
    </row>
    <row r="108" spans="1:3" x14ac:dyDescent="0.2">
      <c r="A108" t="s">
        <v>502</v>
      </c>
      <c r="B108">
        <f>TO_L!B14</f>
        <v>22.518889978501669</v>
      </c>
      <c r="C108" t="s">
        <v>94</v>
      </c>
    </row>
    <row r="109" spans="1:3" x14ac:dyDescent="0.2">
      <c r="A109" t="s">
        <v>503</v>
      </c>
      <c r="B109">
        <f>TO_L!B11</f>
        <v>7.6474E-2</v>
      </c>
      <c r="C109" t="s">
        <v>97</v>
      </c>
    </row>
    <row r="111" spans="1:3" x14ac:dyDescent="0.2">
      <c r="A111" s="2" t="s">
        <v>115</v>
      </c>
    </row>
    <row r="112" spans="1:3" x14ac:dyDescent="0.2">
      <c r="A112" s="124" t="s">
        <v>504</v>
      </c>
      <c r="B112">
        <f>1.2*B108</f>
        <v>27.022667974202001</v>
      </c>
      <c r="C112" t="s">
        <v>94</v>
      </c>
    </row>
    <row r="113" spans="1:4" x14ac:dyDescent="0.2">
      <c r="A113" s="124" t="s">
        <v>505</v>
      </c>
      <c r="B113">
        <f>0.2*B108</f>
        <v>4.5037779957003341</v>
      </c>
      <c r="C113" t="s">
        <v>94</v>
      </c>
    </row>
    <row r="114" spans="1:4" x14ac:dyDescent="0.2">
      <c r="A114" s="124" t="s">
        <v>339</v>
      </c>
      <c r="B114">
        <f>B109*B112^2/(2*32.2)</f>
        <v>0.86713035513614267</v>
      </c>
      <c r="C114" t="s">
        <v>355</v>
      </c>
    </row>
    <row r="115" spans="1:4" x14ac:dyDescent="0.2">
      <c r="A115" t="s">
        <v>506</v>
      </c>
      <c r="B115">
        <f>1.2*B114*PI()*B107^2/4</f>
        <v>0.66197339587630066</v>
      </c>
      <c r="C115" t="s">
        <v>346</v>
      </c>
    </row>
    <row r="117" spans="1:4" x14ac:dyDescent="0.2">
      <c r="A117" s="132" t="s">
        <v>507</v>
      </c>
    </row>
    <row r="118" spans="1:4" x14ac:dyDescent="0.2">
      <c r="A118" t="s">
        <v>508</v>
      </c>
      <c r="B118">
        <f>(1/RADIANS(B101))*(B103+B115)/(B114*B104*B105)</f>
        <v>9.0953786142595888E-2</v>
      </c>
      <c r="C118" t="s">
        <v>509</v>
      </c>
      <c r="D118" t="s">
        <v>510</v>
      </c>
    </row>
    <row r="119" spans="1:4" x14ac:dyDescent="0.2">
      <c r="A119" t="s">
        <v>511</v>
      </c>
      <c r="B119">
        <f>-(1/RADIANS(B101))*B106*RADIANS(B102)</f>
        <v>0.62411534301753313</v>
      </c>
      <c r="C119" t="s">
        <v>509</v>
      </c>
      <c r="D119" t="s">
        <v>512</v>
      </c>
    </row>
    <row r="121" spans="1:4" x14ac:dyDescent="0.2">
      <c r="A121" t="s">
        <v>513</v>
      </c>
      <c r="B121">
        <f>MAX(B118:B119)/(0.9*(B82*180/PI())*B87)</f>
        <v>2.2568323324233557</v>
      </c>
      <c r="D121" t="s">
        <v>514</v>
      </c>
    </row>
    <row r="123" spans="1:4" x14ac:dyDescent="0.2">
      <c r="A123" t="s">
        <v>515</v>
      </c>
      <c r="B123">
        <v>10</v>
      </c>
      <c r="C123" t="s">
        <v>267</v>
      </c>
      <c r="D123" t="s">
        <v>516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98</vt:i4>
      </vt:variant>
    </vt:vector>
  </HeadingPairs>
  <TitlesOfParts>
    <vt:vector size="107" baseType="lpstr">
      <vt:lpstr>IterTow</vt:lpstr>
      <vt:lpstr>WingLD</vt:lpstr>
      <vt:lpstr>Wing</vt:lpstr>
      <vt:lpstr>Fuse</vt:lpstr>
      <vt:lpstr>Tail</vt:lpstr>
      <vt:lpstr>TO_L</vt:lpstr>
      <vt:lpstr>Flaps</vt:lpstr>
      <vt:lpstr>RefWT</vt:lpstr>
      <vt:lpstr>Stab</vt:lpstr>
      <vt:lpstr>A</vt:lpstr>
      <vt:lpstr>a_0L</vt:lpstr>
      <vt:lpstr>AH</vt:lpstr>
      <vt:lpstr>AHT</vt:lpstr>
      <vt:lpstr>AV</vt:lpstr>
      <vt:lpstr>avt</vt:lpstr>
      <vt:lpstr>b</vt:lpstr>
      <vt:lpstr>bh</vt:lpstr>
      <vt:lpstr>BW</vt:lpstr>
      <vt:lpstr>CD_0</vt:lpstr>
      <vt:lpstr>CL_G</vt:lpstr>
      <vt:lpstr>CLMX</vt:lpstr>
      <vt:lpstr>CM</vt:lpstr>
      <vt:lpstr>CMN</vt:lpstr>
      <vt:lpstr>CMX</vt:lpstr>
      <vt:lpstr>cr</vt:lpstr>
      <vt:lpstr>CT</vt:lpstr>
      <vt:lpstr>D</vt:lpstr>
      <vt:lpstr>exp</vt:lpstr>
      <vt:lpstr>FIN</vt:lpstr>
      <vt:lpstr>FQ</vt:lpstr>
      <vt:lpstr>FR</vt:lpstr>
      <vt:lpstr>FT</vt:lpstr>
      <vt:lpstr>FW</vt:lpstr>
      <vt:lpstr>GAM</vt:lpstr>
      <vt:lpstr>GAMHT</vt:lpstr>
      <vt:lpstr>GAMVT</vt:lpstr>
      <vt:lpstr>H</vt:lpstr>
      <vt:lpstr>HHT</vt:lpstr>
      <vt:lpstr>hv</vt:lpstr>
      <vt:lpstr>HVT</vt:lpstr>
      <vt:lpstr>k</vt:lpstr>
      <vt:lpstr>KCB</vt:lpstr>
      <vt:lpstr>KDOOR</vt:lpstr>
      <vt:lpstr>KDW</vt:lpstr>
      <vt:lpstr>KDWF</vt:lpstr>
      <vt:lpstr>KLG</vt:lpstr>
      <vt:lpstr>KMP</vt:lpstr>
      <vt:lpstr>KNP</vt:lpstr>
      <vt:lpstr>KRHT</vt:lpstr>
      <vt:lpstr>KTPG</vt:lpstr>
      <vt:lpstr>KVS</vt:lpstr>
      <vt:lpstr>KWS</vt:lpstr>
      <vt:lpstr>KY</vt:lpstr>
      <vt:lpstr>KZ</vt:lpstr>
      <vt:lpstr>LAM</vt:lpstr>
      <vt:lpstr>lambda</vt:lpstr>
      <vt:lpstr>LAMHT</vt:lpstr>
      <vt:lpstr>LAMLE</vt:lpstr>
      <vt:lpstr>LAMtc</vt:lpstr>
      <vt:lpstr>LAMVT</vt:lpstr>
      <vt:lpstr>LF</vt:lpstr>
      <vt:lpstr>LHT</vt:lpstr>
      <vt:lpstr>liftctr</vt:lpstr>
      <vt:lpstr>LL</vt:lpstr>
      <vt:lpstr>LM</vt:lpstr>
      <vt:lpstr>LN</vt:lpstr>
      <vt:lpstr>LT</vt:lpstr>
      <vt:lpstr>LV</vt:lpstr>
      <vt:lpstr>LVT</vt:lpstr>
      <vt:lpstr>M</vt:lpstr>
      <vt:lpstr>mac</vt:lpstr>
      <vt:lpstr>MC</vt:lpstr>
      <vt:lpstr>MMX</vt:lpstr>
      <vt:lpstr>n</vt:lpstr>
      <vt:lpstr>NMSS</vt:lpstr>
      <vt:lpstr>NMW</vt:lpstr>
      <vt:lpstr>NNW</vt:lpstr>
      <vt:lpstr>NONexp</vt:lpstr>
      <vt:lpstr>nu</vt:lpstr>
      <vt:lpstr>q</vt:lpstr>
      <vt:lpstr>RA</vt:lpstr>
      <vt:lpstr>S</vt:lpstr>
      <vt:lpstr>sf</vt:lpstr>
      <vt:lpstr>SFACT</vt:lpstr>
      <vt:lpstr>SHT</vt:lpstr>
      <vt:lpstr>SR</vt:lpstr>
      <vt:lpstr>SVT</vt:lpstr>
      <vt:lpstr>sw</vt:lpstr>
      <vt:lpstr>SWF</vt:lpstr>
      <vt:lpstr>T</vt:lpstr>
      <vt:lpstr>tc</vt:lpstr>
      <vt:lpstr>tcht</vt:lpstr>
      <vt:lpstr>tcvt</vt:lpstr>
      <vt:lpstr>TMX</vt:lpstr>
      <vt:lpstr>V</vt:lpstr>
      <vt:lpstr>V_50</vt:lpstr>
      <vt:lpstr>VPR</vt:lpstr>
      <vt:lpstr>VS</vt:lpstr>
      <vt:lpstr>WDG</vt:lpstr>
      <vt:lpstr>WF</vt:lpstr>
      <vt:lpstr>WFW</vt:lpstr>
      <vt:lpstr>WL</vt:lpstr>
      <vt:lpstr>WP</vt:lpstr>
      <vt:lpstr>WS</vt:lpstr>
      <vt:lpstr>WTO</vt:lpstr>
      <vt:lpstr>xcg</vt:lpstr>
      <vt:lpstr>xcgol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Brian</cp:lastModifiedBy>
  <cp:lastPrinted>2014-02-06T04:27:32Z</cp:lastPrinted>
  <dcterms:created xsi:type="dcterms:W3CDTF">2009-01-15T21:57:09Z</dcterms:created>
  <dcterms:modified xsi:type="dcterms:W3CDTF">2014-02-06T04:27:39Z</dcterms:modified>
</cp:coreProperties>
</file>