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nning/git/overleaf/R1R2R3/"/>
    </mc:Choice>
  </mc:AlternateContent>
  <xr:revisionPtr revIDLastSave="0" documentId="13_ncr:1_{FA9BEC5D-71A7-4C47-B461-2AA181298A37}" xr6:coauthVersionLast="47" xr6:coauthVersionMax="47" xr10:uidLastSave="{00000000-0000-0000-0000-000000000000}"/>
  <bookViews>
    <workbookView xWindow="26360" yWindow="660" windowWidth="25960" windowHeight="21100" activeTab="2" xr2:uid="{7B6C612F-84E8-2349-A272-7D0E4C8B07CA}"/>
  </bookViews>
  <sheets>
    <sheet name="Data" sheetId="1" r:id="rId1"/>
    <sheet name="SW_picks" sheetId="2" r:id="rId2"/>
    <sheet name="Backazimuth" sheetId="4" r:id="rId3"/>
    <sheet name="All pick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B7" i="2"/>
  <c r="D4" i="1"/>
  <c r="AA11" i="1"/>
  <c r="AC11" i="1" s="1"/>
  <c r="AD11" i="1" s="1"/>
  <c r="AA12" i="1"/>
  <c r="AC12" i="1" s="1"/>
  <c r="AD12" i="1" s="1"/>
  <c r="Y11" i="1"/>
  <c r="Z11" i="1" s="1"/>
  <c r="Y12" i="1"/>
  <c r="Z12" i="1" s="1"/>
  <c r="Y13" i="1"/>
  <c r="Z13" i="1" s="1"/>
  <c r="Y10" i="1"/>
  <c r="Y19" i="1" s="1"/>
  <c r="Z19" i="1" s="1"/>
  <c r="H14" i="1"/>
  <c r="H13" i="1"/>
  <c r="H12" i="1"/>
  <c r="H11" i="1"/>
  <c r="H10" i="1"/>
  <c r="H9" i="1"/>
  <c r="E14" i="1"/>
  <c r="K9" i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68" i="1"/>
  <c r="J68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66" i="1"/>
  <c r="G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AA13" i="1" l="1"/>
  <c r="AC13" i="1" s="1"/>
  <c r="AD13" i="1" s="1"/>
  <c r="S81" i="1"/>
  <c r="AB11" i="1"/>
  <c r="AB13" i="1"/>
  <c r="AB12" i="1"/>
  <c r="Z10" i="1"/>
  <c r="AA10" i="1"/>
  <c r="S73" i="1"/>
  <c r="U73" i="1" s="1"/>
  <c r="V73" i="1" s="1"/>
  <c r="S79" i="1"/>
  <c r="U79" i="1" s="1"/>
  <c r="V79" i="1" s="1"/>
  <c r="S68" i="1"/>
  <c r="U68" i="1" s="1"/>
  <c r="S72" i="1"/>
  <c r="U72" i="1" s="1"/>
  <c r="S71" i="1"/>
  <c r="U71" i="1" s="1"/>
  <c r="V71" i="1" s="1"/>
  <c r="S70" i="1"/>
  <c r="U70" i="1" s="1"/>
  <c r="V70" i="1" s="1"/>
  <c r="S69" i="1"/>
  <c r="T69" i="1" s="1"/>
  <c r="S80" i="1"/>
  <c r="U80" i="1" s="1"/>
  <c r="S78" i="1"/>
  <c r="S77" i="1"/>
  <c r="S76" i="1"/>
  <c r="S75" i="1"/>
  <c r="S74" i="1"/>
  <c r="U81" i="1"/>
  <c r="V81" i="1" s="1"/>
  <c r="T81" i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48" i="1"/>
  <c r="Q48" i="1" s="1"/>
  <c r="R48" i="1" s="1"/>
  <c r="N49" i="1"/>
  <c r="N50" i="1"/>
  <c r="N51" i="1"/>
  <c r="N52" i="1"/>
  <c r="N53" i="1"/>
  <c r="N54" i="1"/>
  <c r="N55" i="1"/>
  <c r="N56" i="1"/>
  <c r="N48" i="1"/>
  <c r="J49" i="1"/>
  <c r="K49" i="1" s="1"/>
  <c r="L49" i="1" s="1"/>
  <c r="J50" i="1"/>
  <c r="K50" i="1" s="1"/>
  <c r="L50" i="1" s="1"/>
  <c r="J51" i="1"/>
  <c r="K51" i="1" s="1"/>
  <c r="L51" i="1" s="1"/>
  <c r="J52" i="1"/>
  <c r="K52" i="1" s="1"/>
  <c r="L52" i="1" s="1"/>
  <c r="J53" i="1"/>
  <c r="K53" i="1" s="1"/>
  <c r="L53" i="1" s="1"/>
  <c r="J54" i="1"/>
  <c r="K54" i="1" s="1"/>
  <c r="L54" i="1" s="1"/>
  <c r="J55" i="1"/>
  <c r="K55" i="1" s="1"/>
  <c r="L55" i="1" s="1"/>
  <c r="J48" i="1"/>
  <c r="K48" i="1" s="1"/>
  <c r="L48" i="1" s="1"/>
  <c r="H49" i="1"/>
  <c r="H50" i="1"/>
  <c r="H51" i="1"/>
  <c r="H52" i="1"/>
  <c r="H53" i="1"/>
  <c r="H54" i="1"/>
  <c r="H55" i="1"/>
  <c r="H48" i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39" i="1"/>
  <c r="E39" i="1" s="1"/>
  <c r="F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9" i="1"/>
  <c r="U69" i="1" l="1"/>
  <c r="V69" i="1" s="1"/>
  <c r="AC10" i="1"/>
  <c r="AA19" i="1"/>
  <c r="AB19" i="1" s="1"/>
  <c r="AB10" i="1"/>
  <c r="T79" i="1"/>
  <c r="T73" i="1"/>
  <c r="S84" i="1"/>
  <c r="T71" i="1"/>
  <c r="T68" i="1"/>
  <c r="V72" i="1"/>
  <c r="W72" i="1"/>
  <c r="X72" i="1" s="1"/>
  <c r="T72" i="1"/>
  <c r="S83" i="1"/>
  <c r="T83" i="1" s="1"/>
  <c r="B5" i="2" s="1"/>
  <c r="T70" i="1"/>
  <c r="T80" i="1"/>
  <c r="S50" i="1"/>
  <c r="U50" i="1" s="1"/>
  <c r="V50" i="1" s="1"/>
  <c r="S55" i="1"/>
  <c r="S49" i="1"/>
  <c r="U49" i="1" s="1"/>
  <c r="V49" i="1" s="1"/>
  <c r="S48" i="1"/>
  <c r="W79" i="1"/>
  <c r="X79" i="1" s="1"/>
  <c r="S54" i="1"/>
  <c r="U54" i="1" s="1"/>
  <c r="V54" i="1" s="1"/>
  <c r="S52" i="1"/>
  <c r="U52" i="1" s="1"/>
  <c r="V52" i="1" s="1"/>
  <c r="S53" i="1"/>
  <c r="T53" i="1" s="1"/>
  <c r="S51" i="1"/>
  <c r="U51" i="1" s="1"/>
  <c r="V51" i="1" s="1"/>
  <c r="U76" i="1"/>
  <c r="T76" i="1"/>
  <c r="W69" i="1"/>
  <c r="X69" i="1" s="1"/>
  <c r="W70" i="1"/>
  <c r="X70" i="1" s="1"/>
  <c r="U78" i="1"/>
  <c r="T78" i="1"/>
  <c r="W73" i="1"/>
  <c r="X73" i="1" s="1"/>
  <c r="U74" i="1"/>
  <c r="T74" i="1"/>
  <c r="U75" i="1"/>
  <c r="T75" i="1"/>
  <c r="U77" i="1"/>
  <c r="T77" i="1"/>
  <c r="V68" i="1"/>
  <c r="W68" i="1"/>
  <c r="W81" i="1"/>
  <c r="X81" i="1" s="1"/>
  <c r="V80" i="1"/>
  <c r="W80" i="1"/>
  <c r="X80" i="1" s="1"/>
  <c r="W71" i="1"/>
  <c r="X71" i="1" s="1"/>
  <c r="C4" i="1"/>
  <c r="S11" i="1"/>
  <c r="U11" i="1" s="1"/>
  <c r="S12" i="1"/>
  <c r="U12" i="1" s="1"/>
  <c r="W12" i="1" s="1"/>
  <c r="X12" i="1" s="1"/>
  <c r="S13" i="1"/>
  <c r="T13" i="1" s="1"/>
  <c r="S10" i="1"/>
  <c r="K11" i="1"/>
  <c r="K12" i="1"/>
  <c r="K13" i="1"/>
  <c r="K10" i="1"/>
  <c r="U84" i="1" l="1"/>
  <c r="T48" i="1"/>
  <c r="S59" i="1"/>
  <c r="T84" i="1"/>
  <c r="C5" i="2" s="1"/>
  <c r="AD10" i="1"/>
  <c r="AC19" i="1"/>
  <c r="AD19" i="1" s="1"/>
  <c r="T10" i="1"/>
  <c r="S20" i="1"/>
  <c r="T49" i="1"/>
  <c r="U48" i="1"/>
  <c r="T50" i="1"/>
  <c r="T54" i="1"/>
  <c r="U83" i="1"/>
  <c r="V83" i="1" s="1"/>
  <c r="D5" i="2" s="1"/>
  <c r="U53" i="1"/>
  <c r="V53" i="1" s="1"/>
  <c r="S58" i="1"/>
  <c r="T58" i="1" s="1"/>
  <c r="B4" i="2" s="1"/>
  <c r="T52" i="1"/>
  <c r="T55" i="1"/>
  <c r="U55" i="1"/>
  <c r="T51" i="1"/>
  <c r="X68" i="1"/>
  <c r="V77" i="1"/>
  <c r="W77" i="1"/>
  <c r="X77" i="1" s="1"/>
  <c r="V75" i="1"/>
  <c r="W75" i="1"/>
  <c r="X75" i="1" s="1"/>
  <c r="V74" i="1"/>
  <c r="W74" i="1"/>
  <c r="X74" i="1" s="1"/>
  <c r="V78" i="1"/>
  <c r="W78" i="1"/>
  <c r="X78" i="1" s="1"/>
  <c r="W54" i="1"/>
  <c r="X54" i="1" s="1"/>
  <c r="V76" i="1"/>
  <c r="W76" i="1"/>
  <c r="X76" i="1" s="1"/>
  <c r="W50" i="1"/>
  <c r="X50" i="1" s="1"/>
  <c r="W51" i="1"/>
  <c r="X51" i="1" s="1"/>
  <c r="W52" i="1"/>
  <c r="X52" i="1" s="1"/>
  <c r="W49" i="1"/>
  <c r="X49" i="1" s="1"/>
  <c r="S19" i="1"/>
  <c r="T19" i="1" s="1"/>
  <c r="B2" i="2" s="1"/>
  <c r="U10" i="1"/>
  <c r="T12" i="1"/>
  <c r="U13" i="1"/>
  <c r="W13" i="1" s="1"/>
  <c r="X13" i="1" s="1"/>
  <c r="T11" i="1"/>
  <c r="W11" i="1"/>
  <c r="V11" i="1"/>
  <c r="V12" i="1"/>
  <c r="E13" i="1"/>
  <c r="E12" i="1"/>
  <c r="E11" i="1"/>
  <c r="E10" i="1"/>
  <c r="E9" i="1"/>
  <c r="G27" i="1"/>
  <c r="G26" i="1"/>
  <c r="E26" i="1"/>
  <c r="E27" i="1"/>
  <c r="B8" i="1"/>
  <c r="B9" i="1"/>
  <c r="B10" i="1"/>
  <c r="B11" i="1"/>
  <c r="B12" i="1"/>
  <c r="B13" i="1"/>
  <c r="B14" i="1"/>
  <c r="B15" i="1"/>
  <c r="B16" i="1"/>
  <c r="B17" i="1"/>
  <c r="B18" i="1"/>
  <c r="B7" i="1"/>
  <c r="C31" i="1"/>
  <c r="C32" i="1"/>
  <c r="C30" i="1"/>
  <c r="C29" i="1"/>
  <c r="C28" i="1"/>
  <c r="C27" i="1"/>
  <c r="C26" i="1"/>
  <c r="C3" i="1"/>
  <c r="V84" i="1" l="1"/>
  <c r="E5" i="2" s="1"/>
  <c r="U59" i="1"/>
  <c r="V10" i="1"/>
  <c r="U20" i="1"/>
  <c r="U58" i="1"/>
  <c r="V58" i="1" s="1"/>
  <c r="D4" i="2" s="1"/>
  <c r="T20" i="1"/>
  <c r="C2" i="2" s="1"/>
  <c r="V48" i="1"/>
  <c r="T59" i="1"/>
  <c r="C4" i="2" s="1"/>
  <c r="W53" i="1"/>
  <c r="X53" i="1" s="1"/>
  <c r="W48" i="1"/>
  <c r="W58" i="1" s="1"/>
  <c r="W84" i="1"/>
  <c r="G5" i="2" s="1"/>
  <c r="V55" i="1"/>
  <c r="W55" i="1"/>
  <c r="X55" i="1" s="1"/>
  <c r="W83" i="1"/>
  <c r="V13" i="1"/>
  <c r="S27" i="1"/>
  <c r="T27" i="1" s="1"/>
  <c r="S26" i="1"/>
  <c r="W10" i="1"/>
  <c r="U19" i="1"/>
  <c r="V19" i="1" s="1"/>
  <c r="D2" i="2" s="1"/>
  <c r="U27" i="1"/>
  <c r="V27" i="1" s="1"/>
  <c r="X11" i="1"/>
  <c r="X48" i="1" l="1"/>
  <c r="X83" i="1"/>
  <c r="H5" i="2" s="1"/>
  <c r="F5" i="2"/>
  <c r="W59" i="1"/>
  <c r="G4" i="2" s="1"/>
  <c r="V59" i="1"/>
  <c r="E4" i="2" s="1"/>
  <c r="V20" i="1"/>
  <c r="E2" i="2" s="1"/>
  <c r="X58" i="1"/>
  <c r="H4" i="2" s="1"/>
  <c r="F4" i="2"/>
  <c r="X10" i="1"/>
  <c r="W20" i="1"/>
  <c r="G2" i="2" s="1"/>
  <c r="T26" i="1"/>
  <c r="T30" i="1" s="1"/>
  <c r="C3" i="2" s="1"/>
  <c r="S30" i="1"/>
  <c r="U26" i="1"/>
  <c r="U30" i="1" s="1"/>
  <c r="W27" i="1"/>
  <c r="X27" i="1" s="1"/>
  <c r="W19" i="1"/>
  <c r="F2" i="2" s="1"/>
  <c r="S29" i="1"/>
  <c r="T29" i="1" s="1"/>
  <c r="B3" i="2" s="1"/>
  <c r="W26" i="1"/>
  <c r="X26" i="1" l="1"/>
  <c r="W30" i="1"/>
  <c r="G3" i="2" s="1"/>
  <c r="Z5" i="1"/>
  <c r="AA5" i="1"/>
  <c r="X19" i="1"/>
  <c r="H2" i="2" s="1"/>
  <c r="U29" i="1"/>
  <c r="V29" i="1" s="1"/>
  <c r="D3" i="2" s="1"/>
  <c r="W29" i="1"/>
  <c r="V26" i="1"/>
  <c r="V30" i="1" s="1"/>
  <c r="E3" i="2" s="1"/>
  <c r="X29" i="1" l="1"/>
  <c r="H3" i="2" s="1"/>
  <c r="F3" i="2"/>
  <c r="AE5" i="1"/>
  <c r="AC5" i="1"/>
  <c r="AB5" i="1"/>
  <c r="AD5" i="1" l="1"/>
  <c r="H7" i="2"/>
  <c r="AD7" i="1"/>
  <c r="AB7" i="1"/>
</calcChain>
</file>

<file path=xl/sharedStrings.xml><?xml version="1.0" encoding="utf-8"?>
<sst xmlns="http://schemas.openxmlformats.org/spreadsheetml/2006/main" count="190" uniqueCount="96">
  <si>
    <t>Surface wave group picks</t>
  </si>
  <si>
    <t xml:space="preserve">Band </t>
  </si>
  <si>
    <t>reference time</t>
  </si>
  <si>
    <t>MQS</t>
  </si>
  <si>
    <t>Band</t>
  </si>
  <si>
    <t>R1</t>
  </si>
  <si>
    <t>relative</t>
  </si>
  <si>
    <t>relative (s)</t>
  </si>
  <si>
    <t>Relative</t>
  </si>
  <si>
    <t>Note</t>
  </si>
  <si>
    <t>low quality pick</t>
  </si>
  <si>
    <t>low quality, earlier peak possible</t>
  </si>
  <si>
    <t>R2</t>
  </si>
  <si>
    <t>R3</t>
  </si>
  <si>
    <t>U</t>
  </si>
  <si>
    <t>Delta</t>
  </si>
  <si>
    <t>Delta_deg</t>
  </si>
  <si>
    <t>t0</t>
  </si>
  <si>
    <t>t0_UTC</t>
  </si>
  <si>
    <t>MQS origin</t>
  </si>
  <si>
    <t>average</t>
  </si>
  <si>
    <t>U (km/s)</t>
  </si>
  <si>
    <t>UCLA</t>
  </si>
  <si>
    <t>Period</t>
  </si>
  <si>
    <t>Frequency</t>
  </si>
  <si>
    <t>distance</t>
  </si>
  <si>
    <t>radius</t>
  </si>
  <si>
    <t>travel time</t>
  </si>
  <si>
    <t>origin time</t>
  </si>
  <si>
    <t>M_Z_R1 velocity</t>
  </si>
  <si>
    <t>M_Z_R2 velocity</t>
  </si>
  <si>
    <t>M_Z_R3 velcocity</t>
  </si>
  <si>
    <t>Delta (deg)</t>
  </si>
  <si>
    <t>BKE</t>
  </si>
  <si>
    <t>R1 travel time</t>
  </si>
  <si>
    <t>Origin used</t>
  </si>
  <si>
    <t>R2 travel time</t>
  </si>
  <si>
    <t>R3 travel time</t>
  </si>
  <si>
    <t>Summary values</t>
  </si>
  <si>
    <t>U average</t>
  </si>
  <si>
    <t>U std</t>
  </si>
  <si>
    <t>Delta average</t>
  </si>
  <si>
    <t>Delta std</t>
  </si>
  <si>
    <t>t0 average</t>
  </si>
  <si>
    <t>t0 std</t>
  </si>
  <si>
    <t>MQS offset</t>
  </si>
  <si>
    <t>MQS distance</t>
  </si>
  <si>
    <t>two peaks</t>
  </si>
  <si>
    <t>R2 (late)</t>
  </si>
  <si>
    <t>Late R2 picks</t>
  </si>
  <si>
    <t>t0 (UTC)</t>
  </si>
  <si>
    <t>std</t>
  </si>
  <si>
    <t>Summary</t>
  </si>
  <si>
    <t>JPL</t>
  </si>
  <si>
    <t>Dataset</t>
  </si>
  <si>
    <t>U_std</t>
  </si>
  <si>
    <t>Delta_std</t>
  </si>
  <si>
    <t>t0_std</t>
  </si>
  <si>
    <t>Azimuth estimates</t>
  </si>
  <si>
    <t>broadband</t>
  </si>
  <si>
    <t>average (all)</t>
  </si>
  <si>
    <t>average (HQ)</t>
  </si>
  <si>
    <t>Pick</t>
  </si>
  <si>
    <t>Alt R2</t>
  </si>
  <si>
    <t>Method 1 (JPL)</t>
  </si>
  <si>
    <t>Method 2 (MQS)</t>
  </si>
  <si>
    <t>Method 3 (UCLA)</t>
  </si>
  <si>
    <t>Method 4 (BKE)</t>
  </si>
  <si>
    <t>Max corr</t>
  </si>
  <si>
    <t>Baz max</t>
  </si>
  <si>
    <t>Range &gt; 80% max</t>
  </si>
  <si>
    <t>68-176</t>
  </si>
  <si>
    <t>94-200</t>
  </si>
  <si>
    <t>72-202</t>
  </si>
  <si>
    <t>318-18</t>
  </si>
  <si>
    <t>318-12</t>
  </si>
  <si>
    <t>308-12</t>
  </si>
  <si>
    <t>130-218</t>
  </si>
  <si>
    <t>122-214</t>
  </si>
  <si>
    <t>120-220</t>
  </si>
  <si>
    <t>Carrasco</t>
  </si>
  <si>
    <t>Median</t>
  </si>
  <si>
    <t>Range</t>
  </si>
  <si>
    <t>114-137</t>
  </si>
  <si>
    <t>266-301</t>
  </si>
  <si>
    <t>DK</t>
  </si>
  <si>
    <t>114.5-139.7</t>
  </si>
  <si>
    <t>R1 overtone</t>
  </si>
  <si>
    <t>112.3-132.2</t>
  </si>
  <si>
    <t>G1</t>
  </si>
  <si>
    <t>96.8-132.3</t>
  </si>
  <si>
    <t>G1 overtone</t>
  </si>
  <si>
    <t>112.6-133.4</t>
  </si>
  <si>
    <t>188-224</t>
  </si>
  <si>
    <t>7.5-148.5</t>
  </si>
  <si>
    <t>Note that this accounts for 180 degree azimuth switch for R2, unlike the above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</si>
</sst>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Thh:mm:ss.000"/>
    <numFmt numFmtId="165" formatCode="0.000"/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1" applyFont="1"/>
    <xf numFmtId="0" fontId="2" fillId="2" borderId="1" xfId="1" applyFont="1"/>
    <xf numFmtId="165" fontId="2" fillId="2" borderId="1" xfId="1" applyNumberFormat="1" applyFont="1"/>
    <xf numFmtId="2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Fill="1" applyBorder="1"/>
    <xf numFmtId="0" fontId="0" fillId="0" borderId="14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5517C-68B4-794A-A146-210190B15C80}">
  <sheetPr codeName="Sheet1"/>
  <dimension ref="A1:AE133"/>
  <sheetViews>
    <sheetView topLeftCell="A42" workbookViewId="0">
      <pane xSplit="4540" topLeftCell="D1" activePane="topRight"/>
      <selection activeCell="A68" sqref="A68:A83"/>
      <selection pane="topRight" activeCell="J68" sqref="J68:J83"/>
    </sheetView>
  </sheetViews>
  <sheetFormatPr baseColWidth="10" defaultRowHeight="16" x14ac:dyDescent="0.2"/>
  <cols>
    <col min="2" max="2" width="23.1640625" customWidth="1"/>
    <col min="3" max="3" width="22.33203125" bestFit="1" customWidth="1"/>
    <col min="4" max="10" width="25" customWidth="1"/>
    <col min="11" max="11" width="22.83203125" customWidth="1"/>
    <col min="12" max="12" width="16.6640625" customWidth="1"/>
    <col min="14" max="14" width="22.33203125" bestFit="1" customWidth="1"/>
    <col min="16" max="16" width="22.33203125" bestFit="1" customWidth="1"/>
    <col min="17" max="17" width="23" customWidth="1"/>
    <col min="18" max="18" width="22.33203125" bestFit="1" customWidth="1"/>
    <col min="19" max="19" width="12.1640625" bestFit="1" customWidth="1"/>
    <col min="22" max="22" width="14.33203125" customWidth="1"/>
    <col min="24" max="24" width="26.6640625" customWidth="1"/>
    <col min="30" max="30" width="22.33203125" bestFit="1" customWidth="1"/>
  </cols>
  <sheetData>
    <row r="1" spans="1:31" x14ac:dyDescent="0.2">
      <c r="A1" t="s">
        <v>0</v>
      </c>
      <c r="Z1" t="s">
        <v>38</v>
      </c>
    </row>
    <row r="3" spans="1:31" x14ac:dyDescent="0.2">
      <c r="A3" t="s">
        <v>2</v>
      </c>
      <c r="B3" s="1">
        <v>44685.977612152776</v>
      </c>
      <c r="C3" t="str">
        <f>TEXT(B3, "yyyy-mm-ddThh:MM:ss.000")</f>
        <v>2022-05-04T23:27:45.690</v>
      </c>
    </row>
    <row r="4" spans="1:31" x14ac:dyDescent="0.2">
      <c r="A4" t="s">
        <v>19</v>
      </c>
      <c r="B4" s="1">
        <v>44685.974381597225</v>
      </c>
      <c r="C4" t="str">
        <f>TEXT(B4, "yyyy-mm-ddThh:MM:ss.000")</f>
        <v>2022-05-04T23:23:06.570</v>
      </c>
      <c r="D4">
        <f>(B3-B4)*24*3600</f>
        <v>279.11999956704676</v>
      </c>
      <c r="Z4" t="s">
        <v>39</v>
      </c>
      <c r="AA4" t="s">
        <v>40</v>
      </c>
      <c r="AB4" t="s">
        <v>41</v>
      </c>
      <c r="AC4" t="s">
        <v>42</v>
      </c>
      <c r="AD4" t="s">
        <v>43</v>
      </c>
      <c r="AE4" t="s">
        <v>44</v>
      </c>
    </row>
    <row r="5" spans="1:31" x14ac:dyDescent="0.2">
      <c r="A5" t="s">
        <v>46</v>
      </c>
      <c r="B5">
        <v>37.01</v>
      </c>
      <c r="Z5">
        <f>AVERAGE(T19,T29,T58,T83)</f>
        <v>2.8842103781623507</v>
      </c>
      <c r="AA5">
        <f>STDEV(T19,T29,T58,T83)</f>
        <v>4.6530593628458308E-3</v>
      </c>
      <c r="AB5">
        <f>AVERAGE(V19,V29,V58,V83)</f>
        <v>36.886497309838887</v>
      </c>
      <c r="AC5">
        <f>STDEV(V19,V29,V58,V83)</f>
        <v>0.32889320701282065</v>
      </c>
      <c r="AD5" s="1">
        <f>AVERAGE(X19,X29,X58,X83)</f>
        <v>44685.974630548051</v>
      </c>
      <c r="AE5">
        <f>STDEV(W19,W29,W58,W83)</f>
        <v>10.468910945439069</v>
      </c>
    </row>
    <row r="6" spans="1:31" x14ac:dyDescent="0.2">
      <c r="A6" t="s">
        <v>1</v>
      </c>
      <c r="B6" t="s">
        <v>5</v>
      </c>
      <c r="C6" t="s">
        <v>8</v>
      </c>
      <c r="D6" t="s">
        <v>9</v>
      </c>
      <c r="E6" t="s">
        <v>12</v>
      </c>
      <c r="F6" t="s">
        <v>6</v>
      </c>
      <c r="G6" t="s">
        <v>9</v>
      </c>
      <c r="H6" t="s">
        <v>48</v>
      </c>
      <c r="I6" t="s">
        <v>6</v>
      </c>
      <c r="J6" t="s">
        <v>9</v>
      </c>
      <c r="K6" t="s">
        <v>13</v>
      </c>
      <c r="L6" t="s">
        <v>8</v>
      </c>
      <c r="M6" t="s">
        <v>9</v>
      </c>
      <c r="S6" t="s">
        <v>14</v>
      </c>
      <c r="T6" t="s">
        <v>21</v>
      </c>
      <c r="U6" t="s">
        <v>15</v>
      </c>
      <c r="V6" t="s">
        <v>16</v>
      </c>
      <c r="W6" t="s">
        <v>17</v>
      </c>
      <c r="X6" t="s">
        <v>18</v>
      </c>
    </row>
    <row r="7" spans="1:31" x14ac:dyDescent="0.2">
      <c r="A7">
        <v>1.4999999999999999E-2</v>
      </c>
      <c r="B7" s="1">
        <f>$B$3+C7/(24*3600)</f>
        <v>44685.977612152776</v>
      </c>
      <c r="Y7" t="s">
        <v>45</v>
      </c>
      <c r="AB7">
        <f>AB5-B5</f>
        <v>-0.12350269016111071</v>
      </c>
      <c r="AD7" s="2">
        <f>(AD5-B4)*24*3600</f>
        <v>21.509351371787488</v>
      </c>
    </row>
    <row r="8" spans="1:31" x14ac:dyDescent="0.2">
      <c r="A8">
        <v>1.7999999999999999E-2</v>
      </c>
      <c r="B8" s="1">
        <f t="shared" ref="B8:B18" si="0">$B$3+C8/(24*3600)</f>
        <v>44685.977612152776</v>
      </c>
      <c r="Y8" t="s">
        <v>49</v>
      </c>
    </row>
    <row r="9" spans="1:31" x14ac:dyDescent="0.2">
      <c r="A9">
        <v>2.1000000000000001E-2</v>
      </c>
      <c r="B9" s="1">
        <f t="shared" si="0"/>
        <v>44685.983286342591</v>
      </c>
      <c r="C9" s="6">
        <v>490.25</v>
      </c>
      <c r="D9" t="s">
        <v>10</v>
      </c>
      <c r="E9" s="1">
        <f t="shared" ref="E9:E14" si="1">$B$3+F9/(24*3600)</f>
        <v>44686.051399884258</v>
      </c>
      <c r="F9" s="6">
        <v>6375.26</v>
      </c>
      <c r="G9" t="s">
        <v>10</v>
      </c>
      <c r="H9" s="1">
        <f t="shared" ref="H9:H14" si="2">$B$3+I9/(24*3600)</f>
        <v>44686.054718171297</v>
      </c>
      <c r="I9">
        <v>6661.96</v>
      </c>
      <c r="K9" s="1">
        <f t="shared" ref="K9:K13" si="3">$B$3+L9/(24*3600)</f>
        <v>44686.068726851852</v>
      </c>
      <c r="L9" s="6">
        <v>7872.31</v>
      </c>
      <c r="Y9" t="s">
        <v>14</v>
      </c>
      <c r="Z9" t="s">
        <v>21</v>
      </c>
      <c r="AA9" t="s">
        <v>15</v>
      </c>
      <c r="AB9" t="s">
        <v>32</v>
      </c>
      <c r="AC9" t="s">
        <v>17</v>
      </c>
      <c r="AD9" t="s">
        <v>50</v>
      </c>
    </row>
    <row r="10" spans="1:31" x14ac:dyDescent="0.2">
      <c r="A10">
        <v>2.5000000000000001E-2</v>
      </c>
      <c r="B10" s="1">
        <f t="shared" si="0"/>
        <v>44685.983293171295</v>
      </c>
      <c r="C10" s="6">
        <v>490.84</v>
      </c>
      <c r="E10" s="1">
        <f t="shared" si="1"/>
        <v>44686.051381365738</v>
      </c>
      <c r="F10" s="6">
        <v>6373.66</v>
      </c>
      <c r="H10" s="1">
        <f t="shared" si="2"/>
        <v>44686.054620370371</v>
      </c>
      <c r="I10">
        <v>6653.51</v>
      </c>
      <c r="K10" s="1">
        <f t="shared" si="3"/>
        <v>44686.0686255787</v>
      </c>
      <c r="L10" s="6">
        <v>7863.56</v>
      </c>
      <c r="S10">
        <f>2*PI()/(L10-C10)</f>
        <v>8.5222079601281295E-4</v>
      </c>
      <c r="T10">
        <f>S10*3389.5</f>
        <v>2.8886023880854297</v>
      </c>
      <c r="U10">
        <f>PI()-0.5*S10*(F10-C10)</f>
        <v>0.63486188198974514</v>
      </c>
      <c r="V10">
        <f>U10*180/PI()</f>
        <v>36.374906411744931</v>
      </c>
      <c r="W10">
        <f>C10-U10/S10</f>
        <v>-254.11000000000018</v>
      </c>
      <c r="X10" s="1">
        <f>$B$3+W10/(24*3600)</f>
        <v>44685.974671064811</v>
      </c>
      <c r="Y10">
        <f>2*PI()/(L10-C10)</f>
        <v>8.5222079601281295E-4</v>
      </c>
      <c r="Z10">
        <f>Y10*3389.5</f>
        <v>2.8886023880854297</v>
      </c>
      <c r="AA10">
        <f>PI()-0.5*Y10*(I10-C10)</f>
        <v>0.51561488710765202</v>
      </c>
      <c r="AB10">
        <f>AA10*180/PI()</f>
        <v>29.542556885382862</v>
      </c>
      <c r="AC10">
        <f>C10-AA10/Y10</f>
        <v>-114.18499999999989</v>
      </c>
      <c r="AD10" s="1">
        <f>$B$3+AC10/(24*3600)</f>
        <v>44685.97629056713</v>
      </c>
    </row>
    <row r="11" spans="1:31" x14ac:dyDescent="0.2">
      <c r="A11">
        <v>0.03</v>
      </c>
      <c r="B11" s="1">
        <f t="shared" si="0"/>
        <v>44685.983417129624</v>
      </c>
      <c r="C11" s="6">
        <v>501.55</v>
      </c>
      <c r="E11" s="1">
        <f t="shared" si="1"/>
        <v>44686.051396990741</v>
      </c>
      <c r="F11" s="6">
        <v>6375.01</v>
      </c>
      <c r="H11" s="1">
        <f t="shared" si="2"/>
        <v>44686.055020254629</v>
      </c>
      <c r="I11">
        <v>6688.06</v>
      </c>
      <c r="K11" s="1">
        <f t="shared" si="3"/>
        <v>44686.068633101851</v>
      </c>
      <c r="L11" s="6">
        <v>7864.21</v>
      </c>
      <c r="S11">
        <f>2*PI()/(L11-C11)</f>
        <v>8.533852313130834E-4</v>
      </c>
      <c r="T11">
        <f t="shared" ref="T11:T13" si="4">S11*3389.5</f>
        <v>2.8925492415356961</v>
      </c>
      <c r="U11">
        <f>PI()-0.5*S11*(F11-C11)</f>
        <v>0.63543064323572152</v>
      </c>
      <c r="V11">
        <f t="shared" ref="V11:V13" si="5">U11*180/PI()</f>
        <v>36.407494030689975</v>
      </c>
      <c r="W11">
        <f>C11-U11/S11</f>
        <v>-243.04999999999956</v>
      </c>
      <c r="X11" s="1">
        <f t="shared" ref="X11:X13" si="6">$B$3+W11/(24*3600)</f>
        <v>44685.974799074073</v>
      </c>
      <c r="Y11">
        <f t="shared" ref="Y11:Y13" si="7">2*PI()/(L11-C11)</f>
        <v>8.533852313130834E-4</v>
      </c>
      <c r="Z11">
        <f t="shared" ref="Z11:Z13" si="8">Y11*3389.5</f>
        <v>2.8925492415356961</v>
      </c>
      <c r="AA11">
        <f t="shared" ref="AA11:AA13" si="9">PI()-0.5*Y11*(I11-C11)</f>
        <v>0.50185451990444108</v>
      </c>
      <c r="AB11">
        <f t="shared" ref="AB11:AB13" si="10">AA11*180/PI()</f>
        <v>28.754145920088639</v>
      </c>
      <c r="AC11">
        <f t="shared" ref="AC11:AC13" si="11">C11-AA11/Y11</f>
        <v>-86.524999999999466</v>
      </c>
      <c r="AD11" s="1">
        <f t="shared" ref="AD11:AD13" si="12">$B$3+AC11/(24*3600)</f>
        <v>44685.976610706013</v>
      </c>
    </row>
    <row r="12" spans="1:31" x14ac:dyDescent="0.2">
      <c r="A12">
        <v>3.5999999999999997E-2</v>
      </c>
      <c r="B12" s="1">
        <f t="shared" si="0"/>
        <v>44685.983542939815</v>
      </c>
      <c r="C12" s="6">
        <v>512.41999999999996</v>
      </c>
      <c r="E12" s="1">
        <f t="shared" si="1"/>
        <v>44686.051416666662</v>
      </c>
      <c r="F12" s="6">
        <v>6376.71</v>
      </c>
      <c r="H12" s="1">
        <f t="shared" si="2"/>
        <v>44686.055133796297</v>
      </c>
      <c r="I12">
        <v>6697.87</v>
      </c>
      <c r="K12" s="1">
        <f t="shared" si="3"/>
        <v>44686.068843171292</v>
      </c>
      <c r="L12" s="6">
        <v>7882.36</v>
      </c>
      <c r="S12">
        <f>2*PI()/(L12-C12)</f>
        <v>8.5254226047696267E-4</v>
      </c>
      <c r="T12">
        <f t="shared" si="4"/>
        <v>2.8896919918866648</v>
      </c>
      <c r="U12">
        <f>PI()-0.5*S12*(F12-C12)</f>
        <v>0.64181512724356926</v>
      </c>
      <c r="V12">
        <f t="shared" si="5"/>
        <v>36.773298018708424</v>
      </c>
      <c r="W12">
        <f>C12-U12/S12</f>
        <v>-240.40499999999986</v>
      </c>
      <c r="X12" s="1">
        <f t="shared" si="6"/>
        <v>44685.974829687497</v>
      </c>
      <c r="Y12">
        <f t="shared" si="7"/>
        <v>8.5254226047696267E-4</v>
      </c>
      <c r="Z12">
        <f t="shared" si="8"/>
        <v>2.8896919918866648</v>
      </c>
      <c r="AA12">
        <f t="shared" si="9"/>
        <v>0.50491389105617879</v>
      </c>
      <c r="AB12">
        <f t="shared" si="10"/>
        <v>28.92943497504729</v>
      </c>
      <c r="AC12">
        <f t="shared" si="11"/>
        <v>-79.825000000000045</v>
      </c>
      <c r="AD12" s="1">
        <f t="shared" si="12"/>
        <v>44685.976688252311</v>
      </c>
    </row>
    <row r="13" spans="1:31" x14ac:dyDescent="0.2">
      <c r="A13">
        <v>4.2999999999999997E-2</v>
      </c>
      <c r="B13" s="1">
        <f t="shared" si="0"/>
        <v>44685.983645370368</v>
      </c>
      <c r="C13" s="6">
        <v>521.27</v>
      </c>
      <c r="E13" s="1">
        <f t="shared" si="1"/>
        <v>44686.051431249994</v>
      </c>
      <c r="F13">
        <v>6377.97</v>
      </c>
      <c r="H13" s="1">
        <f t="shared" si="2"/>
        <v>44686.055251157406</v>
      </c>
      <c r="I13">
        <v>6708.01</v>
      </c>
      <c r="K13" s="1">
        <f t="shared" si="3"/>
        <v>44686.068847337963</v>
      </c>
      <c r="L13" s="6">
        <v>7882.72</v>
      </c>
      <c r="S13">
        <f>2*PI()/(L13-C13)</f>
        <v>8.5352550206543355E-4</v>
      </c>
      <c r="T13">
        <f t="shared" si="4"/>
        <v>2.8930246892507872</v>
      </c>
      <c r="U13">
        <f>PI()-0.5*S13*(F13-C13)</f>
        <v>0.64217124961648064</v>
      </c>
      <c r="V13">
        <f t="shared" si="5"/>
        <v>36.793702327666431</v>
      </c>
      <c r="W13">
        <f>C13-U13/S13</f>
        <v>-231.10500000000013</v>
      </c>
      <c r="X13" s="1">
        <f t="shared" si="6"/>
        <v>44685.974937326384</v>
      </c>
      <c r="Y13">
        <f t="shared" si="7"/>
        <v>8.5352550206543355E-4</v>
      </c>
      <c r="Z13">
        <f t="shared" si="8"/>
        <v>2.8930246892507872</v>
      </c>
      <c r="AA13">
        <f t="shared" si="9"/>
        <v>0.501322471265643</v>
      </c>
      <c r="AB13">
        <f t="shared" si="10"/>
        <v>28.723661778589829</v>
      </c>
      <c r="AC13">
        <f t="shared" si="11"/>
        <v>-66.085000000000377</v>
      </c>
      <c r="AD13" s="1">
        <f t="shared" si="12"/>
        <v>44685.976847280093</v>
      </c>
    </row>
    <row r="14" spans="1:31" x14ac:dyDescent="0.2">
      <c r="A14">
        <v>0.05</v>
      </c>
      <c r="B14" s="1">
        <f t="shared" si="0"/>
        <v>44685.983737268514</v>
      </c>
      <c r="C14" s="6">
        <v>529.21</v>
      </c>
      <c r="E14" s="1">
        <f t="shared" si="1"/>
        <v>44686.051498842593</v>
      </c>
      <c r="F14">
        <v>6383.81</v>
      </c>
      <c r="G14" t="s">
        <v>47</v>
      </c>
      <c r="H14" s="1">
        <f t="shared" si="2"/>
        <v>44686.055463541663</v>
      </c>
      <c r="I14">
        <v>6726.36</v>
      </c>
      <c r="L14" s="2"/>
      <c r="Y14" s="1"/>
      <c r="Z14" s="2"/>
    </row>
    <row r="15" spans="1:31" x14ac:dyDescent="0.2">
      <c r="A15">
        <v>0.06</v>
      </c>
      <c r="B15" s="1">
        <f t="shared" si="0"/>
        <v>44685.983815856482</v>
      </c>
      <c r="C15" s="6">
        <v>536</v>
      </c>
      <c r="I15" s="2"/>
      <c r="V15" s="1"/>
      <c r="W15" s="2"/>
    </row>
    <row r="16" spans="1:31" x14ac:dyDescent="0.2">
      <c r="A16">
        <v>7.1999999999999995E-2</v>
      </c>
      <c r="B16" s="1">
        <f t="shared" si="0"/>
        <v>44685.98439189815</v>
      </c>
      <c r="C16" s="6">
        <v>585.77</v>
      </c>
      <c r="D16" t="s">
        <v>11</v>
      </c>
      <c r="V16" s="1"/>
      <c r="W16" s="2"/>
    </row>
    <row r="17" spans="1:30" x14ac:dyDescent="0.2">
      <c r="A17">
        <v>8.5999999999999993E-2</v>
      </c>
      <c r="B17" s="1">
        <f t="shared" si="0"/>
        <v>44685.98440335648</v>
      </c>
      <c r="C17" s="6">
        <v>586.76</v>
      </c>
      <c r="D17" t="s">
        <v>11</v>
      </c>
      <c r="V17" s="1"/>
      <c r="W17" s="2"/>
    </row>
    <row r="18" spans="1:30" x14ac:dyDescent="0.2">
      <c r="A18">
        <v>0.1</v>
      </c>
      <c r="B18" s="1">
        <f t="shared" si="0"/>
        <v>44685.977612152776</v>
      </c>
      <c r="V18" s="1"/>
      <c r="W18" s="2"/>
    </row>
    <row r="19" spans="1:30" x14ac:dyDescent="0.2">
      <c r="R19" t="s">
        <v>20</v>
      </c>
      <c r="S19">
        <f>AVERAGE(S10:S13)</f>
        <v>8.529184474670732E-4</v>
      </c>
      <c r="T19">
        <f t="shared" ref="T19" si="13">S19*3389.5</f>
        <v>2.8909670776896448</v>
      </c>
      <c r="U19">
        <f>AVERAGE(U10:U13)</f>
        <v>0.63856972552137914</v>
      </c>
      <c r="V19">
        <f t="shared" ref="V19" si="14">U19*180/PI()</f>
        <v>36.587350197202433</v>
      </c>
      <c r="W19" s="2">
        <f>AVERAGE(W10:W13)</f>
        <v>-242.16749999999993</v>
      </c>
      <c r="X19" s="1">
        <f t="shared" ref="X19" si="15">$B$3+W19/(24*3600)</f>
        <v>44685.974809288193</v>
      </c>
      <c r="Y19">
        <f>AVERAGE(Y10:Y13)</f>
        <v>8.529184474670732E-4</v>
      </c>
      <c r="Z19">
        <f t="shared" ref="Z19" si="16">Y19*3389.5</f>
        <v>2.8909670776896448</v>
      </c>
      <c r="AA19">
        <f>AVERAGE(AA10:AA13)</f>
        <v>0.50592644233347872</v>
      </c>
      <c r="AB19">
        <f t="shared" ref="AB19" si="17">AA19*180/PI()</f>
        <v>28.987449889777157</v>
      </c>
      <c r="AC19" s="2">
        <f>AVERAGE(AC10:AC13)</f>
        <v>-86.654999999999944</v>
      </c>
      <c r="AD19" s="1">
        <f t="shared" ref="AD19" si="18">$B$3+AC19/(24*3600)</f>
        <v>44685.976609201389</v>
      </c>
    </row>
    <row r="20" spans="1:30" x14ac:dyDescent="0.2">
      <c r="R20" t="s">
        <v>51</v>
      </c>
      <c r="S20">
        <f>STDEV(S10:S13)</f>
        <v>6.3630093704325571E-7</v>
      </c>
      <c r="T20">
        <f>STDEV(T10:T13)</f>
        <v>2.1567420261081154E-3</v>
      </c>
      <c r="U20">
        <f>STDEV(U10:U13)</f>
        <v>3.9625559679412701E-3</v>
      </c>
      <c r="V20" s="7">
        <f>STDEV(V10:V13)</f>
        <v>0.22703773304741276</v>
      </c>
      <c r="W20">
        <f>STDEV(W10:W13)</f>
        <v>9.4672668530398507</v>
      </c>
    </row>
    <row r="21" spans="1:30" x14ac:dyDescent="0.2">
      <c r="A21" t="s">
        <v>3</v>
      </c>
      <c r="V21" s="1"/>
    </row>
    <row r="22" spans="1:30" x14ac:dyDescent="0.2">
      <c r="V22" s="1"/>
    </row>
    <row r="23" spans="1:30" x14ac:dyDescent="0.2">
      <c r="V23" s="1"/>
    </row>
    <row r="24" spans="1:30" x14ac:dyDescent="0.2">
      <c r="V24" s="1"/>
    </row>
    <row r="25" spans="1:30" x14ac:dyDescent="0.2">
      <c r="A25" t="s">
        <v>4</v>
      </c>
      <c r="B25" t="s">
        <v>5</v>
      </c>
      <c r="C25" t="s">
        <v>7</v>
      </c>
      <c r="D25" t="s">
        <v>12</v>
      </c>
      <c r="E25" t="s">
        <v>7</v>
      </c>
      <c r="F25" t="s">
        <v>13</v>
      </c>
      <c r="G25" t="s">
        <v>7</v>
      </c>
      <c r="V25" s="1"/>
    </row>
    <row r="26" spans="1:30" x14ac:dyDescent="0.2">
      <c r="A26">
        <v>2.9730199999999998E-2</v>
      </c>
      <c r="B26" s="1">
        <v>44685.983322916669</v>
      </c>
      <c r="C26" s="2">
        <f>(B26-$B$3)*24*3600</f>
        <v>493.41000036802143</v>
      </c>
      <c r="D26" s="1">
        <v>44686.051446759258</v>
      </c>
      <c r="E26" s="2">
        <f>(D26-$B$3)*24*3600</f>
        <v>6379.310000105761</v>
      </c>
      <c r="F26" s="1">
        <v>44686.068721064818</v>
      </c>
      <c r="G26" s="2">
        <f>(F26-$B$3)*24*3600</f>
        <v>7871.8100004130974</v>
      </c>
      <c r="S26">
        <f>2*PI()/(G26-C26)</f>
        <v>8.5156474400157234E-4</v>
      </c>
      <c r="T26">
        <f t="shared" ref="T26:T29" si="19">S26*3389.5</f>
        <v>2.8863786997933296</v>
      </c>
      <c r="U26">
        <f>PI()-0.5*S26*(E26-C26)</f>
        <v>0.63548019034203174</v>
      </c>
      <c r="V26">
        <f>U26*180/PI()</f>
        <v>36.410332870768634</v>
      </c>
      <c r="W26">
        <f>C26-U26/S26</f>
        <v>-252.83999978564668</v>
      </c>
      <c r="X26" s="1">
        <f>$B$3+W26/(24*3600)</f>
        <v>44685.974685763889</v>
      </c>
    </row>
    <row r="27" spans="1:30" x14ac:dyDescent="0.2">
      <c r="A27">
        <v>3.5355299999999999E-2</v>
      </c>
      <c r="B27" s="1">
        <v>44685.983313657409</v>
      </c>
      <c r="C27" s="2">
        <f>(B27-$B$3)*24*3600</f>
        <v>492.6100003067404</v>
      </c>
      <c r="D27" s="1">
        <v>44686.051266203707</v>
      </c>
      <c r="E27" s="2">
        <f>(D27-$B$3)*24*3600</f>
        <v>6363.7100004823878</v>
      </c>
      <c r="F27" s="1">
        <v>44686.068947916669</v>
      </c>
      <c r="G27" s="2">
        <f>(F27-$B$3)*24*3600</f>
        <v>7891.4100003428757</v>
      </c>
      <c r="S27">
        <f>2*PI()/(G27-C27)</f>
        <v>8.4921680639413145E-4</v>
      </c>
      <c r="T27">
        <f t="shared" si="19"/>
        <v>2.8784203652729086</v>
      </c>
      <c r="U27">
        <f>PI()-0.5*S27*(E27-C27)</f>
        <v>0.64867425750491936</v>
      </c>
      <c r="V27">
        <f>U27*180/PI()</f>
        <v>37.166297233814248</v>
      </c>
      <c r="W27">
        <f>C27-U27/S27</f>
        <v>-271.23999962350365</v>
      </c>
      <c r="X27" s="1">
        <f>$B$3+W27/(24*3600)</f>
        <v>44685.974472800925</v>
      </c>
    </row>
    <row r="28" spans="1:30" x14ac:dyDescent="0.2">
      <c r="A28">
        <v>4.20448E-2</v>
      </c>
      <c r="B28" s="1">
        <v>44685.983498842594</v>
      </c>
      <c r="C28" s="2">
        <f>(B28-$B$3)*24*3600</f>
        <v>508.61000027507544</v>
      </c>
      <c r="V28" s="1"/>
    </row>
    <row r="29" spans="1:30" x14ac:dyDescent="0.2">
      <c r="A29">
        <v>0.05</v>
      </c>
      <c r="B29" s="1">
        <v>44685.983656249999</v>
      </c>
      <c r="C29" s="2">
        <f>(B29-$B$3)*24*3600</f>
        <v>522.21000005956739</v>
      </c>
      <c r="R29" t="s">
        <v>20</v>
      </c>
      <c r="S29">
        <f>AVERAGE(S26:S27)</f>
        <v>8.503907751978519E-4</v>
      </c>
      <c r="T29">
        <f t="shared" si="19"/>
        <v>2.8823995325331189</v>
      </c>
      <c r="U29">
        <f>AVERAGE(U26:U27)</f>
        <v>0.64207722392347555</v>
      </c>
      <c r="V29">
        <f>U29*180/PI()</f>
        <v>36.788315052291438</v>
      </c>
      <c r="W29">
        <f>AVERAGE(W26:W27)</f>
        <v>-262.03999970457517</v>
      </c>
      <c r="X29" s="1">
        <f>$B$3+W29/(24*3600)</f>
        <v>44685.974579282411</v>
      </c>
    </row>
    <row r="30" spans="1:30" x14ac:dyDescent="0.2">
      <c r="A30">
        <v>5.9460399999999997E-2</v>
      </c>
      <c r="B30" s="1">
        <v>44685.983891203701</v>
      </c>
      <c r="C30" s="2">
        <f>(B30-$B$3)*24*3600</f>
        <v>542.50999996438622</v>
      </c>
      <c r="N30" s="1"/>
      <c r="R30" t="s">
        <v>51</v>
      </c>
      <c r="S30">
        <f>STDEV(S26:S27)</f>
        <v>1.6602426040243706E-6</v>
      </c>
      <c r="T30">
        <f>STDEV(T26:T27)</f>
        <v>5.627392306340716E-3</v>
      </c>
      <c r="U30">
        <f>STDEV(U26:U27)</f>
        <v>9.3296143623085911E-3</v>
      </c>
      <c r="V30">
        <f>STDEV(V26:V27)</f>
        <v>0.53454752744492251</v>
      </c>
      <c r="W30">
        <f>STDEV(W26:W27)</f>
        <v>13.010764659180037</v>
      </c>
    </row>
    <row r="31" spans="1:30" x14ac:dyDescent="0.2">
      <c r="A31">
        <v>7.0710700000000001E-2</v>
      </c>
      <c r="B31" s="1">
        <v>44685.984738425926</v>
      </c>
      <c r="C31" s="2">
        <f t="shared" ref="C31:C32" si="20">(B31-$B$3)*24*3600</f>
        <v>615.71000022813678</v>
      </c>
      <c r="N31" s="1"/>
    </row>
    <row r="32" spans="1:30" x14ac:dyDescent="0.2">
      <c r="A32">
        <v>8.40896E-2</v>
      </c>
      <c r="B32" s="1">
        <v>44685.984817129633</v>
      </c>
      <c r="C32" s="2">
        <f t="shared" si="20"/>
        <v>622.51000043470412</v>
      </c>
      <c r="N32" s="1"/>
    </row>
    <row r="33" spans="1:24" x14ac:dyDescent="0.2">
      <c r="N33" s="1"/>
    </row>
    <row r="34" spans="1:24" x14ac:dyDescent="0.2">
      <c r="N34" s="1"/>
    </row>
    <row r="35" spans="1:24" x14ac:dyDescent="0.2">
      <c r="A35" t="s">
        <v>22</v>
      </c>
      <c r="N35" s="1"/>
    </row>
    <row r="36" spans="1:24" x14ac:dyDescent="0.2">
      <c r="N36" s="1"/>
    </row>
    <row r="37" spans="1:24" x14ac:dyDescent="0.2">
      <c r="A37" t="s">
        <v>28</v>
      </c>
      <c r="B37" s="1">
        <v>44685.974381666667</v>
      </c>
      <c r="C37" t="s">
        <v>25</v>
      </c>
      <c r="D37">
        <v>37</v>
      </c>
      <c r="E37" t="s">
        <v>26</v>
      </c>
      <c r="F37">
        <v>3389.5</v>
      </c>
      <c r="N37" s="1"/>
    </row>
    <row r="38" spans="1:24" x14ac:dyDescent="0.2">
      <c r="A38" t="s">
        <v>23</v>
      </c>
      <c r="B38" t="s">
        <v>24</v>
      </c>
      <c r="C38" t="s">
        <v>29</v>
      </c>
      <c r="D38" t="s">
        <v>27</v>
      </c>
      <c r="E38" t="s">
        <v>5</v>
      </c>
      <c r="F38" t="s">
        <v>7</v>
      </c>
      <c r="G38" t="s">
        <v>23</v>
      </c>
      <c r="H38" t="s">
        <v>24</v>
      </c>
      <c r="I38" t="s">
        <v>30</v>
      </c>
      <c r="J38" t="s">
        <v>27</v>
      </c>
      <c r="K38" t="s">
        <v>12</v>
      </c>
      <c r="L38" t="s">
        <v>7</v>
      </c>
      <c r="M38" t="s">
        <v>23</v>
      </c>
      <c r="N38" t="s">
        <v>24</v>
      </c>
      <c r="O38" t="s">
        <v>31</v>
      </c>
      <c r="P38" t="s">
        <v>27</v>
      </c>
      <c r="Q38" t="s">
        <v>13</v>
      </c>
      <c r="R38" t="s">
        <v>6</v>
      </c>
    </row>
    <row r="39" spans="1:24" x14ac:dyDescent="0.2">
      <c r="A39">
        <v>16.356300000000001</v>
      </c>
      <c r="B39">
        <f>1/A39</f>
        <v>6.1138521548271915E-2</v>
      </c>
      <c r="C39">
        <v>2.6857000000000002</v>
      </c>
      <c r="D39">
        <f>($D$37*$F$37*PI()/180)/C39</f>
        <v>814.99929063740115</v>
      </c>
      <c r="E39" s="1">
        <f>$B$37+D39/(24*3600)</f>
        <v>44685.98381452883</v>
      </c>
      <c r="F39" s="2">
        <f>(E39-$B$3)*24*3600</f>
        <v>535.88529112748802</v>
      </c>
    </row>
    <row r="40" spans="1:24" x14ac:dyDescent="0.2">
      <c r="A40">
        <v>17.379300000000001</v>
      </c>
      <c r="B40">
        <f t="shared" ref="B40:B58" si="21">1/A40</f>
        <v>5.7539716789513959E-2</v>
      </c>
      <c r="C40">
        <v>2.6857000000000002</v>
      </c>
      <c r="D40">
        <f t="shared" ref="D40:D58" si="22">($D$37*$F$37*PI()/180)/C40</f>
        <v>814.99929063740115</v>
      </c>
      <c r="E40" s="1">
        <f t="shared" ref="E40:E58" si="23">$B$37+D40/(24*3600)</f>
        <v>44685.98381452883</v>
      </c>
      <c r="F40" s="2">
        <f t="shared" ref="F40:F58" si="24">(E40-$B$3)*24*3600</f>
        <v>535.88529112748802</v>
      </c>
    </row>
    <row r="41" spans="1:24" x14ac:dyDescent="0.2">
      <c r="A41">
        <v>18.4023</v>
      </c>
      <c r="B41">
        <f t="shared" si="21"/>
        <v>5.4341033457774301E-2</v>
      </c>
      <c r="C41">
        <v>2.7204000000000002</v>
      </c>
      <c r="D41">
        <f t="shared" si="22"/>
        <v>804.60358582005153</v>
      </c>
      <c r="E41" s="1">
        <f t="shared" si="23"/>
        <v>44685.983694208167</v>
      </c>
      <c r="F41" s="2">
        <f t="shared" si="24"/>
        <v>525.48958584666252</v>
      </c>
    </row>
    <row r="42" spans="1:24" x14ac:dyDescent="0.2">
      <c r="A42">
        <v>19.4253</v>
      </c>
      <c r="B42">
        <f t="shared" si="21"/>
        <v>5.1479256433620071E-2</v>
      </c>
      <c r="C42">
        <v>2.7204000000000002</v>
      </c>
      <c r="D42">
        <f t="shared" si="22"/>
        <v>804.60358582005153</v>
      </c>
      <c r="E42" s="1">
        <f t="shared" si="23"/>
        <v>44685.983694208167</v>
      </c>
      <c r="F42" s="2">
        <f t="shared" si="24"/>
        <v>525.48958584666252</v>
      </c>
    </row>
    <row r="43" spans="1:24" x14ac:dyDescent="0.2">
      <c r="A43">
        <v>20.4483</v>
      </c>
      <c r="B43">
        <f t="shared" si="21"/>
        <v>4.8903820855523444E-2</v>
      </c>
      <c r="C43">
        <v>2.7551000000000001</v>
      </c>
      <c r="D43">
        <f t="shared" si="22"/>
        <v>794.4697451507634</v>
      </c>
      <c r="E43" s="1">
        <f t="shared" si="23"/>
        <v>44685.983576918348</v>
      </c>
      <c r="F43" s="2">
        <f t="shared" si="24"/>
        <v>515.35574547015131</v>
      </c>
    </row>
    <row r="44" spans="1:24" x14ac:dyDescent="0.2">
      <c r="A44">
        <v>21.471299999999999</v>
      </c>
      <c r="B44">
        <f t="shared" si="21"/>
        <v>4.6573798512432873E-2</v>
      </c>
      <c r="C44">
        <v>2.7551000000000001</v>
      </c>
      <c r="D44">
        <f t="shared" si="22"/>
        <v>794.4697451507634</v>
      </c>
      <c r="E44" s="1">
        <f t="shared" si="23"/>
        <v>44685.983576918348</v>
      </c>
      <c r="F44" s="2">
        <f t="shared" si="24"/>
        <v>515.35574547015131</v>
      </c>
    </row>
    <row r="45" spans="1:24" x14ac:dyDescent="0.2">
      <c r="A45">
        <v>22.494299999999999</v>
      </c>
      <c r="B45">
        <f t="shared" si="21"/>
        <v>4.4455706556772161E-2</v>
      </c>
      <c r="C45">
        <v>2.7551000000000001</v>
      </c>
      <c r="D45">
        <f t="shared" si="22"/>
        <v>794.4697451507634</v>
      </c>
      <c r="E45" s="1">
        <f t="shared" si="23"/>
        <v>44685.983576918348</v>
      </c>
      <c r="F45" s="2">
        <f t="shared" si="24"/>
        <v>515.35574547015131</v>
      </c>
    </row>
    <row r="46" spans="1:24" x14ac:dyDescent="0.2">
      <c r="A46">
        <v>23.517199999999999</v>
      </c>
      <c r="B46">
        <f t="shared" si="21"/>
        <v>4.2522068953787018E-2</v>
      </c>
      <c r="C46">
        <v>2.7898000000000001</v>
      </c>
      <c r="D46">
        <f t="shared" si="22"/>
        <v>784.5879972990424</v>
      </c>
      <c r="E46" s="1">
        <f t="shared" si="23"/>
        <v>44685.983462546268</v>
      </c>
      <c r="F46" s="2">
        <f t="shared" si="24"/>
        <v>505.47399774659425</v>
      </c>
    </row>
    <row r="47" spans="1:24" x14ac:dyDescent="0.2">
      <c r="A47">
        <v>24.540199999999999</v>
      </c>
      <c r="B47">
        <f t="shared" si="21"/>
        <v>4.0749464144546499E-2</v>
      </c>
      <c r="C47">
        <v>2.7898000000000001</v>
      </c>
      <c r="D47">
        <f t="shared" si="22"/>
        <v>784.5879972990424</v>
      </c>
      <c r="E47" s="1">
        <f t="shared" si="23"/>
        <v>44685.983462546268</v>
      </c>
      <c r="F47" s="2">
        <f t="shared" si="24"/>
        <v>505.47399774659425</v>
      </c>
      <c r="S47" t="s">
        <v>14</v>
      </c>
      <c r="T47" t="s">
        <v>21</v>
      </c>
      <c r="U47" t="s">
        <v>15</v>
      </c>
      <c r="V47" t="s">
        <v>32</v>
      </c>
      <c r="W47" t="s">
        <v>17</v>
      </c>
    </row>
    <row r="48" spans="1:24" x14ac:dyDescent="0.2">
      <c r="A48">
        <v>25.563199999999998</v>
      </c>
      <c r="B48">
        <f t="shared" si="21"/>
        <v>3.9118733178944737E-2</v>
      </c>
      <c r="C48">
        <v>2.7898000000000001</v>
      </c>
      <c r="D48">
        <f t="shared" si="22"/>
        <v>784.5879972990424</v>
      </c>
      <c r="E48" s="1">
        <f t="shared" si="23"/>
        <v>44685.983462546268</v>
      </c>
      <c r="F48" s="2">
        <f t="shared" si="24"/>
        <v>505.47399774659425</v>
      </c>
      <c r="G48">
        <v>25.344799999999999</v>
      </c>
      <c r="H48">
        <f>1/G48</f>
        <v>3.9455825258041095E-2</v>
      </c>
      <c r="I48">
        <v>2.8795999999999999</v>
      </c>
      <c r="J48">
        <f>((360-$D$37)*$F$37*PI()/180)/I48</f>
        <v>6635.6483552647378</v>
      </c>
      <c r="K48" s="1">
        <f t="shared" ref="K48:K55" si="25">$B$37+J48/(24*3600)</f>
        <v>44686.05118315226</v>
      </c>
      <c r="L48" s="2">
        <f t="shared" ref="L48:L55" si="26">(K48-$B$3)*24*3600</f>
        <v>6356.5343554364517</v>
      </c>
      <c r="M48">
        <v>25.344799999999999</v>
      </c>
      <c r="N48">
        <f>1/M48</f>
        <v>3.9455825258041095E-2</v>
      </c>
      <c r="O48">
        <v>2.8714</v>
      </c>
      <c r="P48">
        <f>((360+$D$37)*$F$37*PI()/180)/O48</f>
        <v>8179.1809547781831</v>
      </c>
      <c r="Q48" s="1">
        <f t="shared" ref="Q48:Q56" si="27">$B$37+P48/(24*3600)</f>
        <v>44686.069048112906</v>
      </c>
      <c r="R48" s="2">
        <f t="shared" ref="R48:R56" si="28">(Q48-$B$3)*24*3600</f>
        <v>7900.0669552478939</v>
      </c>
      <c r="S48">
        <f>2*PI()/(R48-F48)</f>
        <v>8.4969995553382447E-4</v>
      </c>
      <c r="T48">
        <f>S48*3389.5</f>
        <v>2.880057999281898</v>
      </c>
      <c r="U48">
        <f>PI()-0.5*S48*(L48-F48)</f>
        <v>0.65576979071239583</v>
      </c>
      <c r="V48">
        <f>U48*180/PI()</f>
        <v>37.572841339997574</v>
      </c>
      <c r="W48">
        <f>F48-(U48/S48)</f>
        <v>-266.2923021591273</v>
      </c>
      <c r="X48" s="1">
        <f>$B$3+W48/(24*3600)</f>
        <v>44685.974530065942</v>
      </c>
    </row>
    <row r="49" spans="1:24" x14ac:dyDescent="0.2">
      <c r="A49">
        <v>26.586200000000002</v>
      </c>
      <c r="B49">
        <f t="shared" si="21"/>
        <v>3.7613498732425088E-2</v>
      </c>
      <c r="C49">
        <v>2.8245</v>
      </c>
      <c r="D49">
        <f t="shared" si="22"/>
        <v>774.94905111165463</v>
      </c>
      <c r="E49" s="1">
        <f t="shared" si="23"/>
        <v>44685.983350984388</v>
      </c>
      <c r="F49" s="2">
        <f t="shared" si="24"/>
        <v>495.83505133632571</v>
      </c>
      <c r="G49">
        <v>26.379300000000001</v>
      </c>
      <c r="H49">
        <f t="shared" ref="H49:H55" si="29">1/G49</f>
        <v>3.7908511598109124E-2</v>
      </c>
      <c r="I49">
        <v>2.8795999999999999</v>
      </c>
      <c r="J49">
        <f t="shared" ref="J49:J55" si="30">((360-$D$37)*$F$37*PI()/180)/I49</f>
        <v>6635.6483552647378</v>
      </c>
      <c r="K49" s="1">
        <f t="shared" si="25"/>
        <v>44686.05118315226</v>
      </c>
      <c r="L49" s="2">
        <f t="shared" si="26"/>
        <v>6356.5343554364517</v>
      </c>
      <c r="M49">
        <v>26.379300000000001</v>
      </c>
      <c r="N49">
        <f t="shared" ref="N49:N56" si="31">1/M49</f>
        <v>3.7908511598109124E-2</v>
      </c>
      <c r="O49">
        <v>2.8714</v>
      </c>
      <c r="P49">
        <f t="shared" ref="P49:P56" si="32">((360+$D$37)*$F$37*PI()/180)/O49</f>
        <v>8179.1809547781831</v>
      </c>
      <c r="Q49" s="1">
        <f t="shared" si="27"/>
        <v>44686.069048112906</v>
      </c>
      <c r="R49" s="2">
        <f t="shared" si="28"/>
        <v>7900.0669552478939</v>
      </c>
      <c r="S49">
        <f t="shared" ref="S49:S55" si="33">2*PI()/(R49-F49)</f>
        <v>8.4859380266847848E-4</v>
      </c>
      <c r="T49">
        <f t="shared" ref="T49:T58" si="34">S49*3389.5</f>
        <v>2.8763086941448077</v>
      </c>
      <c r="U49">
        <f t="shared" ref="U49:U55" si="35">PI()-0.5*S49*(L49-F49)</f>
        <v>0.65491609920837757</v>
      </c>
      <c r="V49">
        <f t="shared" ref="V49:V55" si="36">U49*180/PI()</f>
        <v>37.523928419811149</v>
      </c>
      <c r="W49">
        <f t="shared" ref="W49:W55" si="37">F49-(U49/S49)</f>
        <v>-275.93124856939573</v>
      </c>
      <c r="X49" s="1">
        <f t="shared" ref="X49:X55" si="38">$B$3+W49/(24*3600)</f>
        <v>44685.974418504062</v>
      </c>
    </row>
    <row r="50" spans="1:24" x14ac:dyDescent="0.2">
      <c r="A50">
        <v>27.609200000000001</v>
      </c>
      <c r="B50">
        <f t="shared" si="21"/>
        <v>3.6219810787708445E-2</v>
      </c>
      <c r="C50">
        <v>2.8245</v>
      </c>
      <c r="D50">
        <f t="shared" si="22"/>
        <v>774.94905111165463</v>
      </c>
      <c r="E50" s="1">
        <f t="shared" si="23"/>
        <v>44685.983350984388</v>
      </c>
      <c r="F50" s="2">
        <f t="shared" si="24"/>
        <v>495.83505133632571</v>
      </c>
      <c r="G50">
        <v>27.413799999999998</v>
      </c>
      <c r="H50">
        <f t="shared" si="29"/>
        <v>3.6477978244533776E-2</v>
      </c>
      <c r="I50">
        <v>2.8795999999999999</v>
      </c>
      <c r="J50">
        <f t="shared" si="30"/>
        <v>6635.6483552647378</v>
      </c>
      <c r="K50" s="1">
        <f t="shared" si="25"/>
        <v>44686.05118315226</v>
      </c>
      <c r="L50" s="2">
        <f t="shared" si="26"/>
        <v>6356.5343554364517</v>
      </c>
      <c r="M50">
        <v>27.413799999999998</v>
      </c>
      <c r="N50">
        <f t="shared" si="31"/>
        <v>3.6477978244533776E-2</v>
      </c>
      <c r="O50">
        <v>2.8795999999999999</v>
      </c>
      <c r="P50">
        <f t="shared" si="32"/>
        <v>8155.889774117959</v>
      </c>
      <c r="Q50" s="1">
        <f t="shared" si="27"/>
        <v>44686.068778539055</v>
      </c>
      <c r="R50" s="2">
        <f t="shared" si="28"/>
        <v>7876.7757744994015</v>
      </c>
      <c r="S50">
        <f t="shared" si="33"/>
        <v>8.5127161195882759E-4</v>
      </c>
      <c r="T50">
        <f t="shared" si="34"/>
        <v>2.8853851287344461</v>
      </c>
      <c r="U50">
        <f t="shared" si="35"/>
        <v>0.64706918168614624</v>
      </c>
      <c r="V50">
        <f t="shared" si="36"/>
        <v>37.074333163600038</v>
      </c>
      <c r="W50">
        <f t="shared" si="37"/>
        <v>-264.28565819514904</v>
      </c>
      <c r="X50" s="1">
        <f t="shared" si="38"/>
        <v>44685.974553290995</v>
      </c>
    </row>
    <row r="51" spans="1:24" x14ac:dyDescent="0.2">
      <c r="A51">
        <v>28.632200000000001</v>
      </c>
      <c r="B51">
        <f t="shared" si="21"/>
        <v>3.4925713008431065E-2</v>
      </c>
      <c r="C51">
        <v>2.8245</v>
      </c>
      <c r="D51">
        <f t="shared" si="22"/>
        <v>774.94905111165463</v>
      </c>
      <c r="E51" s="1">
        <f t="shared" si="23"/>
        <v>44685.983350984388</v>
      </c>
      <c r="F51" s="2">
        <f t="shared" si="24"/>
        <v>495.83505133632571</v>
      </c>
      <c r="G51">
        <v>28.4483</v>
      </c>
      <c r="H51">
        <f t="shared" si="29"/>
        <v>3.5151485326012449E-2</v>
      </c>
      <c r="I51">
        <v>2.8714</v>
      </c>
      <c r="J51">
        <f t="shared" si="30"/>
        <v>6654.5981067842649</v>
      </c>
      <c r="K51" s="1">
        <f t="shared" si="25"/>
        <v>44686.051402478086</v>
      </c>
      <c r="L51" s="2">
        <f t="shared" si="26"/>
        <v>6375.4841068061069</v>
      </c>
      <c r="M51">
        <v>28.4483</v>
      </c>
      <c r="N51">
        <f t="shared" si="31"/>
        <v>3.5151485326012449E-2</v>
      </c>
      <c r="O51">
        <v>2.8795999999999999</v>
      </c>
      <c r="P51">
        <f t="shared" si="32"/>
        <v>8155.889774117959</v>
      </c>
      <c r="Q51" s="1">
        <f t="shared" si="27"/>
        <v>44686.068778539055</v>
      </c>
      <c r="R51" s="2">
        <f t="shared" si="28"/>
        <v>7876.7757744994015</v>
      </c>
      <c r="S51">
        <f t="shared" si="33"/>
        <v>8.5127161195882759E-4</v>
      </c>
      <c r="T51">
        <f t="shared" si="34"/>
        <v>2.8853851287344461</v>
      </c>
      <c r="U51">
        <f t="shared" si="35"/>
        <v>0.63900348898881365</v>
      </c>
      <c r="V51">
        <f t="shared" si="36"/>
        <v>36.612203013193394</v>
      </c>
      <c r="W51">
        <f t="shared" si="37"/>
        <v>-254.81078251032147</v>
      </c>
      <c r="X51" s="1">
        <f t="shared" si="38"/>
        <v>44685.974662953908</v>
      </c>
    </row>
    <row r="52" spans="1:24" x14ac:dyDescent="0.2">
      <c r="A52">
        <v>29.655200000000001</v>
      </c>
      <c r="B52">
        <f t="shared" si="21"/>
        <v>3.3720898864280126E-2</v>
      </c>
      <c r="C52">
        <v>2.8592</v>
      </c>
      <c r="D52">
        <f t="shared" si="22"/>
        <v>765.54406647484211</v>
      </c>
      <c r="E52" s="1">
        <f t="shared" si="23"/>
        <v>44685.983242130402</v>
      </c>
      <c r="F52" s="2">
        <f t="shared" si="24"/>
        <v>486.43006689380854</v>
      </c>
      <c r="G52">
        <v>29.482800000000001</v>
      </c>
      <c r="H52">
        <f t="shared" si="29"/>
        <v>3.3918081050646476E-2</v>
      </c>
      <c r="I52">
        <v>2.8714</v>
      </c>
      <c r="J52">
        <f t="shared" si="30"/>
        <v>6654.5981067842649</v>
      </c>
      <c r="K52" s="1">
        <f t="shared" si="25"/>
        <v>44686.051402478086</v>
      </c>
      <c r="L52" s="2">
        <f t="shared" si="26"/>
        <v>6375.4841068061069</v>
      </c>
      <c r="M52">
        <v>29.482800000000001</v>
      </c>
      <c r="N52">
        <f t="shared" si="31"/>
        <v>3.3918081050646476E-2</v>
      </c>
      <c r="O52">
        <v>2.8795999999999999</v>
      </c>
      <c r="P52">
        <f t="shared" si="32"/>
        <v>8155.889774117959</v>
      </c>
      <c r="Q52" s="1">
        <f t="shared" si="27"/>
        <v>44686.068778539055</v>
      </c>
      <c r="R52" s="2">
        <f t="shared" si="28"/>
        <v>7876.7757744994015</v>
      </c>
      <c r="S52">
        <f t="shared" si="33"/>
        <v>8.5018828019281967E-4</v>
      </c>
      <c r="T52">
        <f t="shared" si="34"/>
        <v>2.8817131757135623</v>
      </c>
      <c r="U52">
        <f t="shared" si="35"/>
        <v>0.63819029051198628</v>
      </c>
      <c r="V52">
        <f t="shared" si="36"/>
        <v>36.565610172564725</v>
      </c>
      <c r="W52">
        <f t="shared" si="37"/>
        <v>-264.21576695283898</v>
      </c>
      <c r="X52" s="1">
        <f t="shared" si="38"/>
        <v>44685.974554099914</v>
      </c>
    </row>
    <row r="53" spans="1:24" x14ac:dyDescent="0.2">
      <c r="A53">
        <v>30.6782</v>
      </c>
      <c r="B53">
        <f t="shared" si="21"/>
        <v>3.2596436557555529E-2</v>
      </c>
      <c r="C53">
        <v>2.8592</v>
      </c>
      <c r="D53">
        <f t="shared" si="22"/>
        <v>765.54406647484211</v>
      </c>
      <c r="E53" s="1">
        <f t="shared" si="23"/>
        <v>44685.983242130402</v>
      </c>
      <c r="F53" s="2">
        <f t="shared" si="24"/>
        <v>486.43006689380854</v>
      </c>
      <c r="G53">
        <v>30.517199999999999</v>
      </c>
      <c r="H53">
        <f t="shared" si="29"/>
        <v>3.2768406013657873E-2</v>
      </c>
      <c r="I53">
        <v>2.8714</v>
      </c>
      <c r="J53">
        <f t="shared" si="30"/>
        <v>6654.5981067842649</v>
      </c>
      <c r="K53" s="1">
        <f t="shared" si="25"/>
        <v>44686.051402478086</v>
      </c>
      <c r="L53" s="2">
        <f t="shared" si="26"/>
        <v>6375.4841068061069</v>
      </c>
      <c r="M53">
        <v>30.517199999999999</v>
      </c>
      <c r="N53">
        <f t="shared" si="31"/>
        <v>3.2768406013657873E-2</v>
      </c>
      <c r="O53">
        <v>2.8795999999999999</v>
      </c>
      <c r="P53">
        <f t="shared" si="32"/>
        <v>8155.889774117959</v>
      </c>
      <c r="Q53" s="1">
        <f t="shared" si="27"/>
        <v>44686.068778539055</v>
      </c>
      <c r="R53" s="2">
        <f t="shared" si="28"/>
        <v>7876.7757744994015</v>
      </c>
      <c r="S53">
        <f t="shared" si="33"/>
        <v>8.5018828019281967E-4</v>
      </c>
      <c r="T53">
        <f t="shared" si="34"/>
        <v>2.8817131757135623</v>
      </c>
      <c r="U53">
        <f t="shared" si="35"/>
        <v>0.63819029051198628</v>
      </c>
      <c r="V53">
        <f t="shared" si="36"/>
        <v>36.565610172564725</v>
      </c>
      <c r="W53">
        <f t="shared" si="37"/>
        <v>-264.21576695283898</v>
      </c>
      <c r="X53" s="1">
        <f t="shared" si="38"/>
        <v>44685.974554099914</v>
      </c>
    </row>
    <row r="54" spans="1:24" x14ac:dyDescent="0.2">
      <c r="A54">
        <v>32.7241</v>
      </c>
      <c r="B54">
        <f t="shared" si="21"/>
        <v>3.0558518034109416E-2</v>
      </c>
      <c r="C54">
        <v>2.8938999999999999</v>
      </c>
      <c r="D54">
        <f t="shared" si="22"/>
        <v>756.3646272728389</v>
      </c>
      <c r="E54" s="1">
        <f t="shared" si="23"/>
        <v>44685.983135886891</v>
      </c>
      <c r="F54" s="2">
        <f t="shared" si="24"/>
        <v>477.25062752142549</v>
      </c>
      <c r="G54">
        <v>32.586199999999998</v>
      </c>
      <c r="H54">
        <f t="shared" si="29"/>
        <v>3.0687837182611047E-2</v>
      </c>
      <c r="I54">
        <v>2.8714</v>
      </c>
      <c r="J54">
        <f t="shared" si="30"/>
        <v>6654.5981067842649</v>
      </c>
      <c r="K54" s="1">
        <f t="shared" si="25"/>
        <v>44686.051402478086</v>
      </c>
      <c r="L54" s="2">
        <f t="shared" si="26"/>
        <v>6375.4841068061069</v>
      </c>
      <c r="M54">
        <v>32.586199999999998</v>
      </c>
      <c r="N54">
        <f t="shared" si="31"/>
        <v>3.0687837182611047E-2</v>
      </c>
      <c r="O54">
        <v>2.8877999999999999</v>
      </c>
      <c r="P54">
        <f t="shared" si="32"/>
        <v>8132.7308655551196</v>
      </c>
      <c r="Q54" s="1">
        <f t="shared" si="27"/>
        <v>44686.06851049613</v>
      </c>
      <c r="R54" s="2">
        <f t="shared" si="28"/>
        <v>7853.6168658407405</v>
      </c>
      <c r="S54">
        <f t="shared" si="33"/>
        <v>8.5179953166360039E-4</v>
      </c>
      <c r="T54">
        <f t="shared" si="34"/>
        <v>2.8871745125737736</v>
      </c>
      <c r="U54">
        <f t="shared" si="35"/>
        <v>0.62953639594116328</v>
      </c>
      <c r="V54">
        <f t="shared" si="36"/>
        <v>36.069778537305382</v>
      </c>
      <c r="W54">
        <f t="shared" si="37"/>
        <v>-261.81575199589145</v>
      </c>
      <c r="X54" s="1">
        <f t="shared" si="38"/>
        <v>44685.974581877868</v>
      </c>
    </row>
    <row r="55" spans="1:24" x14ac:dyDescent="0.2">
      <c r="A55">
        <v>34.770099999999999</v>
      </c>
      <c r="B55">
        <f t="shared" si="21"/>
        <v>2.8760342938329197E-2</v>
      </c>
      <c r="C55">
        <v>2.8938999999999999</v>
      </c>
      <c r="D55">
        <f t="shared" si="22"/>
        <v>756.3646272728389</v>
      </c>
      <c r="E55" s="1">
        <f t="shared" si="23"/>
        <v>44685.983135886891</v>
      </c>
      <c r="F55" s="2">
        <f t="shared" si="24"/>
        <v>477.25062752142549</v>
      </c>
      <c r="G55">
        <v>34.655200000000001</v>
      </c>
      <c r="H55">
        <f t="shared" si="29"/>
        <v>2.8855698423324638E-2</v>
      </c>
      <c r="I55">
        <v>2.8795999999999999</v>
      </c>
      <c r="J55">
        <f t="shared" si="30"/>
        <v>6635.6483552647378</v>
      </c>
      <c r="K55" s="1">
        <f t="shared" si="25"/>
        <v>44686.05118315226</v>
      </c>
      <c r="L55" s="2">
        <f t="shared" si="26"/>
        <v>6356.5343554364517</v>
      </c>
      <c r="M55">
        <v>34.655200000000001</v>
      </c>
      <c r="N55">
        <f t="shared" si="31"/>
        <v>2.8855698423324638E-2</v>
      </c>
      <c r="O55">
        <v>2.8877999999999999</v>
      </c>
      <c r="P55">
        <f t="shared" si="32"/>
        <v>8132.7308655551196</v>
      </c>
      <c r="Q55" s="1">
        <f t="shared" si="27"/>
        <v>44686.06851049613</v>
      </c>
      <c r="R55" s="2">
        <f t="shared" si="28"/>
        <v>7853.6168658407405</v>
      </c>
      <c r="S55">
        <f t="shared" si="33"/>
        <v>8.5179953166360039E-4</v>
      </c>
      <c r="T55">
        <f t="shared" si="34"/>
        <v>2.8871745125737736</v>
      </c>
      <c r="U55">
        <f t="shared" si="35"/>
        <v>0.63760709061207033</v>
      </c>
      <c r="V55">
        <f t="shared" si="36"/>
        <v>36.53219527968708</v>
      </c>
      <c r="W55">
        <f t="shared" si="37"/>
        <v>-271.29062768071913</v>
      </c>
      <c r="X55" s="1">
        <f t="shared" si="38"/>
        <v>44685.974472214955</v>
      </c>
    </row>
    <row r="56" spans="1:24" x14ac:dyDescent="0.2">
      <c r="A56">
        <v>36.816099999999999</v>
      </c>
      <c r="B56">
        <f t="shared" si="21"/>
        <v>2.7162029655503978E-2</v>
      </c>
      <c r="C56">
        <v>2.9285999999999999</v>
      </c>
      <c r="D56">
        <f t="shared" si="22"/>
        <v>747.40271626882077</v>
      </c>
      <c r="E56" s="1">
        <f t="shared" si="23"/>
        <v>44685.983032161072</v>
      </c>
      <c r="F56" s="2">
        <f t="shared" si="24"/>
        <v>468.28871676698327</v>
      </c>
      <c r="M56">
        <v>36.7241</v>
      </c>
      <c r="N56">
        <f t="shared" si="31"/>
        <v>2.7230075073316977E-2</v>
      </c>
      <c r="O56">
        <v>2.9367000000000001</v>
      </c>
      <c r="P56">
        <f t="shared" si="32"/>
        <v>7997.3099715837752</v>
      </c>
      <c r="Q56" s="1">
        <f t="shared" si="27"/>
        <v>44686.066943124672</v>
      </c>
      <c r="R56" s="2">
        <f t="shared" si="28"/>
        <v>7718.1959718000144</v>
      </c>
    </row>
    <row r="57" spans="1:24" x14ac:dyDescent="0.2">
      <c r="A57">
        <v>38.862099999999998</v>
      </c>
      <c r="B57">
        <f t="shared" si="21"/>
        <v>2.5732011394134648E-2</v>
      </c>
      <c r="C57">
        <v>2.9632999999999998</v>
      </c>
      <c r="D57">
        <f t="shared" si="22"/>
        <v>738.65069175070653</v>
      </c>
      <c r="E57" s="1">
        <f t="shared" si="23"/>
        <v>44685.982930864491</v>
      </c>
      <c r="F57" s="2">
        <f t="shared" si="24"/>
        <v>459.53669222071767</v>
      </c>
    </row>
    <row r="58" spans="1:24" x14ac:dyDescent="0.2">
      <c r="A58">
        <v>40.908000000000001</v>
      </c>
      <c r="B58">
        <f t="shared" si="21"/>
        <v>2.4445096313679474E-2</v>
      </c>
      <c r="C58">
        <v>2.9632999999999998</v>
      </c>
      <c r="D58">
        <f t="shared" si="22"/>
        <v>738.65069175070653</v>
      </c>
      <c r="E58" s="1">
        <f t="shared" si="23"/>
        <v>44685.982930864491</v>
      </c>
      <c r="F58" s="2">
        <f t="shared" si="24"/>
        <v>459.53669222071767</v>
      </c>
      <c r="R58" t="s">
        <v>20</v>
      </c>
      <c r="S58">
        <f>AVERAGE(S48:S55)</f>
        <v>8.5060157572909979E-4</v>
      </c>
      <c r="T58">
        <f t="shared" si="34"/>
        <v>2.8831140409337839</v>
      </c>
      <c r="U58">
        <f>AVERAGE(U48:U55)</f>
        <v>0.64253532852161732</v>
      </c>
      <c r="V58">
        <f t="shared" ref="V58" si="39">U58*180/PI()</f>
        <v>36.814562512340501</v>
      </c>
      <c r="W58">
        <f>AVERAGE(W48:W55)</f>
        <v>-265.3572381270352</v>
      </c>
      <c r="X58" s="1">
        <f t="shared" ref="X58" si="40">$B$3+W58/(24*3600)</f>
        <v>44685.974540888448</v>
      </c>
    </row>
    <row r="59" spans="1:24" x14ac:dyDescent="0.2">
      <c r="R59" t="s">
        <v>51</v>
      </c>
      <c r="S59">
        <f>STDEV(S48:S55)</f>
        <v>1.1309788415609121E-6</v>
      </c>
      <c r="T59">
        <f>STDEV(T48:T55)</f>
        <v>3.8334527834707321E-3</v>
      </c>
      <c r="U59">
        <f>STDEV(U48:U55)</f>
        <v>9.2000207687252672E-3</v>
      </c>
      <c r="V59">
        <f>STDEV(V48:V55)</f>
        <v>0.52712236148066138</v>
      </c>
      <c r="W59">
        <f>STDEV(W48:W55)</f>
        <v>6.2725387854051853</v>
      </c>
    </row>
    <row r="60" spans="1:24" x14ac:dyDescent="0.2">
      <c r="A60" t="s">
        <v>33</v>
      </c>
    </row>
    <row r="62" spans="1:24" x14ac:dyDescent="0.2">
      <c r="A62" t="s">
        <v>35</v>
      </c>
      <c r="B62" s="1">
        <v>44685.974386574075</v>
      </c>
    </row>
    <row r="64" spans="1:24" x14ac:dyDescent="0.2">
      <c r="A64" t="s">
        <v>24</v>
      </c>
      <c r="B64" t="s">
        <v>34</v>
      </c>
      <c r="C64" t="s">
        <v>5</v>
      </c>
      <c r="D64" t="s">
        <v>7</v>
      </c>
      <c r="E64" t="s">
        <v>36</v>
      </c>
      <c r="F64" t="s">
        <v>12</v>
      </c>
      <c r="G64" t="s">
        <v>7</v>
      </c>
      <c r="H64" t="s">
        <v>37</v>
      </c>
      <c r="I64" t="s">
        <v>13</v>
      </c>
      <c r="J64" t="s">
        <v>7</v>
      </c>
    </row>
    <row r="66" spans="1:24" x14ac:dyDescent="0.2">
      <c r="A66">
        <v>2.1399999999999999E-2</v>
      </c>
      <c r="C66" s="1"/>
      <c r="D66" s="2"/>
      <c r="E66" s="2">
        <v>6634</v>
      </c>
      <c r="F66" s="1">
        <f t="shared" ref="F66:F81" si="41">$B$62+E66/(24*3600)</f>
        <v>44686.051168981481</v>
      </c>
      <c r="G66" s="2">
        <f t="shared" ref="G66:G81" si="42">(F66-$B$3)*24*3600</f>
        <v>6355.3100001532584</v>
      </c>
    </row>
    <row r="67" spans="1:24" x14ac:dyDescent="0.2">
      <c r="A67">
        <v>2.35E-2</v>
      </c>
      <c r="B67">
        <v>764.20500000000004</v>
      </c>
      <c r="C67" s="1">
        <f t="shared" ref="C67:C90" si="43">$B$62+B67/(24*3600)</f>
        <v>44685.983231539351</v>
      </c>
      <c r="D67" s="2">
        <f t="shared" ref="D67:D90" si="44">(C67-$B$3)*24*3600</f>
        <v>485.51500006578863</v>
      </c>
      <c r="E67" s="2">
        <v>6634.85</v>
      </c>
      <c r="F67" s="1">
        <f t="shared" si="41"/>
        <v>44686.051178819442</v>
      </c>
      <c r="G67" s="2">
        <f t="shared" si="42"/>
        <v>6356.1599999433383</v>
      </c>
      <c r="S67" t="s">
        <v>14</v>
      </c>
      <c r="T67" t="s">
        <v>21</v>
      </c>
      <c r="U67" t="s">
        <v>15</v>
      </c>
      <c r="V67" t="s">
        <v>32</v>
      </c>
      <c r="W67" t="s">
        <v>17</v>
      </c>
    </row>
    <row r="68" spans="1:24" x14ac:dyDescent="0.2">
      <c r="A68" s="3">
        <v>2.5600000000000001E-2</v>
      </c>
      <c r="B68" s="4">
        <v>763.90499999999997</v>
      </c>
      <c r="C68" s="1">
        <f t="shared" si="43"/>
        <v>44685.983228067133</v>
      </c>
      <c r="D68" s="2">
        <f t="shared" si="44"/>
        <v>485.21500043570995</v>
      </c>
      <c r="E68" s="5">
        <v>6636.05</v>
      </c>
      <c r="F68" s="1">
        <f t="shared" si="41"/>
        <v>44686.051192708335</v>
      </c>
      <c r="G68" s="2">
        <f t="shared" si="42"/>
        <v>6357.3600003495812</v>
      </c>
      <c r="H68" s="5">
        <v>8179.5</v>
      </c>
      <c r="I68" s="1">
        <f t="shared" ref="I68:I83" si="45">$B$62+H68/(24*3600)</f>
        <v>44686.069056712964</v>
      </c>
      <c r="J68" s="2">
        <f t="shared" ref="J68:J83" si="46">(I68-$B$3)*24*3600</f>
        <v>7900.8100002771243</v>
      </c>
      <c r="S68">
        <f>2*PI()/(J68-D68)</f>
        <v>8.4729348181959165E-4</v>
      </c>
      <c r="T68">
        <f>S68*3389.5</f>
        <v>2.8719012566275057</v>
      </c>
      <c r="U68">
        <f>PI()-0.5*S68*(G68-D68)</f>
        <v>0.65387756222652804</v>
      </c>
      <c r="V68">
        <f>U68*180/PI()</f>
        <v>37.464424633882913</v>
      </c>
      <c r="W68">
        <f>D68-(U68/S68)</f>
        <v>-286.50999952806137</v>
      </c>
      <c r="X68" s="1">
        <f>$B$3+W68/(24*3600)</f>
        <v>44685.974296064822</v>
      </c>
    </row>
    <row r="69" spans="1:24" x14ac:dyDescent="0.2">
      <c r="A69" s="3">
        <v>2.7799999999999998E-2</v>
      </c>
      <c r="B69" s="4">
        <v>765.20500000000004</v>
      </c>
      <c r="C69" s="1">
        <f t="shared" si="43"/>
        <v>44685.983243113427</v>
      </c>
      <c r="D69" s="2">
        <f t="shared" si="44"/>
        <v>486.51500029955059</v>
      </c>
      <c r="E69" s="5">
        <v>6637.4499999999898</v>
      </c>
      <c r="F69" s="1">
        <f t="shared" si="41"/>
        <v>44686.051208912038</v>
      </c>
      <c r="G69" s="2">
        <f t="shared" si="42"/>
        <v>6358.7600002996624</v>
      </c>
      <c r="H69" s="5">
        <v>8180.35</v>
      </c>
      <c r="I69" s="1">
        <f t="shared" si="45"/>
        <v>44686.069066550925</v>
      </c>
      <c r="J69" s="2">
        <f t="shared" si="46"/>
        <v>7901.6600000672042</v>
      </c>
      <c r="S69">
        <f t="shared" ref="S69:S81" si="47">2*PI()/(J69-D69)</f>
        <v>8.4734490119565617E-4</v>
      </c>
      <c r="T69">
        <f t="shared" ref="T69:T83" si="48">S69*3389.5</f>
        <v>2.8720755426026767</v>
      </c>
      <c r="U69">
        <f t="shared" ref="U69:U81" si="49">PI()-0.5*S69*(G69-D69)</f>
        <v>0.65368422392890269</v>
      </c>
      <c r="V69">
        <f t="shared" ref="V69:V81" si="50">U69*180/PI()</f>
        <v>37.45334716541074</v>
      </c>
      <c r="W69">
        <f t="shared" ref="W69:W81" si="51">D69-(U69/S69)</f>
        <v>-284.93499958422012</v>
      </c>
      <c r="X69" s="1">
        <f t="shared" ref="X69:X83" si="52">$B$3+W69/(24*3600)</f>
        <v>44685.974314293984</v>
      </c>
    </row>
    <row r="70" spans="1:24" x14ac:dyDescent="0.2">
      <c r="A70" s="3">
        <v>2.9899999999999999E-2</v>
      </c>
      <c r="B70" s="4">
        <v>767.70500000000004</v>
      </c>
      <c r="C70" s="1">
        <f t="shared" si="43"/>
        <v>44685.983272048608</v>
      </c>
      <c r="D70" s="2">
        <f t="shared" si="44"/>
        <v>489.0149999409914</v>
      </c>
      <c r="E70" s="5">
        <v>6638.8</v>
      </c>
      <c r="F70" s="1">
        <f t="shared" si="41"/>
        <v>44686.051224537041</v>
      </c>
      <c r="G70" s="2">
        <f t="shared" si="42"/>
        <v>6360.1100005209446</v>
      </c>
      <c r="H70" s="5">
        <v>8180.4499999999898</v>
      </c>
      <c r="I70" s="1">
        <f t="shared" si="45"/>
        <v>44686.069067708333</v>
      </c>
      <c r="J70" s="2">
        <f t="shared" si="46"/>
        <v>7901.7600001534447</v>
      </c>
      <c r="S70">
        <f t="shared" si="47"/>
        <v>8.4761924320875823E-4</v>
      </c>
      <c r="T70">
        <f t="shared" si="48"/>
        <v>2.8730054248560859</v>
      </c>
      <c r="U70">
        <f t="shared" si="49"/>
        <v>0.65336610299064102</v>
      </c>
      <c r="V70">
        <f t="shared" si="50"/>
        <v>37.435120178273607</v>
      </c>
      <c r="W70">
        <f t="shared" si="51"/>
        <v>-281.80999987525854</v>
      </c>
      <c r="X70" s="1">
        <f t="shared" si="52"/>
        <v>44685.974350462966</v>
      </c>
    </row>
    <row r="71" spans="1:24" x14ac:dyDescent="0.2">
      <c r="A71" s="3">
        <v>3.2000000000000001E-2</v>
      </c>
      <c r="B71" s="4">
        <v>771.255</v>
      </c>
      <c r="C71" s="1">
        <f t="shared" si="43"/>
        <v>44685.983313136574</v>
      </c>
      <c r="D71" s="2">
        <f t="shared" si="44"/>
        <v>492.56500017363578</v>
      </c>
      <c r="E71" s="5">
        <v>6640</v>
      </c>
      <c r="F71" s="1">
        <f t="shared" si="41"/>
        <v>44686.051238425927</v>
      </c>
      <c r="G71" s="2">
        <f t="shared" si="42"/>
        <v>6361.3100002985448</v>
      </c>
      <c r="H71" s="5">
        <v>8180.05</v>
      </c>
      <c r="I71" s="1">
        <f t="shared" si="45"/>
        <v>44686.069063078707</v>
      </c>
      <c r="J71" s="2">
        <f t="shared" si="46"/>
        <v>7901.3600004371256</v>
      </c>
      <c r="S71">
        <f t="shared" si="47"/>
        <v>8.4807115151062061E-4</v>
      </c>
      <c r="T71">
        <f t="shared" si="48"/>
        <v>2.8745371680452485</v>
      </c>
      <c r="U71">
        <f t="shared" si="49"/>
        <v>0.65303598850072886</v>
      </c>
      <c r="V71">
        <f t="shared" si="50"/>
        <v>37.416206011245521</v>
      </c>
      <c r="W71">
        <f t="shared" si="51"/>
        <v>-277.45999989565462</v>
      </c>
      <c r="X71" s="1">
        <f t="shared" si="52"/>
        <v>44685.974400810184</v>
      </c>
    </row>
    <row r="72" spans="1:24" x14ac:dyDescent="0.2">
      <c r="A72" s="3">
        <v>3.4200000000000001E-2</v>
      </c>
      <c r="B72" s="4">
        <v>776.05499999999995</v>
      </c>
      <c r="C72" s="1">
        <f t="shared" si="43"/>
        <v>44685.983368692134</v>
      </c>
      <c r="D72" s="2">
        <f t="shared" si="44"/>
        <v>497.36500054132193</v>
      </c>
      <c r="E72" s="5">
        <v>6640.9499999999898</v>
      </c>
      <c r="F72" s="1">
        <f t="shared" si="41"/>
        <v>44686.051249421296</v>
      </c>
      <c r="G72" s="2">
        <f t="shared" si="42"/>
        <v>6362.2600001748651</v>
      </c>
      <c r="H72" s="5">
        <v>8179.25</v>
      </c>
      <c r="I72" s="1">
        <f t="shared" si="45"/>
        <v>44686.069053819447</v>
      </c>
      <c r="J72" s="2">
        <f t="shared" si="46"/>
        <v>7900.5600003758445</v>
      </c>
      <c r="S72">
        <f t="shared" si="47"/>
        <v>8.4871265815908252E-4</v>
      </c>
      <c r="T72">
        <f t="shared" si="48"/>
        <v>2.87671155483021</v>
      </c>
      <c r="U72">
        <f t="shared" si="49"/>
        <v>0.65278734110834513</v>
      </c>
      <c r="V72">
        <f t="shared" si="50"/>
        <v>37.401959565075003</v>
      </c>
      <c r="W72">
        <f t="shared" si="51"/>
        <v>-271.78499955916766</v>
      </c>
      <c r="X72" s="1">
        <f t="shared" si="52"/>
        <v>44685.974466493062</v>
      </c>
    </row>
    <row r="73" spans="1:24" x14ac:dyDescent="0.2">
      <c r="A73" s="3">
        <v>3.6299999999999999E-2</v>
      </c>
      <c r="B73" s="4">
        <v>782.45500000000004</v>
      </c>
      <c r="C73" s="1">
        <f t="shared" si="43"/>
        <v>44685.983442766206</v>
      </c>
      <c r="D73" s="2">
        <f t="shared" si="44"/>
        <v>503.7650004029274</v>
      </c>
      <c r="E73" s="5">
        <v>6641.75</v>
      </c>
      <c r="F73" s="1">
        <f t="shared" si="41"/>
        <v>44686.051258680556</v>
      </c>
      <c r="G73" s="2">
        <f t="shared" si="42"/>
        <v>6363.0600002361462</v>
      </c>
      <c r="H73" s="5">
        <v>8178.1499999999896</v>
      </c>
      <c r="I73" s="1">
        <f t="shared" si="45"/>
        <v>44686.069041087962</v>
      </c>
      <c r="J73" s="2">
        <f t="shared" si="46"/>
        <v>7899.4600000558421</v>
      </c>
      <c r="S73">
        <f t="shared" si="47"/>
        <v>8.4957334063593217E-4</v>
      </c>
      <c r="T73">
        <f t="shared" si="48"/>
        <v>2.879628838085492</v>
      </c>
      <c r="U73">
        <f t="shared" si="49"/>
        <v>0.65264224019993256</v>
      </c>
      <c r="V73">
        <f t="shared" si="50"/>
        <v>37.393645895419446</v>
      </c>
      <c r="W73">
        <f t="shared" si="51"/>
        <v>-264.4349995069208</v>
      </c>
      <c r="X73" s="1">
        <f t="shared" si="52"/>
        <v>44685.974551562504</v>
      </c>
    </row>
    <row r="74" spans="1:24" x14ac:dyDescent="0.2">
      <c r="A74" s="3">
        <v>3.85E-2</v>
      </c>
      <c r="B74" s="4">
        <v>787.15499999999997</v>
      </c>
      <c r="C74" s="1">
        <f t="shared" si="43"/>
        <v>44685.98349716435</v>
      </c>
      <c r="D74" s="2">
        <f t="shared" si="44"/>
        <v>508.46500005573034</v>
      </c>
      <c r="E74" s="5">
        <v>6642.4499999999898</v>
      </c>
      <c r="F74" s="1">
        <f t="shared" si="41"/>
        <v>44686.051266782408</v>
      </c>
      <c r="G74" s="2">
        <f t="shared" si="42"/>
        <v>6363.7600002111867</v>
      </c>
      <c r="H74" s="5">
        <v>8177</v>
      </c>
      <c r="I74" s="1">
        <f t="shared" si="45"/>
        <v>44686.069027777776</v>
      </c>
      <c r="J74" s="2">
        <f t="shared" si="46"/>
        <v>7898.3100000070408</v>
      </c>
      <c r="S74">
        <f t="shared" si="47"/>
        <v>8.5024588570138942E-4</v>
      </c>
      <c r="T74">
        <f t="shared" si="48"/>
        <v>2.8819084295848594</v>
      </c>
      <c r="U74">
        <f t="shared" si="49"/>
        <v>0.65237241186474648</v>
      </c>
      <c r="V74">
        <f t="shared" si="50"/>
        <v>37.378185870620243</v>
      </c>
      <c r="W74">
        <f t="shared" si="51"/>
        <v>-258.8099998421967</v>
      </c>
      <c r="X74" s="1">
        <f t="shared" si="52"/>
        <v>44685.974616666666</v>
      </c>
    </row>
    <row r="75" spans="1:24" x14ac:dyDescent="0.2">
      <c r="A75" s="3">
        <v>4.0599999999999997E-2</v>
      </c>
      <c r="B75" s="4">
        <v>789.90499999999997</v>
      </c>
      <c r="C75" s="1">
        <f t="shared" si="43"/>
        <v>44685.983528993056</v>
      </c>
      <c r="D75" s="2">
        <f t="shared" si="44"/>
        <v>511.2150002270937</v>
      </c>
      <c r="E75" s="5">
        <v>6643.1999999999898</v>
      </c>
      <c r="F75" s="1">
        <f t="shared" si="41"/>
        <v>44686.051275462967</v>
      </c>
      <c r="G75" s="2">
        <f t="shared" si="42"/>
        <v>6364.5100005436689</v>
      </c>
      <c r="H75" s="5">
        <v>8176.25</v>
      </c>
      <c r="I75" s="1">
        <f t="shared" si="45"/>
        <v>44686.069019097224</v>
      </c>
      <c r="J75" s="2">
        <f t="shared" si="46"/>
        <v>7897.5600003032014</v>
      </c>
      <c r="S75">
        <f t="shared" si="47"/>
        <v>8.5064877244629721E-4</v>
      </c>
      <c r="T75">
        <f t="shared" si="48"/>
        <v>2.8832740142067244</v>
      </c>
      <c r="U75">
        <f t="shared" si="49"/>
        <v>0.65204355019712157</v>
      </c>
      <c r="V75">
        <f t="shared" si="50"/>
        <v>37.359343485021704</v>
      </c>
      <c r="W75">
        <f t="shared" si="51"/>
        <v>-255.3099996526729</v>
      </c>
      <c r="X75" s="1">
        <f t="shared" si="52"/>
        <v>44685.974657175924</v>
      </c>
    </row>
    <row r="76" spans="1:24" x14ac:dyDescent="0.2">
      <c r="A76" s="3">
        <v>4.2700000000000002E-2</v>
      </c>
      <c r="B76" s="4">
        <v>792.20500000000004</v>
      </c>
      <c r="C76" s="1">
        <f t="shared" si="43"/>
        <v>44685.983555613428</v>
      </c>
      <c r="D76" s="2">
        <f t="shared" si="44"/>
        <v>513.5150003246963</v>
      </c>
      <c r="E76" s="5">
        <v>6644.1999999999898</v>
      </c>
      <c r="F76" s="1">
        <f t="shared" si="41"/>
        <v>44686.051287037037</v>
      </c>
      <c r="G76" s="2">
        <f t="shared" si="42"/>
        <v>6365.5100001487881</v>
      </c>
      <c r="H76" s="5">
        <v>8176.6499999999896</v>
      </c>
      <c r="I76" s="1">
        <f t="shared" si="45"/>
        <v>44686.06902372685</v>
      </c>
      <c r="J76" s="2">
        <f t="shared" si="46"/>
        <v>7897.9600000195205</v>
      </c>
      <c r="S76">
        <f t="shared" si="47"/>
        <v>8.5086764238060547E-4</v>
      </c>
      <c r="T76">
        <f t="shared" si="48"/>
        <v>2.8840158738490622</v>
      </c>
      <c r="U76">
        <f t="shared" si="49"/>
        <v>0.65195605922808486</v>
      </c>
      <c r="V76">
        <f t="shared" si="50"/>
        <v>37.354330621750393</v>
      </c>
      <c r="W76">
        <f t="shared" si="51"/>
        <v>-252.70999961067014</v>
      </c>
      <c r="X76" s="1">
        <f t="shared" si="52"/>
        <v>44685.974687268521</v>
      </c>
    </row>
    <row r="77" spans="1:24" x14ac:dyDescent="0.2">
      <c r="A77" s="3">
        <v>4.4900000000000002E-2</v>
      </c>
      <c r="B77" s="4">
        <v>794.35500000000002</v>
      </c>
      <c r="C77" s="1">
        <f t="shared" si="43"/>
        <v>44685.983580497683</v>
      </c>
      <c r="D77" s="2">
        <f t="shared" si="44"/>
        <v>515.66499997861683</v>
      </c>
      <c r="E77" s="5">
        <v>6646.1</v>
      </c>
      <c r="F77" s="1">
        <f t="shared" si="41"/>
        <v>44686.051309027782</v>
      </c>
      <c r="G77" s="2">
        <f t="shared" si="42"/>
        <v>6367.4100005300716</v>
      </c>
      <c r="H77" s="5">
        <v>8177.85</v>
      </c>
      <c r="I77" s="1">
        <f t="shared" si="45"/>
        <v>44686.069037615744</v>
      </c>
      <c r="J77" s="2">
        <f t="shared" si="46"/>
        <v>7899.1600004257634</v>
      </c>
      <c r="S77">
        <f t="shared" si="47"/>
        <v>8.5097711948055419E-4</v>
      </c>
      <c r="T77">
        <f t="shared" si="48"/>
        <v>2.8843869464793386</v>
      </c>
      <c r="U77">
        <f t="shared" si="49"/>
        <v>0.65174210133778754</v>
      </c>
      <c r="V77">
        <f t="shared" si="50"/>
        <v>37.342071737642833</v>
      </c>
      <c r="W77">
        <f t="shared" si="51"/>
        <v>-250.2099999692291</v>
      </c>
      <c r="X77" s="1">
        <f t="shared" si="52"/>
        <v>44685.974716203702</v>
      </c>
    </row>
    <row r="78" spans="1:24" x14ac:dyDescent="0.2">
      <c r="A78" s="3">
        <v>4.7E-2</v>
      </c>
      <c r="B78" s="4">
        <v>796.60500000000002</v>
      </c>
      <c r="C78" s="1">
        <f t="shared" si="43"/>
        <v>44685.983606539354</v>
      </c>
      <c r="D78" s="2">
        <f t="shared" si="44"/>
        <v>517.91500034742057</v>
      </c>
      <c r="E78" s="5">
        <v>6649.3</v>
      </c>
      <c r="F78" s="1">
        <f t="shared" si="41"/>
        <v>44686.051346064814</v>
      </c>
      <c r="G78" s="2">
        <f t="shared" si="42"/>
        <v>6370.6100001465529</v>
      </c>
      <c r="H78" s="5">
        <v>8178.8999999999896</v>
      </c>
      <c r="I78" s="1">
        <f t="shared" si="45"/>
        <v>44686.069049768521</v>
      </c>
      <c r="J78" s="2">
        <f t="shared" si="46"/>
        <v>7900.2100003883243</v>
      </c>
      <c r="S78">
        <f t="shared" si="47"/>
        <v>8.5111544677431237E-4</v>
      </c>
      <c r="T78">
        <f t="shared" si="48"/>
        <v>2.8848558068415318</v>
      </c>
      <c r="U78">
        <f t="shared" si="49"/>
        <v>0.65093309379588193</v>
      </c>
      <c r="V78">
        <f t="shared" si="50"/>
        <v>37.29571901989739</v>
      </c>
      <c r="W78">
        <f t="shared" si="51"/>
        <v>-246.88499977346532</v>
      </c>
      <c r="X78" s="1">
        <f t="shared" si="52"/>
        <v>44685.974754687501</v>
      </c>
    </row>
    <row r="79" spans="1:24" x14ac:dyDescent="0.2">
      <c r="A79" s="3">
        <v>4.9099999999999998E-2</v>
      </c>
      <c r="B79" s="4">
        <v>798.90499999999997</v>
      </c>
      <c r="C79" s="1">
        <f t="shared" si="43"/>
        <v>44685.983633159725</v>
      </c>
      <c r="D79" s="2">
        <f t="shared" si="44"/>
        <v>520.21500044502318</v>
      </c>
      <c r="E79" s="5">
        <v>6652.1</v>
      </c>
      <c r="F79" s="1">
        <f t="shared" si="41"/>
        <v>44686.051378472221</v>
      </c>
      <c r="G79" s="2">
        <f t="shared" si="42"/>
        <v>6373.4100000467151</v>
      </c>
      <c r="H79" s="5">
        <v>8179.6</v>
      </c>
      <c r="I79" s="1">
        <f t="shared" si="45"/>
        <v>44686.069057870372</v>
      </c>
      <c r="J79" s="2">
        <f t="shared" si="46"/>
        <v>7900.9100003633648</v>
      </c>
      <c r="S79">
        <f t="shared" si="47"/>
        <v>8.5129995308695216E-4</v>
      </c>
      <c r="T79">
        <f t="shared" si="48"/>
        <v>2.8854811909882243</v>
      </c>
      <c r="U79">
        <f t="shared" si="49"/>
        <v>0.65018033930494168</v>
      </c>
      <c r="V79">
        <f t="shared" si="50"/>
        <v>37.252589364556989</v>
      </c>
      <c r="W79">
        <f t="shared" si="51"/>
        <v>-243.53499971330166</v>
      </c>
      <c r="X79" s="1">
        <f t="shared" si="52"/>
        <v>44685.974793460649</v>
      </c>
    </row>
    <row r="80" spans="1:24" x14ac:dyDescent="0.2">
      <c r="A80" s="3">
        <v>5.1299999999999998E-2</v>
      </c>
      <c r="B80" s="4">
        <v>801.30499999999995</v>
      </c>
      <c r="C80" s="1">
        <f t="shared" si="43"/>
        <v>44685.983660937498</v>
      </c>
      <c r="D80" s="2">
        <f t="shared" si="44"/>
        <v>522.61500000022352</v>
      </c>
      <c r="E80" s="5">
        <v>6654.1</v>
      </c>
      <c r="F80" s="1">
        <f t="shared" si="41"/>
        <v>44686.051401620374</v>
      </c>
      <c r="G80" s="2">
        <f t="shared" si="42"/>
        <v>6375.4100005142391</v>
      </c>
      <c r="H80" s="5">
        <v>8180.05</v>
      </c>
      <c r="I80" s="1">
        <f t="shared" si="45"/>
        <v>44686.069063078707</v>
      </c>
      <c r="J80" s="2">
        <f t="shared" si="46"/>
        <v>7901.3600004371256</v>
      </c>
      <c r="S80">
        <f t="shared" si="47"/>
        <v>8.515249282645698E-4</v>
      </c>
      <c r="T80">
        <f t="shared" si="48"/>
        <v>2.8862437443527593</v>
      </c>
      <c r="U80">
        <f t="shared" si="49"/>
        <v>0.64969223210982818</v>
      </c>
      <c r="V80">
        <f t="shared" si="50"/>
        <v>37.224622882327019</v>
      </c>
      <c r="W80">
        <f t="shared" si="51"/>
        <v>-240.35999996121984</v>
      </c>
      <c r="X80" s="1">
        <f t="shared" si="52"/>
        <v>44685.974830208332</v>
      </c>
    </row>
    <row r="81" spans="1:24" x14ac:dyDescent="0.2">
      <c r="A81" s="3">
        <v>5.3400000000000003E-2</v>
      </c>
      <c r="B81" s="4">
        <v>803.60500000000002</v>
      </c>
      <c r="C81" s="1">
        <f t="shared" si="43"/>
        <v>44685.983687557869</v>
      </c>
      <c r="D81" s="2">
        <f t="shared" si="44"/>
        <v>524.91500009782612</v>
      </c>
      <c r="E81" s="5">
        <v>6655.4499999999898</v>
      </c>
      <c r="F81" s="1">
        <f t="shared" si="41"/>
        <v>44686.05141724537</v>
      </c>
      <c r="G81" s="2">
        <f t="shared" si="42"/>
        <v>6376.7600001068786</v>
      </c>
      <c r="H81" s="5">
        <v>8180.35</v>
      </c>
      <c r="I81" s="1">
        <f t="shared" si="45"/>
        <v>44686.069066550925</v>
      </c>
      <c r="J81" s="2">
        <f t="shared" si="46"/>
        <v>7901.6600000672042</v>
      </c>
      <c r="S81">
        <f t="shared" si="47"/>
        <v>8.5175579570741147E-4</v>
      </c>
      <c r="T81">
        <f t="shared" si="48"/>
        <v>2.8870262695502711</v>
      </c>
      <c r="U81">
        <f t="shared" si="49"/>
        <v>0.64942120642021939</v>
      </c>
      <c r="V81">
        <f t="shared" si="50"/>
        <v>37.209094254172811</v>
      </c>
      <c r="W81">
        <f t="shared" si="51"/>
        <v>-237.53499988233659</v>
      </c>
      <c r="X81" s="1">
        <f t="shared" si="52"/>
        <v>44685.974862905096</v>
      </c>
    </row>
    <row r="82" spans="1:24" x14ac:dyDescent="0.2">
      <c r="A82">
        <v>5.5500000000000001E-2</v>
      </c>
      <c r="B82">
        <v>805.755</v>
      </c>
      <c r="C82" s="1">
        <f t="shared" si="43"/>
        <v>44685.983712442132</v>
      </c>
      <c r="D82" s="2">
        <f t="shared" si="44"/>
        <v>527.06500038038939</v>
      </c>
      <c r="H82" s="2">
        <v>8180.6</v>
      </c>
      <c r="I82" s="1">
        <f t="shared" si="45"/>
        <v>44686.069069444442</v>
      </c>
      <c r="J82" s="2">
        <f t="shared" si="46"/>
        <v>7901.909999968484</v>
      </c>
    </row>
    <row r="83" spans="1:24" x14ac:dyDescent="0.2">
      <c r="A83">
        <v>5.7700000000000001E-2</v>
      </c>
      <c r="B83">
        <v>807.70500000000004</v>
      </c>
      <c r="C83" s="1">
        <f t="shared" si="43"/>
        <v>44685.983735011578</v>
      </c>
      <c r="D83" s="2">
        <f t="shared" si="44"/>
        <v>529.01500049047172</v>
      </c>
      <c r="H83" s="2">
        <v>8180.75</v>
      </c>
      <c r="I83" s="1">
        <f t="shared" si="45"/>
        <v>44686.069071180558</v>
      </c>
      <c r="J83" s="2">
        <f t="shared" si="46"/>
        <v>7902.0600004121661</v>
      </c>
      <c r="R83" t="s">
        <v>20</v>
      </c>
      <c r="S83">
        <f>AVERAGE(S68:S81)</f>
        <v>8.4978930859798082E-4</v>
      </c>
      <c r="T83">
        <f t="shared" si="48"/>
        <v>2.8803608614928562</v>
      </c>
      <c r="U83">
        <f>AVERAGE(U68:U81)</f>
        <v>0.65198103237240645</v>
      </c>
      <c r="V83">
        <f>U83*180/PI()</f>
        <v>37.355761477521185</v>
      </c>
      <c r="W83">
        <f>AVERAGE(W68:W81)</f>
        <v>-260.87785688245538</v>
      </c>
      <c r="X83" s="1">
        <f t="shared" si="52"/>
        <v>44685.974592733139</v>
      </c>
    </row>
    <row r="84" spans="1:24" x14ac:dyDescent="0.2">
      <c r="A84">
        <v>5.9799999999999999E-2</v>
      </c>
      <c r="B84">
        <v>809.55499999999995</v>
      </c>
      <c r="C84" s="1">
        <f t="shared" si="43"/>
        <v>44685.983756423615</v>
      </c>
      <c r="D84" s="2">
        <f t="shared" si="44"/>
        <v>530.86500051431358</v>
      </c>
      <c r="R84" t="s">
        <v>51</v>
      </c>
      <c r="S84">
        <f>STDEV(S68:S81)</f>
        <v>1.6527906555893028E-6</v>
      </c>
      <c r="T84">
        <f>STDEV(T68:T81)</f>
        <v>5.6021339271199689E-3</v>
      </c>
      <c r="U84">
        <f>STDEV(U68:U81)</f>
        <v>1.4401697014917946E-3</v>
      </c>
      <c r="V84">
        <f>STDEV(V68:V81)</f>
        <v>8.2515645678095051E-2</v>
      </c>
      <c r="W84">
        <f>STDEV(W68:W81)</f>
        <v>17.003923200281989</v>
      </c>
    </row>
    <row r="85" spans="1:24" x14ac:dyDescent="0.2">
      <c r="A85">
        <v>6.2E-2</v>
      </c>
      <c r="B85">
        <v>811.505</v>
      </c>
      <c r="C85" s="1">
        <f t="shared" si="43"/>
        <v>44685.983778993053</v>
      </c>
      <c r="D85" s="2">
        <f t="shared" si="44"/>
        <v>532.81499999575317</v>
      </c>
    </row>
    <row r="86" spans="1:24" x14ac:dyDescent="0.2">
      <c r="A86">
        <v>6.4100000000000004E-2</v>
      </c>
      <c r="B86">
        <v>813.755</v>
      </c>
      <c r="C86" s="1">
        <f t="shared" si="43"/>
        <v>44685.983805034724</v>
      </c>
      <c r="D86" s="2">
        <f t="shared" si="44"/>
        <v>535.06500036455691</v>
      </c>
    </row>
    <row r="87" spans="1:24" x14ac:dyDescent="0.2">
      <c r="A87">
        <v>6.6199999999999995E-2</v>
      </c>
      <c r="B87">
        <v>816.20500000000004</v>
      </c>
      <c r="C87" s="1">
        <f t="shared" si="43"/>
        <v>44685.983833391205</v>
      </c>
      <c r="D87" s="2">
        <f t="shared" si="44"/>
        <v>537.51500027719885</v>
      </c>
    </row>
    <row r="88" spans="1:24" x14ac:dyDescent="0.2">
      <c r="A88">
        <v>6.8400000000000002E-2</v>
      </c>
      <c r="B88">
        <v>818.20500000000004</v>
      </c>
      <c r="C88" s="1">
        <f t="shared" si="43"/>
        <v>44685.983856539351</v>
      </c>
      <c r="D88" s="2">
        <f t="shared" si="44"/>
        <v>539.51500011608005</v>
      </c>
    </row>
    <row r="89" spans="1:24" x14ac:dyDescent="0.2">
      <c r="A89">
        <v>7.0499999999999993E-2</v>
      </c>
      <c r="B89">
        <v>819.80499999999995</v>
      </c>
      <c r="C89" s="1">
        <f t="shared" si="43"/>
        <v>44685.983875057871</v>
      </c>
      <c r="D89" s="2">
        <f t="shared" si="44"/>
        <v>541.1150002386421</v>
      </c>
    </row>
    <row r="90" spans="1:24" x14ac:dyDescent="0.2">
      <c r="A90">
        <v>7.2599999999999998E-2</v>
      </c>
      <c r="B90">
        <v>821.05499999999995</v>
      </c>
      <c r="C90" s="1">
        <f t="shared" si="43"/>
        <v>44685.983889525465</v>
      </c>
      <c r="D90" s="2">
        <f t="shared" si="44"/>
        <v>542.36500037368387</v>
      </c>
    </row>
    <row r="91" spans="1:24" x14ac:dyDescent="0.2">
      <c r="A91">
        <v>7.4800000000000005E-2</v>
      </c>
      <c r="B91">
        <v>822.05499999999995</v>
      </c>
    </row>
    <row r="95" spans="1:24" x14ac:dyDescent="0.2">
      <c r="B95" s="1"/>
    </row>
    <row r="97" spans="2:5" x14ac:dyDescent="0.2">
      <c r="B97" s="6"/>
    </row>
    <row r="98" spans="2:5" x14ac:dyDescent="0.2">
      <c r="B98" s="6"/>
    </row>
    <row r="101" spans="2:5" x14ac:dyDescent="0.2">
      <c r="E101" s="6"/>
    </row>
    <row r="102" spans="2:5" x14ac:dyDescent="0.2">
      <c r="E102" s="6"/>
    </row>
    <row r="103" spans="2:5" x14ac:dyDescent="0.2">
      <c r="E103" s="6"/>
    </row>
    <row r="104" spans="2:5" x14ac:dyDescent="0.2">
      <c r="E104" s="6"/>
    </row>
    <row r="105" spans="2:5" x14ac:dyDescent="0.2">
      <c r="E105" s="6"/>
    </row>
    <row r="106" spans="2:5" x14ac:dyDescent="0.2">
      <c r="E106" s="6"/>
    </row>
    <row r="107" spans="2:5" x14ac:dyDescent="0.2">
      <c r="E107" s="6"/>
    </row>
    <row r="108" spans="2:5" x14ac:dyDescent="0.2">
      <c r="E108" s="6"/>
    </row>
    <row r="109" spans="2:5" x14ac:dyDescent="0.2">
      <c r="E109" s="6"/>
    </row>
    <row r="110" spans="2:5" x14ac:dyDescent="0.2">
      <c r="E110" s="6"/>
    </row>
    <row r="111" spans="2:5" x14ac:dyDescent="0.2">
      <c r="E111" s="6"/>
    </row>
    <row r="112" spans="2:5" x14ac:dyDescent="0.2">
      <c r="E112" s="6"/>
    </row>
    <row r="113" spans="5:24" x14ac:dyDescent="0.2">
      <c r="E113" s="6"/>
      <c r="H113" s="6"/>
    </row>
    <row r="114" spans="5:24" x14ac:dyDescent="0.2">
      <c r="E114" s="6"/>
      <c r="H114" s="6"/>
    </row>
    <row r="115" spans="5:24" x14ac:dyDescent="0.2">
      <c r="E115" s="6"/>
      <c r="H115" s="6"/>
    </row>
    <row r="116" spans="5:24" x14ac:dyDescent="0.2">
      <c r="E116" s="6"/>
      <c r="H116" s="6"/>
    </row>
    <row r="117" spans="5:24" x14ac:dyDescent="0.2">
      <c r="E117" s="6"/>
      <c r="H117" s="6"/>
    </row>
    <row r="118" spans="5:24" x14ac:dyDescent="0.2">
      <c r="E118" s="6"/>
      <c r="H118" s="6"/>
    </row>
    <row r="119" spans="5:24" x14ac:dyDescent="0.2">
      <c r="E119" s="6"/>
      <c r="H119" s="6"/>
    </row>
    <row r="120" spans="5:24" x14ac:dyDescent="0.2">
      <c r="E120" s="6"/>
      <c r="H120" s="6"/>
      <c r="K120" s="6"/>
      <c r="X120" s="1"/>
    </row>
    <row r="121" spans="5:24" x14ac:dyDescent="0.2">
      <c r="E121" s="6"/>
      <c r="H121" s="6"/>
      <c r="K121" s="6"/>
      <c r="X121" s="1"/>
    </row>
    <row r="122" spans="5:24" x14ac:dyDescent="0.2">
      <c r="E122" s="6"/>
      <c r="H122" s="6"/>
      <c r="K122" s="6"/>
      <c r="X122" s="1"/>
    </row>
    <row r="123" spans="5:24" x14ac:dyDescent="0.2">
      <c r="E123" s="6"/>
      <c r="H123" s="6"/>
      <c r="K123" s="6"/>
      <c r="X123" s="1"/>
    </row>
    <row r="124" spans="5:24" x14ac:dyDescent="0.2">
      <c r="E124" s="6"/>
      <c r="H124" s="6"/>
      <c r="K124" s="6"/>
      <c r="X124" s="1"/>
    </row>
    <row r="125" spans="5:24" x14ac:dyDescent="0.2">
      <c r="E125" s="6"/>
      <c r="H125" s="6"/>
      <c r="K125" s="6"/>
      <c r="X125" s="1"/>
    </row>
    <row r="126" spans="5:24" x14ac:dyDescent="0.2">
      <c r="E126" s="6"/>
      <c r="H126" s="6"/>
      <c r="K126" s="6"/>
      <c r="X126" s="1"/>
    </row>
    <row r="127" spans="5:24" x14ac:dyDescent="0.2">
      <c r="E127" s="6"/>
      <c r="H127" s="6"/>
      <c r="K127" s="6"/>
      <c r="X127" s="1"/>
    </row>
    <row r="128" spans="5:24" x14ac:dyDescent="0.2">
      <c r="E128" s="6"/>
      <c r="H128" s="6"/>
      <c r="K128" s="6"/>
      <c r="X128" s="1"/>
    </row>
    <row r="129" spans="5:24" x14ac:dyDescent="0.2">
      <c r="E129" s="6"/>
      <c r="K129" s="6"/>
    </row>
    <row r="130" spans="5:24" x14ac:dyDescent="0.2">
      <c r="E130" s="6"/>
      <c r="K130" s="6"/>
      <c r="X130" s="1"/>
    </row>
    <row r="131" spans="5:24" x14ac:dyDescent="0.2">
      <c r="E131" s="6"/>
      <c r="K131" s="6"/>
    </row>
    <row r="132" spans="5:24" x14ac:dyDescent="0.2">
      <c r="E132" s="6"/>
      <c r="K132" s="6"/>
    </row>
    <row r="133" spans="5:24" x14ac:dyDescent="0.2">
      <c r="E133" s="6"/>
      <c r="K133" s="6"/>
    </row>
  </sheetData>
  <pageMargins left="0.7" right="0.7" top="0.75" bottom="0.75" header="0.3" footer="0.3"/>
  <ignoredErrors>
    <ignoredError sqref="AA5 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04362-EFE9-C948-8262-CBED4105A560}">
  <sheetPr codeName="Sheet2"/>
  <dimension ref="A1:H7"/>
  <sheetViews>
    <sheetView workbookViewId="0">
      <selection activeCell="H7" sqref="H7"/>
    </sheetView>
  </sheetViews>
  <sheetFormatPr baseColWidth="10" defaultRowHeight="16" x14ac:dyDescent="0.2"/>
  <cols>
    <col min="3" max="3" width="12.1640625" bestFit="1" customWidth="1"/>
    <col min="8" max="8" width="22.33203125" bestFit="1" customWidth="1"/>
  </cols>
  <sheetData>
    <row r="1" spans="1:8" x14ac:dyDescent="0.2">
      <c r="A1" t="s">
        <v>54</v>
      </c>
      <c r="B1" t="s">
        <v>14</v>
      </c>
      <c r="C1" t="s">
        <v>55</v>
      </c>
      <c r="D1" t="s">
        <v>15</v>
      </c>
      <c r="E1" t="s">
        <v>56</v>
      </c>
      <c r="F1" t="s">
        <v>17</v>
      </c>
      <c r="G1" t="s">
        <v>57</v>
      </c>
      <c r="H1" t="s">
        <v>18</v>
      </c>
    </row>
    <row r="2" spans="1:8" x14ac:dyDescent="0.2">
      <c r="A2" t="s">
        <v>53</v>
      </c>
      <c r="B2">
        <f>Data!T19</f>
        <v>2.8909670776896448</v>
      </c>
      <c r="C2">
        <f>Data!T20</f>
        <v>2.1567420261081154E-3</v>
      </c>
      <c r="D2">
        <f>Data!V19</f>
        <v>36.587350197202433</v>
      </c>
      <c r="E2">
        <f>Data!V20</f>
        <v>0.22703773304741276</v>
      </c>
      <c r="F2">
        <f>Data!W19</f>
        <v>-242.16749999999993</v>
      </c>
      <c r="G2">
        <f>Data!W20</f>
        <v>9.4672668530398507</v>
      </c>
      <c r="H2" s="1">
        <f>Data!X19</f>
        <v>44685.974809288193</v>
      </c>
    </row>
    <row r="3" spans="1:8" x14ac:dyDescent="0.2">
      <c r="A3" t="s">
        <v>3</v>
      </c>
      <c r="B3">
        <f>Data!T29</f>
        <v>2.8823995325331189</v>
      </c>
      <c r="C3">
        <f>Data!T30</f>
        <v>5.627392306340716E-3</v>
      </c>
      <c r="D3">
        <f>Data!V29</f>
        <v>36.788315052291438</v>
      </c>
      <c r="E3">
        <f>Data!V30</f>
        <v>0.53454752744492251</v>
      </c>
      <c r="F3">
        <f>Data!W29</f>
        <v>-262.03999970457517</v>
      </c>
      <c r="G3">
        <f>Data!W30</f>
        <v>13.010764659180037</v>
      </c>
      <c r="H3" s="1">
        <f>Data!X29</f>
        <v>44685.974579282411</v>
      </c>
    </row>
    <row r="4" spans="1:8" x14ac:dyDescent="0.2">
      <c r="A4" t="s">
        <v>22</v>
      </c>
      <c r="B4">
        <f>Data!T58</f>
        <v>2.8831140409337839</v>
      </c>
      <c r="C4">
        <f>Data!T59</f>
        <v>3.8334527834707321E-3</v>
      </c>
      <c r="D4">
        <f>Data!V58</f>
        <v>36.814562512340501</v>
      </c>
      <c r="E4">
        <f>Data!V59</f>
        <v>0.52712236148066138</v>
      </c>
      <c r="F4">
        <f>Data!W58</f>
        <v>-265.3572381270352</v>
      </c>
      <c r="G4">
        <f>Data!W59</f>
        <v>6.2725387854051853</v>
      </c>
      <c r="H4" s="1">
        <f>Data!X58</f>
        <v>44685.974540888448</v>
      </c>
    </row>
    <row r="5" spans="1:8" x14ac:dyDescent="0.2">
      <c r="A5" t="s">
        <v>33</v>
      </c>
      <c r="B5">
        <f>Data!T83</f>
        <v>2.8803608614928562</v>
      </c>
      <c r="C5">
        <f>Data!T84</f>
        <v>5.6021339271199689E-3</v>
      </c>
      <c r="D5">
        <f>Data!V83</f>
        <v>37.355761477521185</v>
      </c>
      <c r="E5">
        <f>Data!V84</f>
        <v>8.2515645678095051E-2</v>
      </c>
      <c r="F5">
        <f>Data!W83</f>
        <v>-260.87785688245538</v>
      </c>
      <c r="G5">
        <f>Data!W84</f>
        <v>17.003923200281989</v>
      </c>
      <c r="H5" s="1">
        <f>Data!X83</f>
        <v>44685.974592733139</v>
      </c>
    </row>
    <row r="6" spans="1:8" x14ac:dyDescent="0.2">
      <c r="H6" s="1"/>
    </row>
    <row r="7" spans="1:8" x14ac:dyDescent="0.2">
      <c r="A7" t="s">
        <v>52</v>
      </c>
      <c r="B7">
        <f>AVERAGE(B2:B5)</f>
        <v>2.8842103781623507</v>
      </c>
      <c r="C7">
        <f>STDEV(B2:B5)</f>
        <v>4.6530593628458308E-3</v>
      </c>
      <c r="D7">
        <f>AVERAGE(D2:D5)</f>
        <v>36.886497309838887</v>
      </c>
      <c r="E7">
        <f>STDEV(D2:D5)</f>
        <v>0.32889320701282065</v>
      </c>
      <c r="F7">
        <f>AVERAGE(F2:F5)</f>
        <v>-257.61064867851644</v>
      </c>
      <c r="G7">
        <f>STDEV(F2:F5)</f>
        <v>10.468910945439069</v>
      </c>
      <c r="H7" s="1">
        <f>Data!B3+F7/(24*3600)</f>
        <v>44685.974630548044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E9C7-8E12-9144-898A-DB4A8E99DB8B}">
  <sheetPr codeName="Sheet3"/>
  <dimension ref="A1:D38"/>
  <sheetViews>
    <sheetView tabSelected="1" workbookViewId="0">
      <selection activeCell="C36" sqref="C36"/>
    </sheetView>
  </sheetViews>
  <sheetFormatPr baseColWidth="10" defaultRowHeight="16" x14ac:dyDescent="0.2"/>
  <cols>
    <col min="4" max="4" width="16.1640625" customWidth="1"/>
  </cols>
  <sheetData>
    <row r="1" spans="1:4" x14ac:dyDescent="0.2">
      <c r="A1" t="s">
        <v>58</v>
      </c>
    </row>
    <row r="2" spans="1:4" x14ac:dyDescent="0.2">
      <c r="A2" t="s">
        <v>53</v>
      </c>
    </row>
    <row r="3" spans="1:4" x14ac:dyDescent="0.2">
      <c r="A3" t="s">
        <v>5</v>
      </c>
      <c r="B3" t="s">
        <v>68</v>
      </c>
      <c r="C3" t="s">
        <v>69</v>
      </c>
      <c r="D3" t="s">
        <v>70</v>
      </c>
    </row>
    <row r="4" spans="1:4" x14ac:dyDescent="0.2">
      <c r="A4" t="s">
        <v>59</v>
      </c>
      <c r="B4">
        <v>0.91700000000000004</v>
      </c>
      <c r="C4">
        <v>108</v>
      </c>
      <c r="D4" t="s">
        <v>71</v>
      </c>
    </row>
    <row r="5" spans="1:4" x14ac:dyDescent="0.2">
      <c r="A5" t="s">
        <v>60</v>
      </c>
      <c r="B5">
        <v>0.85599999999999998</v>
      </c>
      <c r="C5">
        <v>146</v>
      </c>
      <c r="D5" t="s">
        <v>72</v>
      </c>
    </row>
    <row r="6" spans="1:4" x14ac:dyDescent="0.2">
      <c r="A6" t="s">
        <v>61</v>
      </c>
      <c r="B6">
        <v>0.89700000000000002</v>
      </c>
      <c r="C6">
        <v>140</v>
      </c>
      <c r="D6" t="s">
        <v>73</v>
      </c>
    </row>
    <row r="8" spans="1:4" x14ac:dyDescent="0.2">
      <c r="A8" t="s">
        <v>12</v>
      </c>
    </row>
    <row r="9" spans="1:4" x14ac:dyDescent="0.2">
      <c r="A9" t="s">
        <v>59</v>
      </c>
      <c r="B9">
        <v>0.53600000000000003</v>
      </c>
      <c r="C9">
        <v>348</v>
      </c>
      <c r="D9" t="s">
        <v>74</v>
      </c>
    </row>
    <row r="10" spans="1:4" x14ac:dyDescent="0.2">
      <c r="A10" t="s">
        <v>60</v>
      </c>
      <c r="B10">
        <v>0.71299999999999997</v>
      </c>
      <c r="C10">
        <v>340</v>
      </c>
      <c r="D10" t="s">
        <v>75</v>
      </c>
    </row>
    <row r="11" spans="1:4" x14ac:dyDescent="0.2">
      <c r="A11" t="s">
        <v>61</v>
      </c>
      <c r="B11">
        <v>0.70699999999999996</v>
      </c>
      <c r="C11">
        <v>340</v>
      </c>
      <c r="D11" t="s">
        <v>76</v>
      </c>
    </row>
    <row r="13" spans="1:4" x14ac:dyDescent="0.2">
      <c r="A13" t="s">
        <v>13</v>
      </c>
    </row>
    <row r="14" spans="1:4" x14ac:dyDescent="0.2">
      <c r="A14" t="s">
        <v>59</v>
      </c>
      <c r="B14">
        <v>0.629</v>
      </c>
      <c r="C14">
        <v>176</v>
      </c>
      <c r="D14" t="s">
        <v>77</v>
      </c>
    </row>
    <row r="15" spans="1:4" x14ac:dyDescent="0.2">
      <c r="A15" t="s">
        <v>60</v>
      </c>
      <c r="B15">
        <v>0.34499999999999997</v>
      </c>
      <c r="C15">
        <v>162</v>
      </c>
      <c r="D15" t="s">
        <v>78</v>
      </c>
    </row>
    <row r="16" spans="1:4" x14ac:dyDescent="0.2">
      <c r="A16" t="s">
        <v>61</v>
      </c>
      <c r="B16">
        <v>0.81299999999999994</v>
      </c>
      <c r="C16">
        <v>166</v>
      </c>
      <c r="D16" t="s">
        <v>79</v>
      </c>
    </row>
    <row r="18" spans="1:2" x14ac:dyDescent="0.2">
      <c r="A18" t="s">
        <v>80</v>
      </c>
    </row>
    <row r="19" spans="1:2" x14ac:dyDescent="0.2">
      <c r="A19" t="s">
        <v>5</v>
      </c>
    </row>
    <row r="20" spans="1:2" x14ac:dyDescent="0.2">
      <c r="A20" t="s">
        <v>81</v>
      </c>
      <c r="B20" t="s">
        <v>82</v>
      </c>
    </row>
    <row r="21" spans="1:2" x14ac:dyDescent="0.2">
      <c r="A21">
        <v>130</v>
      </c>
      <c r="B21" t="s">
        <v>83</v>
      </c>
    </row>
    <row r="22" spans="1:2" x14ac:dyDescent="0.2">
      <c r="A22" t="s">
        <v>12</v>
      </c>
    </row>
    <row r="23" spans="1:2" x14ac:dyDescent="0.2">
      <c r="A23">
        <v>293</v>
      </c>
      <c r="B23" t="s">
        <v>84</v>
      </c>
    </row>
    <row r="25" spans="1:2" x14ac:dyDescent="0.2">
      <c r="A25" t="s">
        <v>85</v>
      </c>
    </row>
    <row r="26" spans="1:2" x14ac:dyDescent="0.2">
      <c r="A26" t="s">
        <v>5</v>
      </c>
    </row>
    <row r="27" spans="1:2" x14ac:dyDescent="0.2">
      <c r="A27" t="s">
        <v>62</v>
      </c>
      <c r="B27" t="s">
        <v>82</v>
      </c>
    </row>
    <row r="28" spans="1:2" x14ac:dyDescent="0.2">
      <c r="A28">
        <v>124.5</v>
      </c>
      <c r="B28" t="s">
        <v>86</v>
      </c>
    </row>
    <row r="29" spans="1:2" x14ac:dyDescent="0.2">
      <c r="A29" t="s">
        <v>87</v>
      </c>
    </row>
    <row r="30" spans="1:2" x14ac:dyDescent="0.2">
      <c r="A30">
        <v>123.6</v>
      </c>
      <c r="B30" t="s">
        <v>88</v>
      </c>
    </row>
    <row r="31" spans="1:2" x14ac:dyDescent="0.2">
      <c r="A31" t="s">
        <v>89</v>
      </c>
    </row>
    <row r="32" spans="1:2" x14ac:dyDescent="0.2">
      <c r="A32">
        <v>125</v>
      </c>
      <c r="B32" t="s">
        <v>90</v>
      </c>
    </row>
    <row r="33" spans="1:3" x14ac:dyDescent="0.2">
      <c r="A33" t="s">
        <v>91</v>
      </c>
    </row>
    <row r="34" spans="1:3" x14ac:dyDescent="0.2">
      <c r="A34">
        <v>125.2</v>
      </c>
      <c r="B34" t="s">
        <v>92</v>
      </c>
    </row>
    <row r="35" spans="1:3" x14ac:dyDescent="0.2">
      <c r="A35" t="s">
        <v>12</v>
      </c>
    </row>
    <row r="36" spans="1:3" x14ac:dyDescent="0.2">
      <c r="A36">
        <v>197.1</v>
      </c>
      <c r="B36" t="s">
        <v>93</v>
      </c>
      <c r="C36" t="s">
        <v>95</v>
      </c>
    </row>
    <row r="37" spans="1:3" x14ac:dyDescent="0.2">
      <c r="A37" t="s">
        <v>13</v>
      </c>
    </row>
    <row r="38" spans="1:3" x14ac:dyDescent="0.2">
      <c r="A38">
        <v>136</v>
      </c>
      <c r="B38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DDD1-6B99-BF4C-B9B8-5666FACFF903}">
  <sheetPr codeName="Sheet4"/>
  <dimension ref="A1:H61"/>
  <sheetViews>
    <sheetView workbookViewId="0">
      <selection sqref="A1:H61"/>
    </sheetView>
  </sheetViews>
  <sheetFormatPr baseColWidth="10" defaultRowHeight="16" x14ac:dyDescent="0.2"/>
  <sheetData>
    <row r="1" spans="1:8" x14ac:dyDescent="0.2">
      <c r="A1" s="8" t="s">
        <v>64</v>
      </c>
      <c r="B1" s="9"/>
      <c r="C1" s="8" t="s">
        <v>65</v>
      </c>
      <c r="D1" s="9"/>
      <c r="E1" s="8" t="s">
        <v>66</v>
      </c>
      <c r="F1" s="9"/>
      <c r="G1" s="8" t="s">
        <v>67</v>
      </c>
      <c r="H1" s="9"/>
    </row>
    <row r="2" spans="1:8" x14ac:dyDescent="0.2">
      <c r="A2" s="8" t="s">
        <v>5</v>
      </c>
      <c r="B2" s="9"/>
      <c r="C2" s="8" t="s">
        <v>5</v>
      </c>
      <c r="D2" s="9"/>
      <c r="E2" s="8" t="s">
        <v>5</v>
      </c>
      <c r="F2" s="9"/>
      <c r="G2" s="8" t="s">
        <v>5</v>
      </c>
      <c r="H2" s="9"/>
    </row>
    <row r="3" spans="1:8" x14ac:dyDescent="0.2">
      <c r="A3" s="10" t="s">
        <v>24</v>
      </c>
      <c r="B3" s="10" t="s">
        <v>62</v>
      </c>
      <c r="C3" s="10" t="s">
        <v>24</v>
      </c>
      <c r="D3" s="10" t="s">
        <v>62</v>
      </c>
      <c r="E3" s="23" t="s">
        <v>24</v>
      </c>
      <c r="F3" s="23" t="s">
        <v>62</v>
      </c>
      <c r="G3" s="23" t="s">
        <v>24</v>
      </c>
      <c r="H3" s="23" t="s">
        <v>62</v>
      </c>
    </row>
    <row r="4" spans="1:8" x14ac:dyDescent="0.2">
      <c r="A4" s="11">
        <v>2.1000000000000001E-2</v>
      </c>
      <c r="B4" s="11">
        <v>490.25</v>
      </c>
      <c r="C4" s="11">
        <v>2.9730199999999998E-2</v>
      </c>
      <c r="D4" s="17">
        <v>493.41000036802143</v>
      </c>
      <c r="E4" s="11">
        <v>6.1138521548271915E-2</v>
      </c>
      <c r="F4" s="11">
        <v>535.88529112748802</v>
      </c>
      <c r="G4" s="11">
        <v>2.35E-2</v>
      </c>
      <c r="H4" s="11">
        <v>485.51500006578863</v>
      </c>
    </row>
    <row r="5" spans="1:8" x14ac:dyDescent="0.2">
      <c r="A5" s="12">
        <v>2.5000000000000001E-2</v>
      </c>
      <c r="B5" s="12">
        <v>490.84</v>
      </c>
      <c r="C5" s="12">
        <v>3.5355299999999999E-2</v>
      </c>
      <c r="D5" s="19">
        <v>492.6100003067404</v>
      </c>
      <c r="E5" s="12">
        <v>5.7539716789513959E-2</v>
      </c>
      <c r="F5" s="12">
        <v>535.88529112748802</v>
      </c>
      <c r="G5" s="12">
        <v>2.5600000000000001E-2</v>
      </c>
      <c r="H5" s="12">
        <v>485.21500043570995</v>
      </c>
    </row>
    <row r="6" spans="1:8" x14ac:dyDescent="0.2">
      <c r="A6" s="12">
        <v>0.03</v>
      </c>
      <c r="B6" s="12">
        <v>501.55</v>
      </c>
      <c r="C6" s="12">
        <v>4.20448E-2</v>
      </c>
      <c r="D6" s="19">
        <v>508.61000027507544</v>
      </c>
      <c r="E6" s="12">
        <v>5.4341033457774301E-2</v>
      </c>
      <c r="F6" s="12">
        <v>525.48958584666252</v>
      </c>
      <c r="G6" s="12">
        <v>2.7799999999999998E-2</v>
      </c>
      <c r="H6" s="12">
        <v>486.51500029955059</v>
      </c>
    </row>
    <row r="7" spans="1:8" x14ac:dyDescent="0.2">
      <c r="A7" s="12">
        <v>3.5999999999999997E-2</v>
      </c>
      <c r="B7" s="12">
        <v>512.41999999999996</v>
      </c>
      <c r="C7" s="12">
        <v>0.05</v>
      </c>
      <c r="D7" s="19">
        <v>522.21000005956739</v>
      </c>
      <c r="E7" s="12">
        <v>5.1479256433620071E-2</v>
      </c>
      <c r="F7" s="12">
        <v>525.48958584666252</v>
      </c>
      <c r="G7" s="12">
        <v>2.9899999999999999E-2</v>
      </c>
      <c r="H7" s="12">
        <v>489.0149999409914</v>
      </c>
    </row>
    <row r="8" spans="1:8" x14ac:dyDescent="0.2">
      <c r="A8" s="12">
        <v>4.2999999999999997E-2</v>
      </c>
      <c r="B8" s="12">
        <v>521.27</v>
      </c>
      <c r="C8" s="12">
        <v>5.9460399999999997E-2</v>
      </c>
      <c r="D8" s="19">
        <v>542.50999996438622</v>
      </c>
      <c r="E8" s="12">
        <v>4.8903820855523444E-2</v>
      </c>
      <c r="F8" s="12">
        <v>515.35574547015131</v>
      </c>
      <c r="G8" s="12">
        <v>3.2000000000000001E-2</v>
      </c>
      <c r="H8" s="12">
        <v>492.56500017363578</v>
      </c>
    </row>
    <row r="9" spans="1:8" x14ac:dyDescent="0.2">
      <c r="A9" s="12">
        <v>0.05</v>
      </c>
      <c r="B9" s="12">
        <v>529.21</v>
      </c>
      <c r="C9" s="12">
        <v>7.0710700000000001E-2</v>
      </c>
      <c r="D9" s="19">
        <v>615.71000022813678</v>
      </c>
      <c r="E9" s="12">
        <v>4.6573798512432873E-2</v>
      </c>
      <c r="F9" s="12">
        <v>515.35574547015131</v>
      </c>
      <c r="G9" s="12">
        <v>3.4200000000000001E-2</v>
      </c>
      <c r="H9" s="12">
        <v>497.36500054132193</v>
      </c>
    </row>
    <row r="10" spans="1:8" x14ac:dyDescent="0.2">
      <c r="A10" s="12">
        <v>0.06</v>
      </c>
      <c r="B10" s="12">
        <v>536</v>
      </c>
      <c r="C10" s="13">
        <v>8.40896E-2</v>
      </c>
      <c r="D10" s="21">
        <v>622.51000043470412</v>
      </c>
      <c r="E10" s="12">
        <v>4.4455706556772161E-2</v>
      </c>
      <c r="F10" s="12">
        <v>515.35574547015131</v>
      </c>
      <c r="G10" s="12">
        <v>3.6299999999999999E-2</v>
      </c>
      <c r="H10" s="12">
        <v>503.7650004029274</v>
      </c>
    </row>
    <row r="11" spans="1:8" x14ac:dyDescent="0.2">
      <c r="A11" s="12">
        <v>7.1999999999999995E-2</v>
      </c>
      <c r="B11" s="12">
        <v>585.77</v>
      </c>
      <c r="C11" s="8" t="s">
        <v>12</v>
      </c>
      <c r="D11" s="24"/>
      <c r="E11" s="12">
        <v>4.2522068953787018E-2</v>
      </c>
      <c r="F11" s="12">
        <v>505.47399774659425</v>
      </c>
      <c r="G11" s="12">
        <v>3.85E-2</v>
      </c>
      <c r="H11" s="12">
        <v>508.46500005573034</v>
      </c>
    </row>
    <row r="12" spans="1:8" x14ac:dyDescent="0.2">
      <c r="A12" s="13">
        <v>8.5999999999999993E-2</v>
      </c>
      <c r="B12" s="13">
        <v>586.76</v>
      </c>
      <c r="C12" s="11">
        <v>2.9730199999999998E-2</v>
      </c>
      <c r="D12" s="17">
        <v>6379.310000105761</v>
      </c>
      <c r="E12" s="12">
        <v>4.0749464144546499E-2</v>
      </c>
      <c r="F12" s="12">
        <v>505.47399774659425</v>
      </c>
      <c r="G12" s="12">
        <v>4.0599999999999997E-2</v>
      </c>
      <c r="H12" s="12">
        <v>511.2150002270937</v>
      </c>
    </row>
    <row r="13" spans="1:8" x14ac:dyDescent="0.2">
      <c r="A13" s="8" t="s">
        <v>12</v>
      </c>
      <c r="B13" s="9"/>
      <c r="C13" s="13">
        <v>3.5355299999999999E-2</v>
      </c>
      <c r="D13" s="21">
        <v>6363.7100004823878</v>
      </c>
      <c r="E13" s="12">
        <v>3.9118733178944737E-2</v>
      </c>
      <c r="F13" s="12">
        <v>505.47399774659425</v>
      </c>
      <c r="G13" s="12">
        <v>4.2700000000000002E-2</v>
      </c>
      <c r="H13" s="12">
        <v>513.5150003246963</v>
      </c>
    </row>
    <row r="14" spans="1:8" x14ac:dyDescent="0.2">
      <c r="A14" s="11">
        <v>2.1000000000000001E-2</v>
      </c>
      <c r="B14" s="14">
        <v>6375.26</v>
      </c>
      <c r="C14" s="8" t="s">
        <v>13</v>
      </c>
      <c r="D14" s="24"/>
      <c r="E14" s="12">
        <v>3.7613498732425088E-2</v>
      </c>
      <c r="F14" s="12">
        <v>495.83505133632571</v>
      </c>
      <c r="G14" s="12">
        <v>4.4900000000000002E-2</v>
      </c>
      <c r="H14" s="12">
        <v>515.66499997861683</v>
      </c>
    </row>
    <row r="15" spans="1:8" x14ac:dyDescent="0.2">
      <c r="A15" s="12">
        <v>2.5000000000000001E-2</v>
      </c>
      <c r="B15" s="15">
        <v>6373.66</v>
      </c>
      <c r="C15" s="11">
        <v>2.9730199999999998E-2</v>
      </c>
      <c r="D15" s="17">
        <v>7871.8100004130974</v>
      </c>
      <c r="E15" s="12">
        <v>3.6219810787708445E-2</v>
      </c>
      <c r="F15" s="12">
        <v>495.83505133632571</v>
      </c>
      <c r="G15" s="12">
        <v>4.7E-2</v>
      </c>
      <c r="H15" s="12">
        <v>517.91500034742057</v>
      </c>
    </row>
    <row r="16" spans="1:8" x14ac:dyDescent="0.2">
      <c r="A16" s="12">
        <v>0.03</v>
      </c>
      <c r="B16" s="15">
        <v>6375.01</v>
      </c>
      <c r="C16" s="13">
        <v>3.5355299999999999E-2</v>
      </c>
      <c r="D16" s="21">
        <v>7891.4100003428757</v>
      </c>
      <c r="E16" s="12">
        <v>3.4925713008431065E-2</v>
      </c>
      <c r="F16" s="12">
        <v>495.83505133632571</v>
      </c>
      <c r="G16" s="12">
        <v>4.9099999999999998E-2</v>
      </c>
      <c r="H16" s="12">
        <v>520.21500044502318</v>
      </c>
    </row>
    <row r="17" spans="1:8" x14ac:dyDescent="0.2">
      <c r="A17" s="12">
        <v>3.5999999999999997E-2</v>
      </c>
      <c r="B17" s="15">
        <v>6376.71</v>
      </c>
      <c r="E17" s="12">
        <v>3.3720898864280126E-2</v>
      </c>
      <c r="F17" s="12">
        <v>486.43006689380854</v>
      </c>
      <c r="G17" s="12">
        <v>5.1299999999999998E-2</v>
      </c>
      <c r="H17" s="12">
        <v>522.61500000022352</v>
      </c>
    </row>
    <row r="18" spans="1:8" x14ac:dyDescent="0.2">
      <c r="A18" s="12">
        <v>4.2999999999999997E-2</v>
      </c>
      <c r="B18" s="12">
        <v>6377.97</v>
      </c>
      <c r="E18" s="12">
        <v>3.2596436557555529E-2</v>
      </c>
      <c r="F18" s="12">
        <v>486.43006689380854</v>
      </c>
      <c r="G18" s="12">
        <v>5.3400000000000003E-2</v>
      </c>
      <c r="H18" s="12">
        <v>524.91500009782612</v>
      </c>
    </row>
    <row r="19" spans="1:8" x14ac:dyDescent="0.2">
      <c r="A19" s="13">
        <v>0.05</v>
      </c>
      <c r="B19" s="13">
        <v>6383.81</v>
      </c>
      <c r="E19" s="12">
        <v>3.0558518034109416E-2</v>
      </c>
      <c r="F19" s="12">
        <v>477.25062752142549</v>
      </c>
      <c r="G19" s="12">
        <v>5.5500000000000001E-2</v>
      </c>
      <c r="H19" s="12">
        <v>527.06500038038939</v>
      </c>
    </row>
    <row r="20" spans="1:8" x14ac:dyDescent="0.2">
      <c r="A20" s="8" t="s">
        <v>13</v>
      </c>
      <c r="B20" s="9"/>
      <c r="E20" s="12">
        <v>2.8760342938329197E-2</v>
      </c>
      <c r="F20" s="12">
        <v>477.25062752142549</v>
      </c>
      <c r="G20" s="12">
        <v>5.7700000000000001E-2</v>
      </c>
      <c r="H20" s="12">
        <v>529.01500049047172</v>
      </c>
    </row>
    <row r="21" spans="1:8" x14ac:dyDescent="0.2">
      <c r="A21" s="11">
        <v>2.1000000000000001E-2</v>
      </c>
      <c r="B21" s="14">
        <v>7872.31</v>
      </c>
      <c r="E21" s="12">
        <v>2.7162029655503978E-2</v>
      </c>
      <c r="F21" s="12">
        <v>468.28871676698327</v>
      </c>
      <c r="G21" s="12">
        <v>5.9799999999999999E-2</v>
      </c>
      <c r="H21" s="12">
        <v>530.86500051431358</v>
      </c>
    </row>
    <row r="22" spans="1:8" x14ac:dyDescent="0.2">
      <c r="A22" s="12">
        <v>2.5000000000000001E-2</v>
      </c>
      <c r="B22" s="15">
        <v>7863.56</v>
      </c>
      <c r="E22" s="12">
        <v>2.5732011394134648E-2</v>
      </c>
      <c r="F22" s="12">
        <v>459.53669222071767</v>
      </c>
      <c r="G22" s="12">
        <v>6.2E-2</v>
      </c>
      <c r="H22" s="12">
        <v>532.81499999575317</v>
      </c>
    </row>
    <row r="23" spans="1:8" x14ac:dyDescent="0.2">
      <c r="A23" s="12">
        <v>0.03</v>
      </c>
      <c r="B23" s="15">
        <v>7864.21</v>
      </c>
      <c r="E23" s="13">
        <v>2.4445096313679474E-2</v>
      </c>
      <c r="F23" s="13">
        <v>459.53669222071767</v>
      </c>
      <c r="G23" s="12">
        <v>6.4100000000000004E-2</v>
      </c>
      <c r="H23" s="12">
        <v>535.06500036455691</v>
      </c>
    </row>
    <row r="24" spans="1:8" x14ac:dyDescent="0.2">
      <c r="A24" s="12">
        <v>3.5999999999999997E-2</v>
      </c>
      <c r="B24" s="15">
        <v>7882.36</v>
      </c>
      <c r="E24" s="8" t="s">
        <v>12</v>
      </c>
      <c r="F24" s="9"/>
      <c r="G24" s="12">
        <v>6.6199999999999995E-2</v>
      </c>
      <c r="H24" s="12">
        <v>537.51500027719885</v>
      </c>
    </row>
    <row r="25" spans="1:8" x14ac:dyDescent="0.2">
      <c r="A25" s="13">
        <v>4.2999999999999997E-2</v>
      </c>
      <c r="B25" s="16">
        <v>7882.72</v>
      </c>
      <c r="E25" s="11">
        <v>3.9455825258041095E-2</v>
      </c>
      <c r="F25" s="11">
        <v>6356.5343554364517</v>
      </c>
      <c r="G25" s="12">
        <v>6.8400000000000002E-2</v>
      </c>
      <c r="H25" s="12">
        <v>539.51500011608005</v>
      </c>
    </row>
    <row r="26" spans="1:8" x14ac:dyDescent="0.2">
      <c r="A26" s="8" t="s">
        <v>63</v>
      </c>
      <c r="B26" s="9"/>
      <c r="E26" s="12">
        <v>3.7908511598109124E-2</v>
      </c>
      <c r="F26" s="12">
        <v>6356.5343554364517</v>
      </c>
      <c r="G26" s="12">
        <v>7.0499999999999993E-2</v>
      </c>
      <c r="H26" s="12">
        <v>541.1150002386421</v>
      </c>
    </row>
    <row r="27" spans="1:8" x14ac:dyDescent="0.2">
      <c r="A27" s="17">
        <v>2.1000000000000001E-2</v>
      </c>
      <c r="B27" s="18">
        <v>6661.96</v>
      </c>
      <c r="E27" s="12">
        <v>3.6477978244533776E-2</v>
      </c>
      <c r="F27" s="12">
        <v>6356.5343554364517</v>
      </c>
      <c r="G27" s="13">
        <v>7.2599999999999998E-2</v>
      </c>
      <c r="H27" s="13">
        <v>542.36500037368387</v>
      </c>
    </row>
    <row r="28" spans="1:8" x14ac:dyDescent="0.2">
      <c r="A28" s="19">
        <v>2.5000000000000001E-2</v>
      </c>
      <c r="B28" s="20">
        <v>6653.51</v>
      </c>
      <c r="E28" s="12">
        <v>3.5151485326012449E-2</v>
      </c>
      <c r="F28" s="12">
        <v>6375.4841068061069</v>
      </c>
      <c r="G28" s="8" t="s">
        <v>12</v>
      </c>
      <c r="H28" s="9"/>
    </row>
    <row r="29" spans="1:8" x14ac:dyDescent="0.2">
      <c r="A29" s="19">
        <v>0.03</v>
      </c>
      <c r="B29" s="20">
        <v>6688.06</v>
      </c>
      <c r="E29" s="12">
        <v>3.3918081050646476E-2</v>
      </c>
      <c r="F29" s="19">
        <v>6375.4841068061069</v>
      </c>
      <c r="G29" s="11">
        <v>2.1399999999999999E-2</v>
      </c>
      <c r="H29" s="11">
        <v>6355.3100001532584</v>
      </c>
    </row>
    <row r="30" spans="1:8" x14ac:dyDescent="0.2">
      <c r="A30" s="19">
        <v>3.5999999999999997E-2</v>
      </c>
      <c r="B30" s="20">
        <v>6697.87</v>
      </c>
      <c r="E30" s="12">
        <v>3.2768406013657873E-2</v>
      </c>
      <c r="F30" s="19">
        <v>6375.4841068061069</v>
      </c>
      <c r="G30" s="12">
        <v>2.35E-2</v>
      </c>
      <c r="H30" s="12">
        <v>6356.1599999433383</v>
      </c>
    </row>
    <row r="31" spans="1:8" x14ac:dyDescent="0.2">
      <c r="A31" s="19">
        <v>4.2999999999999997E-2</v>
      </c>
      <c r="B31" s="20">
        <v>6708.01</v>
      </c>
      <c r="E31" s="12">
        <v>3.0687837182611047E-2</v>
      </c>
      <c r="F31" s="19">
        <v>6375.4841068061069</v>
      </c>
      <c r="G31" s="12">
        <v>2.5600000000000001E-2</v>
      </c>
      <c r="H31" s="12">
        <v>6357.3600003495812</v>
      </c>
    </row>
    <row r="32" spans="1:8" x14ac:dyDescent="0.2">
      <c r="A32" s="21">
        <v>0.05</v>
      </c>
      <c r="B32" s="22">
        <v>6726.36</v>
      </c>
      <c r="E32" s="13">
        <v>2.8855698423324638E-2</v>
      </c>
      <c r="F32" s="21">
        <v>6356.5343554364517</v>
      </c>
      <c r="G32" s="12">
        <v>2.7799999999999998E-2</v>
      </c>
      <c r="H32" s="12">
        <v>6358.7600002996624</v>
      </c>
    </row>
    <row r="33" spans="5:8" x14ac:dyDescent="0.2">
      <c r="E33" s="8" t="s">
        <v>13</v>
      </c>
      <c r="F33" s="24"/>
      <c r="G33" s="12">
        <v>2.9899999999999999E-2</v>
      </c>
      <c r="H33" s="12">
        <v>6360.1100005209446</v>
      </c>
    </row>
    <row r="34" spans="5:8" x14ac:dyDescent="0.2">
      <c r="E34" s="11">
        <v>3.9455825258041095E-2</v>
      </c>
      <c r="F34" s="17">
        <v>7900.0669552478939</v>
      </c>
      <c r="G34" s="12">
        <v>3.2000000000000001E-2</v>
      </c>
      <c r="H34" s="12">
        <v>6361.3100002985448</v>
      </c>
    </row>
    <row r="35" spans="5:8" x14ac:dyDescent="0.2">
      <c r="E35" s="12">
        <v>3.7908511598109124E-2</v>
      </c>
      <c r="F35" s="19">
        <v>7900.0669552478939</v>
      </c>
      <c r="G35" s="12">
        <v>3.4200000000000001E-2</v>
      </c>
      <c r="H35" s="12">
        <v>6362.2600001748651</v>
      </c>
    </row>
    <row r="36" spans="5:8" x14ac:dyDescent="0.2">
      <c r="E36" s="12">
        <v>3.6477978244533776E-2</v>
      </c>
      <c r="F36" s="19">
        <v>7876.7757744994015</v>
      </c>
      <c r="G36" s="12">
        <v>3.6299999999999999E-2</v>
      </c>
      <c r="H36" s="12">
        <v>6363.0600002361462</v>
      </c>
    </row>
    <row r="37" spans="5:8" x14ac:dyDescent="0.2">
      <c r="E37" s="12">
        <v>3.5151485326012449E-2</v>
      </c>
      <c r="F37" s="19">
        <v>7876.7757744994015</v>
      </c>
      <c r="G37" s="12">
        <v>3.85E-2</v>
      </c>
      <c r="H37" s="12">
        <v>6363.7600002111867</v>
      </c>
    </row>
    <row r="38" spans="5:8" x14ac:dyDescent="0.2">
      <c r="E38" s="12">
        <v>3.3918081050646476E-2</v>
      </c>
      <c r="F38" s="19">
        <v>7876.7757744994015</v>
      </c>
      <c r="G38" s="12">
        <v>4.0599999999999997E-2</v>
      </c>
      <c r="H38" s="12">
        <v>6364.5100005436689</v>
      </c>
    </row>
    <row r="39" spans="5:8" x14ac:dyDescent="0.2">
      <c r="E39" s="12">
        <v>3.2768406013657873E-2</v>
      </c>
      <c r="F39" s="19">
        <v>7876.7757744994015</v>
      </c>
      <c r="G39" s="12">
        <v>4.2700000000000002E-2</v>
      </c>
      <c r="H39" s="12">
        <v>6365.5100001487881</v>
      </c>
    </row>
    <row r="40" spans="5:8" x14ac:dyDescent="0.2">
      <c r="E40" s="12">
        <v>3.0687837182611047E-2</v>
      </c>
      <c r="F40" s="19">
        <v>7853.6168658407405</v>
      </c>
      <c r="G40" s="12">
        <v>4.4900000000000002E-2</v>
      </c>
      <c r="H40" s="12">
        <v>6367.4100005300716</v>
      </c>
    </row>
    <row r="41" spans="5:8" x14ac:dyDescent="0.2">
      <c r="E41" s="12">
        <v>2.8855698423324638E-2</v>
      </c>
      <c r="F41" s="19">
        <v>7853.6168658407405</v>
      </c>
      <c r="G41" s="12">
        <v>4.7E-2</v>
      </c>
      <c r="H41" s="12">
        <v>6370.6100001465529</v>
      </c>
    </row>
    <row r="42" spans="5:8" x14ac:dyDescent="0.2">
      <c r="E42" s="13">
        <v>2.7230075073316977E-2</v>
      </c>
      <c r="F42" s="21">
        <v>7718.1959718000144</v>
      </c>
      <c r="G42" s="12">
        <v>4.9099999999999998E-2</v>
      </c>
      <c r="H42" s="12">
        <v>6373.4100000467151</v>
      </c>
    </row>
    <row r="43" spans="5:8" x14ac:dyDescent="0.2">
      <c r="G43" s="12">
        <v>5.1299999999999998E-2</v>
      </c>
      <c r="H43" s="12">
        <v>6375.4100005142391</v>
      </c>
    </row>
    <row r="44" spans="5:8" x14ac:dyDescent="0.2">
      <c r="G44" s="13">
        <v>5.3400000000000003E-2</v>
      </c>
      <c r="H44" s="13">
        <v>6376.7600001068786</v>
      </c>
    </row>
    <row r="45" spans="5:8" x14ac:dyDescent="0.2">
      <c r="G45" s="8" t="s">
        <v>13</v>
      </c>
      <c r="H45" s="9"/>
    </row>
    <row r="46" spans="5:8" x14ac:dyDescent="0.2">
      <c r="G46" s="11">
        <v>2.5600000000000001E-2</v>
      </c>
      <c r="H46" s="11">
        <v>7900.8100002771243</v>
      </c>
    </row>
    <row r="47" spans="5:8" x14ac:dyDescent="0.2">
      <c r="G47" s="12">
        <v>2.7799999999999998E-2</v>
      </c>
      <c r="H47" s="12">
        <v>7901.6600000672042</v>
      </c>
    </row>
    <row r="48" spans="5:8" x14ac:dyDescent="0.2">
      <c r="G48" s="12">
        <v>2.9899999999999999E-2</v>
      </c>
      <c r="H48" s="12">
        <v>7901.7600001534447</v>
      </c>
    </row>
    <row r="49" spans="7:8" x14ac:dyDescent="0.2">
      <c r="G49" s="12">
        <v>3.2000000000000001E-2</v>
      </c>
      <c r="H49" s="12">
        <v>7901.3600004371256</v>
      </c>
    </row>
    <row r="50" spans="7:8" x14ac:dyDescent="0.2">
      <c r="G50" s="12">
        <v>3.4200000000000001E-2</v>
      </c>
      <c r="H50" s="12">
        <v>7900.5600003758445</v>
      </c>
    </row>
    <row r="51" spans="7:8" x14ac:dyDescent="0.2">
      <c r="G51" s="12">
        <v>3.6299999999999999E-2</v>
      </c>
      <c r="H51" s="12">
        <v>7899.4600000558421</v>
      </c>
    </row>
    <row r="52" spans="7:8" x14ac:dyDescent="0.2">
      <c r="G52" s="12">
        <v>3.85E-2</v>
      </c>
      <c r="H52" s="12">
        <v>7898.3100000070408</v>
      </c>
    </row>
    <row r="53" spans="7:8" x14ac:dyDescent="0.2">
      <c r="G53" s="12">
        <v>4.0599999999999997E-2</v>
      </c>
      <c r="H53" s="12">
        <v>7897.5600003032014</v>
      </c>
    </row>
    <row r="54" spans="7:8" x14ac:dyDescent="0.2">
      <c r="G54" s="12">
        <v>4.2700000000000002E-2</v>
      </c>
      <c r="H54" s="12">
        <v>7897.9600000195205</v>
      </c>
    </row>
    <row r="55" spans="7:8" x14ac:dyDescent="0.2">
      <c r="G55" s="12">
        <v>4.4900000000000002E-2</v>
      </c>
      <c r="H55" s="12">
        <v>7899.1600004257634</v>
      </c>
    </row>
    <row r="56" spans="7:8" x14ac:dyDescent="0.2">
      <c r="G56" s="12">
        <v>4.7E-2</v>
      </c>
      <c r="H56" s="12">
        <v>7900.2100003883243</v>
      </c>
    </row>
    <row r="57" spans="7:8" x14ac:dyDescent="0.2">
      <c r="G57" s="12">
        <v>4.9099999999999998E-2</v>
      </c>
      <c r="H57" s="12">
        <v>7900.9100003633648</v>
      </c>
    </row>
    <row r="58" spans="7:8" x14ac:dyDescent="0.2">
      <c r="G58" s="12">
        <v>5.1299999999999998E-2</v>
      </c>
      <c r="H58" s="12">
        <v>7901.3600004371256</v>
      </c>
    </row>
    <row r="59" spans="7:8" x14ac:dyDescent="0.2">
      <c r="G59" s="12">
        <v>5.3400000000000003E-2</v>
      </c>
      <c r="H59" s="12">
        <v>7901.6600000672042</v>
      </c>
    </row>
    <row r="60" spans="7:8" x14ac:dyDescent="0.2">
      <c r="G60" s="12">
        <v>5.5500000000000001E-2</v>
      </c>
      <c r="H60" s="12">
        <v>7901.909999968484</v>
      </c>
    </row>
    <row r="61" spans="7:8" x14ac:dyDescent="0.2">
      <c r="G61" s="13">
        <v>5.7700000000000001E-2</v>
      </c>
      <c r="H61" s="13">
        <v>7902.0600004121661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SW_picks</vt:lpstr>
      <vt:lpstr>Backazimuth</vt:lpstr>
      <vt:lpstr>All picks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Panning</dc:creator>
  <cp:lastModifiedBy>Mark Panning</cp:lastModifiedBy>
  <dcterms:created xsi:type="dcterms:W3CDTF">2022-05-15T21:51:37Z</dcterms:created>
  <dcterms:modified xsi:type="dcterms:W3CDTF">2022-08-23T21:24:02Z</dcterms:modified>
</cp:coreProperties>
</file>