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esktop\Aircraft Design File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K50" i="1"/>
  <c r="K48" i="1"/>
  <c r="K43" i="1"/>
  <c r="K37" i="1"/>
  <c r="K34" i="1"/>
  <c r="N18" i="1"/>
  <c r="N17" i="1"/>
  <c r="N16" i="1"/>
  <c r="K8" i="1" l="1"/>
  <c r="K9" i="1"/>
  <c r="K11" i="1" s="1"/>
  <c r="K13" i="1" s="1"/>
  <c r="F56" i="1"/>
  <c r="K21" i="1" l="1"/>
  <c r="K18" i="1"/>
  <c r="F20" i="1"/>
  <c r="F15" i="1"/>
  <c r="F14" i="1"/>
  <c r="B32" i="1"/>
  <c r="B34" i="1" s="1"/>
  <c r="B43" i="1"/>
  <c r="B42" i="1"/>
  <c r="B41" i="1"/>
  <c r="B28" i="1"/>
  <c r="F34" i="1" s="1"/>
  <c r="B10" i="1"/>
  <c r="B36" i="1" s="1"/>
  <c r="B35" i="1"/>
  <c r="B29" i="1"/>
  <c r="B31" i="1" s="1"/>
  <c r="B40" i="1" s="1"/>
  <c r="B27" i="1"/>
  <c r="F35" i="1" s="1"/>
  <c r="B33" i="1" l="1"/>
  <c r="B52" i="1" s="1"/>
  <c r="B54" i="1" s="1"/>
  <c r="B55" i="1" s="1"/>
  <c r="B57" i="1" s="1"/>
  <c r="B59" i="1" s="1"/>
  <c r="B39" i="1"/>
  <c r="B38" i="1"/>
  <c r="B30" i="1"/>
  <c r="B37" i="1" l="1"/>
  <c r="F11" i="1" s="1"/>
  <c r="F12" i="1"/>
  <c r="F17" i="1" s="1"/>
  <c r="B61" i="1"/>
  <c r="B60" i="1"/>
  <c r="F38" i="1"/>
  <c r="F31" i="1" s="1"/>
  <c r="F18" i="1" l="1"/>
  <c r="F6" i="1"/>
  <c r="F42" i="1" s="1"/>
  <c r="F32" i="1" s="1"/>
</calcChain>
</file>

<file path=xl/sharedStrings.xml><?xml version="1.0" encoding="utf-8"?>
<sst xmlns="http://schemas.openxmlformats.org/spreadsheetml/2006/main" count="128" uniqueCount="123">
  <si>
    <t>Input Values</t>
  </si>
  <si>
    <t xml:space="preserve">Payload (in tonne) = </t>
  </si>
  <si>
    <t xml:space="preserve">no. of Pilot  = </t>
  </si>
  <si>
    <t>Service Ceiling (in feet) =</t>
  </si>
  <si>
    <t xml:space="preserve">Payload (in lbs) = </t>
  </si>
  <si>
    <t>Range R1 (in NM) =</t>
  </si>
  <si>
    <t>Range R2 (in NM) =</t>
  </si>
  <si>
    <t>Max. Speed (in Mach) =</t>
  </si>
  <si>
    <t xml:space="preserve">Cruise Speed (in Mach) = </t>
  </si>
  <si>
    <t xml:space="preserve">Density at Service Ceiling Alt. (Kg/m^3) = </t>
  </si>
  <si>
    <t xml:space="preserve">Temp. at  Service Ceiling Alt. (in Kelvin) = </t>
  </si>
  <si>
    <t xml:space="preserve">R1 (in feet) = </t>
  </si>
  <si>
    <t xml:space="preserve">R2 (in feet) = </t>
  </si>
  <si>
    <t xml:space="preserve">R1WA (Without Afterburner) (ft) = </t>
  </si>
  <si>
    <t xml:space="preserve">R2WA (Without Afterburner) (ft) = </t>
  </si>
  <si>
    <t>R1AB (With Afterburner) (ft) =</t>
  </si>
  <si>
    <t>R2AB (With Afterburner) (ft) =</t>
  </si>
  <si>
    <t xml:space="preserve">Pilot weight (in lbs) = </t>
  </si>
  <si>
    <t>Cruise SFC =</t>
  </si>
  <si>
    <t xml:space="preserve">Loiter SFC = </t>
  </si>
  <si>
    <t xml:space="preserve">L/D max (For Subsonic Flight Delta Wing) = </t>
  </si>
  <si>
    <t xml:space="preserve">L/D max (For Supersonic Flight Delta Wing) = </t>
  </si>
  <si>
    <t xml:space="preserve">L/D (Loiter) = </t>
  </si>
  <si>
    <t xml:space="preserve">L/D (Cruise) (without AB) = </t>
  </si>
  <si>
    <t xml:space="preserve">Afterbuner (AB) time (in min.) (in R1) = </t>
  </si>
  <si>
    <t xml:space="preserve">Afterbuner (AB) time (in min.) (in R2) = </t>
  </si>
  <si>
    <t xml:space="preserve">L/D (Cruise) (with AB) = </t>
  </si>
  <si>
    <t xml:space="preserve">True Air Speed(TAS) (knots) (Max.speed) = </t>
  </si>
  <si>
    <t xml:space="preserve">True Air Speed(TAS) (m/s) (Max.speed) = </t>
  </si>
  <si>
    <t xml:space="preserve">True Air Speed(TAS) (ft/s) (Max.speed) = </t>
  </si>
  <si>
    <t xml:space="preserve">True Air Speed(TAS) (knots) (Cruise speed) = </t>
  </si>
  <si>
    <t xml:space="preserve">True Air Speed(TAS) (m/s) (Cruise speed) = </t>
  </si>
  <si>
    <t xml:space="preserve">True Air Speed(TAS) (ft/s) (Cruise speed) = </t>
  </si>
  <si>
    <t xml:space="preserve">Afterburner SFC = </t>
  </si>
  <si>
    <t xml:space="preserve">Combat time (with AB) (in min) = </t>
  </si>
  <si>
    <t xml:space="preserve">Combat time (without AB) (in min) = </t>
  </si>
  <si>
    <t xml:space="preserve">Loiter Endurance (in min) = </t>
  </si>
  <si>
    <t>Weight calculations</t>
  </si>
  <si>
    <t xml:space="preserve">W14/Wz = </t>
  </si>
  <si>
    <t xml:space="preserve">W1/Wz (takeoff) = </t>
  </si>
  <si>
    <t xml:space="preserve">W2/W1 (Climb) = </t>
  </si>
  <si>
    <t xml:space="preserve">W3/W2 (Cruise without AB) = </t>
  </si>
  <si>
    <t xml:space="preserve">W4/W3 (Cruise with AB) = </t>
  </si>
  <si>
    <t xml:space="preserve">W5/W4 (Desent) = </t>
  </si>
  <si>
    <t>W6/W5 (Combat with AB) =</t>
  </si>
  <si>
    <t xml:space="preserve">W7/W6 (Combat without AB) = </t>
  </si>
  <si>
    <t>Weight fractions on complete flight path</t>
  </si>
  <si>
    <t xml:space="preserve">W8/W7 (Climb) = </t>
  </si>
  <si>
    <t xml:space="preserve">W9/W8 (Cruise with AB) = </t>
  </si>
  <si>
    <t xml:space="preserve">W10/W9 (Cruise without AB) = </t>
  </si>
  <si>
    <t xml:space="preserve">W11/W10 (Desent) = </t>
  </si>
  <si>
    <t xml:space="preserve">W12/W11 (Loiter) = </t>
  </si>
  <si>
    <t xml:space="preserve">W13/W12 (Desent) = </t>
  </si>
  <si>
    <t xml:space="preserve">W14/W13 (Landing) = </t>
  </si>
  <si>
    <t xml:space="preserve">Wpeople = </t>
  </si>
  <si>
    <t xml:space="preserve">Wpayload = </t>
  </si>
  <si>
    <t>Wf (Fuel Weight) (lbs) =</t>
  </si>
  <si>
    <t>We (Empty Weight) (lbs) =</t>
  </si>
  <si>
    <t xml:space="preserve">We/Wo (empty weight fraction) = </t>
  </si>
  <si>
    <t xml:space="preserve">a = </t>
  </si>
  <si>
    <t xml:space="preserve">c = </t>
  </si>
  <si>
    <t xml:space="preserve">Wf/Wo (Fuel Fraction) = </t>
  </si>
  <si>
    <t>Wo  = MAX TAKEOFF WEIGHT</t>
  </si>
  <si>
    <r>
      <t xml:space="preserve">Wo (lbs) </t>
    </r>
    <r>
      <rPr>
        <i/>
        <sz val="11"/>
        <color theme="1"/>
        <rFont val="Calibri"/>
        <family val="2"/>
        <scheme val="minor"/>
      </rPr>
      <t>(From Wo_calculated.PY)</t>
    </r>
    <r>
      <rPr>
        <sz val="11"/>
        <color theme="1"/>
        <rFont val="Calibri"/>
        <family val="2"/>
        <scheme val="minor"/>
      </rPr>
      <t xml:space="preserve"> = </t>
    </r>
  </si>
  <si>
    <t>Aircraft Design</t>
  </si>
  <si>
    <t>Wing Calcultions</t>
  </si>
  <si>
    <t xml:space="preserve">W/Sw (Wing Loading) (in N/m^2) = </t>
  </si>
  <si>
    <t xml:space="preserve">W/Sw (Wing Loading) (in lb/ft^2) = </t>
  </si>
  <si>
    <t xml:space="preserve">t/c (Thickness to Chord ratio) (in %) = 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</si>
  <si>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 xml:space="preserve">(Wing Lift Coeff.) = </t>
    </r>
  </si>
  <si>
    <t>Sw (Wing Area) (in Ft^2)</t>
  </si>
  <si>
    <r>
      <rPr>
        <sz val="11"/>
        <color theme="1"/>
        <rFont val="Haettenschweiler"/>
        <family val="2"/>
      </rPr>
      <t>λ</t>
    </r>
    <r>
      <rPr>
        <sz val="11"/>
        <color theme="1"/>
        <rFont val="Calibri"/>
        <family val="2"/>
      </rPr>
      <t xml:space="preserve">  (Taper ratio) = </t>
    </r>
  </si>
  <si>
    <t xml:space="preserve">AR (Aspect ratio)  = </t>
  </si>
  <si>
    <t xml:space="preserve">b (Wing Span) (ft) = </t>
  </si>
  <si>
    <t xml:space="preserve">Cr (root chord) (ft) = </t>
  </si>
  <si>
    <t xml:space="preserve">Ct (tip chord) (ft) = </t>
  </si>
  <si>
    <t xml:space="preserve">C_bar (mean aerodynamic chord) (ft) = </t>
  </si>
  <si>
    <t>Engine calculation</t>
  </si>
  <si>
    <t>T/Wo = Thrust to Weight ratio =  aMmax^c</t>
  </si>
  <si>
    <t xml:space="preserve">T/Wo (for Cruise speed) = </t>
  </si>
  <si>
    <t xml:space="preserve">T/Wo (for Max. speed) = </t>
  </si>
  <si>
    <t xml:space="preserve">T (Thrust) (in lbs) = </t>
  </si>
  <si>
    <t xml:space="preserve">no. of engine = </t>
  </si>
  <si>
    <t xml:space="preserve">T (per engine thrust) (lbs) = </t>
  </si>
  <si>
    <t xml:space="preserve">bypass ratio BPR = </t>
  </si>
  <si>
    <r>
      <t>Length of Engine (L) = 3.06*T</t>
    </r>
    <r>
      <rPr>
        <vertAlign val="super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0.2</t>
    </r>
  </si>
  <si>
    <r>
      <t>Diameter of Engine (D) = 0.288*T</t>
    </r>
    <r>
      <rPr>
        <vertAlign val="super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exp</t>
    </r>
    <r>
      <rPr>
        <vertAlign val="superscript"/>
        <sz val="11"/>
        <color theme="1"/>
        <rFont val="Calibri"/>
        <family val="2"/>
        <scheme val="minor"/>
      </rPr>
      <t>(0.4*BPR)</t>
    </r>
  </si>
  <si>
    <t xml:space="preserve">L (in ft) = </t>
  </si>
  <si>
    <t xml:space="preserve">D (in ft) = </t>
  </si>
  <si>
    <t xml:space="preserve">Engine Capture Area </t>
  </si>
  <si>
    <t>PARTH</t>
  </si>
  <si>
    <t xml:space="preserve">Ac = Air Capture area </t>
  </si>
  <si>
    <t>M* = Engine mass flow</t>
  </si>
  <si>
    <t xml:space="preserve">Ac/M* = </t>
  </si>
  <si>
    <t xml:space="preserve">M* = </t>
  </si>
  <si>
    <t xml:space="preserve">Dmax (ft) = </t>
  </si>
  <si>
    <t xml:space="preserve">Ac (ft^2) = </t>
  </si>
  <si>
    <t>Fuselage and Landing gear Calculations</t>
  </si>
  <si>
    <t xml:space="preserve">A = </t>
  </si>
  <si>
    <r>
      <t>Fuselage Length   L = A*Wo</t>
    </r>
    <r>
      <rPr>
        <vertAlign val="superscript"/>
        <sz val="11"/>
        <color theme="1"/>
        <rFont val="Calibri"/>
        <family val="2"/>
        <scheme val="minor"/>
      </rPr>
      <t>c</t>
    </r>
  </si>
  <si>
    <t xml:space="preserve">L (in feet) = </t>
  </si>
  <si>
    <t>Nose Radom Length = 3 * Engine Diameter</t>
  </si>
  <si>
    <t xml:space="preserve">Nose radom length  = </t>
  </si>
  <si>
    <t>(this length in included in fuselage length)</t>
  </si>
  <si>
    <t>63 to 65 % for twin engine</t>
  </si>
  <si>
    <t>56 to 58 % for single engine</t>
  </si>
  <si>
    <t xml:space="preserve">C.G. Location (65%) (ft) = </t>
  </si>
  <si>
    <t xml:space="preserve">Weight on Nose Landing gear = </t>
  </si>
  <si>
    <t>(20% of Wo)</t>
  </si>
  <si>
    <t xml:space="preserve">Weight on Main Landing gear = </t>
  </si>
  <si>
    <t>(90% of Wo)</t>
  </si>
  <si>
    <t>C.G. Location on Fuselage  in % of Fuselage length</t>
  </si>
  <si>
    <t>Specifications</t>
  </si>
  <si>
    <t xml:space="preserve">Twin Engine </t>
  </si>
  <si>
    <t xml:space="preserve">Delta wing </t>
  </si>
  <si>
    <t>Multirol Fighter</t>
  </si>
  <si>
    <t>wing dihedral zero</t>
  </si>
  <si>
    <t>single vertical fin</t>
  </si>
  <si>
    <t xml:space="preserve">W total payload = </t>
  </si>
  <si>
    <t>Low wing configuration</t>
  </si>
  <si>
    <t xml:space="preserve">canard control </t>
  </si>
  <si>
    <t>mid canard anhedral</t>
  </si>
  <si>
    <t>chin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</si>
</sst>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u/>
      <sz val="16"/>
      <color rgb="FF00B050"/>
      <name val="Calibri"/>
      <family val="2"/>
      <scheme val="minor"/>
    </font>
    <font>
      <sz val="14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8"/>
      <color rgb="FF00B050"/>
      <name val="Calibri"/>
      <family val="2"/>
      <scheme val="minor"/>
    </font>
    <font>
      <b/>
      <i/>
      <u/>
      <sz val="12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Haettenschweiler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i/>
      <u/>
      <sz val="22"/>
      <color theme="7" tint="0.79998168889431442"/>
      <name val="Kristen ITC"/>
      <family val="4"/>
    </font>
    <font>
      <b/>
      <i/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 applyAlignment="1"/>
    <xf numFmtId="0" fontId="11" fillId="3" borderId="0" xfId="0" applyFont="1" applyFill="1" applyAlignment="1">
      <alignment horizontal="center"/>
    </xf>
    <xf numFmtId="0" fontId="12" fillId="2" borderId="0" xfId="0" applyFont="1" applyFill="1" applyAlignment="1"/>
    <xf numFmtId="0" fontId="12" fillId="0" borderId="0" xfId="0" applyFont="1" applyFill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12700</xdr:rowOff>
        </xdr:from>
        <xdr:to>
          <xdr:col>4</xdr:col>
          <xdr:colOff>2241550</xdr:colOff>
          <xdr:row>27</xdr:row>
          <xdr:rowOff>44450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selection activeCell="A2" sqref="A2"/>
    </sheetView>
  </sheetViews>
  <sheetFormatPr defaultRowHeight="14.5" x14ac:dyDescent="0.35"/>
  <cols>
    <col min="1" max="1" width="38.7265625" style="1" bestFit="1" customWidth="1"/>
    <col min="2" max="2" width="13.54296875" style="1" customWidth="1"/>
    <col min="3" max="4" width="8.7265625" style="1"/>
    <col min="5" max="5" width="34.7265625" style="1" bestFit="1" customWidth="1"/>
    <col min="6" max="6" width="11.81640625" style="1" bestFit="1" customWidth="1"/>
    <col min="7" max="7" width="8.7265625" style="1"/>
    <col min="8" max="8" width="22.1796875" style="1" customWidth="1"/>
    <col min="9" max="9" width="14.26953125" style="1" customWidth="1"/>
    <col min="10" max="10" width="27.26953125" style="1" bestFit="1" customWidth="1"/>
    <col min="11" max="11" width="14.1796875" style="1" customWidth="1"/>
    <col min="12" max="12" width="11.26953125" style="1" customWidth="1"/>
    <col min="13" max="13" width="11.6328125" style="1" customWidth="1"/>
    <col min="14" max="19" width="8.7265625" style="1"/>
    <col min="20" max="20" width="28.08984375" style="1" customWidth="1"/>
    <col min="21" max="16384" width="8.7265625" style="1"/>
  </cols>
  <sheetData>
    <row r="1" spans="1:21" ht="29" customHeight="1" x14ac:dyDescent="0.85">
      <c r="A1" s="7" t="s">
        <v>64</v>
      </c>
      <c r="D1" s="6"/>
      <c r="E1" s="12" t="s">
        <v>90</v>
      </c>
      <c r="F1" s="6"/>
      <c r="G1" s="6"/>
      <c r="H1" s="6"/>
      <c r="I1" s="6"/>
      <c r="J1" s="6"/>
      <c r="K1" s="6"/>
    </row>
    <row r="2" spans="1:21" ht="21.5" customHeight="1" x14ac:dyDescent="0.45">
      <c r="D2" s="3"/>
      <c r="E2" s="4"/>
      <c r="F2" s="3"/>
      <c r="G2" s="4"/>
      <c r="H2" s="4"/>
      <c r="I2" s="4"/>
      <c r="J2" s="3"/>
      <c r="K2" s="3"/>
    </row>
    <row r="3" spans="1:21" ht="15.5" x14ac:dyDescent="0.35">
      <c r="J3" s="16" t="s">
        <v>77</v>
      </c>
      <c r="K3" s="16"/>
      <c r="T3" s="13" t="s">
        <v>112</v>
      </c>
      <c r="U3" s="14"/>
    </row>
    <row r="4" spans="1:21" ht="15.5" x14ac:dyDescent="0.35">
      <c r="A4" s="2" t="s">
        <v>0</v>
      </c>
      <c r="E4" s="8" t="s">
        <v>37</v>
      </c>
    </row>
    <row r="5" spans="1:21" x14ac:dyDescent="0.35">
      <c r="T5" s="1" t="s">
        <v>115</v>
      </c>
    </row>
    <row r="6" spans="1:21" x14ac:dyDescent="0.35">
      <c r="A6" s="1" t="s">
        <v>1</v>
      </c>
      <c r="B6" s="1">
        <v>5</v>
      </c>
      <c r="E6" s="1" t="s">
        <v>38</v>
      </c>
      <c r="F6" s="1">
        <f>F9*F10*F11*F12*F13*F14*F15*F16*F17*F18*F19*F20*F21*F22</f>
        <v>0.46890609418941148</v>
      </c>
      <c r="J6" s="15" t="s">
        <v>78</v>
      </c>
      <c r="K6" s="15"/>
      <c r="L6" s="15"/>
      <c r="N6" s="1" t="s">
        <v>59</v>
      </c>
      <c r="O6" s="1">
        <v>0.51400000000000001</v>
      </c>
      <c r="T6" s="1" t="s">
        <v>113</v>
      </c>
    </row>
    <row r="7" spans="1:21" x14ac:dyDescent="0.35">
      <c r="A7" s="1" t="s">
        <v>2</v>
      </c>
      <c r="B7" s="1">
        <v>1</v>
      </c>
      <c r="N7" s="1" t="s">
        <v>60</v>
      </c>
      <c r="O7" s="1">
        <v>0.14099999999999999</v>
      </c>
      <c r="T7" s="1" t="s">
        <v>122</v>
      </c>
    </row>
    <row r="8" spans="1:21" x14ac:dyDescent="0.35">
      <c r="A8" s="1" t="s">
        <v>3</v>
      </c>
      <c r="B8" s="1">
        <v>55000</v>
      </c>
      <c r="E8" s="2" t="s">
        <v>46</v>
      </c>
      <c r="J8" s="5" t="s">
        <v>79</v>
      </c>
      <c r="K8" s="5">
        <f>O6*(B12^O7)</f>
        <v>0.50235553014421297</v>
      </c>
      <c r="T8" s="1" t="s">
        <v>114</v>
      </c>
    </row>
    <row r="9" spans="1:21" x14ac:dyDescent="0.35">
      <c r="A9" s="1" t="s">
        <v>5</v>
      </c>
      <c r="B9" s="1">
        <v>1600</v>
      </c>
      <c r="E9" s="1" t="s">
        <v>39</v>
      </c>
      <c r="F9" s="1">
        <v>0.97</v>
      </c>
      <c r="J9" s="5" t="s">
        <v>80</v>
      </c>
      <c r="K9" s="5">
        <f>O6*(B11^O7)</f>
        <v>0.57805178136074964</v>
      </c>
      <c r="T9" s="1" t="s">
        <v>119</v>
      </c>
    </row>
    <row r="10" spans="1:21" x14ac:dyDescent="0.35">
      <c r="A10" s="1" t="s">
        <v>6</v>
      </c>
      <c r="B10" s="1">
        <f>B9</f>
        <v>1600</v>
      </c>
      <c r="E10" s="1" t="s">
        <v>40</v>
      </c>
      <c r="F10" s="1">
        <v>0.98499999999999999</v>
      </c>
      <c r="T10" s="1" t="s">
        <v>116</v>
      </c>
    </row>
    <row r="11" spans="1:21" x14ac:dyDescent="0.35">
      <c r="A11" s="5" t="s">
        <v>7</v>
      </c>
      <c r="B11" s="5">
        <v>2.2999999999999998</v>
      </c>
      <c r="E11" s="1" t="s">
        <v>41</v>
      </c>
      <c r="F11" s="1">
        <f>EXP((-B37*B17)/(B34*B41*3600))</f>
        <v>0.73567085838877733</v>
      </c>
      <c r="J11" s="1" t="s">
        <v>81</v>
      </c>
      <c r="K11" s="1">
        <f>K9*F30</f>
        <v>49499.529503344325</v>
      </c>
      <c r="T11" s="1" t="s">
        <v>117</v>
      </c>
    </row>
    <row r="12" spans="1:21" x14ac:dyDescent="0.35">
      <c r="A12" s="5" t="s">
        <v>8</v>
      </c>
      <c r="B12" s="5">
        <v>0.85</v>
      </c>
      <c r="E12" s="1" t="s">
        <v>42</v>
      </c>
      <c r="F12" s="1">
        <f>EXP((-B39*B19)/(B31*B42*3600))</f>
        <v>0.98377434000765052</v>
      </c>
      <c r="J12" s="5" t="s">
        <v>82</v>
      </c>
      <c r="K12" s="5">
        <v>2</v>
      </c>
      <c r="M12" s="15" t="s">
        <v>89</v>
      </c>
      <c r="N12" s="15"/>
      <c r="T12" s="1" t="s">
        <v>120</v>
      </c>
    </row>
    <row r="13" spans="1:21" x14ac:dyDescent="0.35">
      <c r="A13" s="1" t="s">
        <v>9</v>
      </c>
      <c r="B13" s="1">
        <v>0.14699999999999999</v>
      </c>
      <c r="E13" s="1" t="s">
        <v>43</v>
      </c>
      <c r="F13" s="1">
        <v>0.995</v>
      </c>
      <c r="J13" s="5" t="s">
        <v>83</v>
      </c>
      <c r="K13" s="5">
        <f>K11/K12</f>
        <v>24749.764751672163</v>
      </c>
      <c r="M13" s="15" t="s">
        <v>91</v>
      </c>
      <c r="N13" s="15"/>
      <c r="T13" s="1" t="s">
        <v>121</v>
      </c>
    </row>
    <row r="14" spans="1:21" x14ac:dyDescent="0.35">
      <c r="A14" s="1" t="s">
        <v>10</v>
      </c>
      <c r="B14" s="1">
        <v>216.5</v>
      </c>
      <c r="E14" s="1" t="s">
        <v>44</v>
      </c>
      <c r="F14" s="1">
        <f>EXP((-B22*60*B19)/(B21*3600))</f>
        <v>0.99294169434422974</v>
      </c>
      <c r="M14" s="15" t="s">
        <v>92</v>
      </c>
      <c r="N14" s="15"/>
    </row>
    <row r="15" spans="1:21" x14ac:dyDescent="0.35">
      <c r="A15" s="1" t="s">
        <v>24</v>
      </c>
      <c r="B15" s="1">
        <v>2</v>
      </c>
      <c r="E15" s="1" t="s">
        <v>45</v>
      </c>
      <c r="F15" s="1">
        <f>EXP((-B23*60*B18)/(B20*3600))</f>
        <v>0.99519675782521289</v>
      </c>
      <c r="J15" s="5" t="s">
        <v>84</v>
      </c>
      <c r="K15" s="5">
        <v>0.7</v>
      </c>
      <c r="M15" s="1" t="s">
        <v>93</v>
      </c>
      <c r="N15" s="1">
        <v>4.1500000000000004</v>
      </c>
    </row>
    <row r="16" spans="1:21" x14ac:dyDescent="0.35">
      <c r="A16" s="1" t="s">
        <v>25</v>
      </c>
      <c r="B16" s="1">
        <v>2</v>
      </c>
      <c r="E16" s="1" t="s">
        <v>47</v>
      </c>
      <c r="F16" s="1">
        <v>0.98499999999999999</v>
      </c>
      <c r="M16" s="1" t="s">
        <v>94</v>
      </c>
      <c r="N16" s="1">
        <f>0.183*(K21^2)</f>
        <v>2.7590853767121746</v>
      </c>
    </row>
    <row r="17" spans="1:14" ht="16.5" x14ac:dyDescent="0.35">
      <c r="A17" s="1" t="s">
        <v>18</v>
      </c>
      <c r="B17" s="1">
        <v>0.75</v>
      </c>
      <c r="E17" s="1" t="s">
        <v>48</v>
      </c>
      <c r="F17" s="1">
        <f>F12</f>
        <v>0.98377434000765052</v>
      </c>
      <c r="J17" s="17" t="s">
        <v>85</v>
      </c>
      <c r="K17" s="17"/>
      <c r="M17" s="1" t="s">
        <v>95</v>
      </c>
      <c r="N17" s="1">
        <f>K21/0.8</f>
        <v>4.8536341525659967</v>
      </c>
    </row>
    <row r="18" spans="1:14" x14ac:dyDescent="0.35">
      <c r="A18" s="1" t="s">
        <v>19</v>
      </c>
      <c r="B18" s="1">
        <v>0.65</v>
      </c>
      <c r="E18" s="1" t="s">
        <v>49</v>
      </c>
      <c r="F18" s="1">
        <f>F11</f>
        <v>0.73567085838877733</v>
      </c>
      <c r="J18" s="5" t="s">
        <v>87</v>
      </c>
      <c r="K18" s="5">
        <f>(3.06*(K13^0.4)*(B11^0.2))/12</f>
        <v>17.231146615581423</v>
      </c>
      <c r="M18" s="5" t="s">
        <v>96</v>
      </c>
      <c r="N18" s="5">
        <f>N15*N16</f>
        <v>11.450204313355526</v>
      </c>
    </row>
    <row r="19" spans="1:14" x14ac:dyDescent="0.35">
      <c r="A19" s="1" t="s">
        <v>33</v>
      </c>
      <c r="B19" s="1">
        <v>1.7</v>
      </c>
      <c r="E19" s="1" t="s">
        <v>50</v>
      </c>
      <c r="F19" s="1">
        <v>0.995</v>
      </c>
      <c r="J19" s="11"/>
      <c r="K19" s="11"/>
    </row>
    <row r="20" spans="1:14" ht="16.5" x14ac:dyDescent="0.35">
      <c r="A20" s="1" t="s">
        <v>20</v>
      </c>
      <c r="B20" s="1">
        <v>9</v>
      </c>
      <c r="E20" s="1" t="s">
        <v>51</v>
      </c>
      <c r="F20" s="1">
        <f>EXP((-B24*60*B18)/(B20*3600))</f>
        <v>0.98210646937215562</v>
      </c>
      <c r="J20" s="17" t="s">
        <v>86</v>
      </c>
      <c r="K20" s="17"/>
    </row>
    <row r="21" spans="1:14" x14ac:dyDescent="0.35">
      <c r="A21" s="1" t="s">
        <v>21</v>
      </c>
      <c r="B21" s="1">
        <v>4</v>
      </c>
      <c r="E21" s="1" t="s">
        <v>52</v>
      </c>
      <c r="F21" s="1">
        <v>0.995</v>
      </c>
      <c r="J21" s="5" t="s">
        <v>88</v>
      </c>
      <c r="K21" s="5">
        <f>(0.288*(K13^0.5)*EXP(0.04*K15))/12</f>
        <v>3.8829073220527976</v>
      </c>
    </row>
    <row r="22" spans="1:14" x14ac:dyDescent="0.35">
      <c r="A22" s="1" t="s">
        <v>34</v>
      </c>
      <c r="B22" s="1">
        <v>1</v>
      </c>
      <c r="E22" s="1" t="s">
        <v>53</v>
      </c>
      <c r="F22" s="1">
        <v>0.995</v>
      </c>
    </row>
    <row r="23" spans="1:14" x14ac:dyDescent="0.35">
      <c r="A23" s="1" t="s">
        <v>35</v>
      </c>
      <c r="B23" s="1">
        <v>4</v>
      </c>
    </row>
    <row r="24" spans="1:14" x14ac:dyDescent="0.35">
      <c r="A24" s="1" t="s">
        <v>36</v>
      </c>
      <c r="B24" s="1">
        <v>15</v>
      </c>
    </row>
    <row r="27" spans="1:14" x14ac:dyDescent="0.35">
      <c r="A27" s="1" t="s">
        <v>4</v>
      </c>
      <c r="B27" s="1">
        <f>(B6*2204.622)</f>
        <v>11023.109999999999</v>
      </c>
    </row>
    <row r="28" spans="1:14" x14ac:dyDescent="0.35">
      <c r="A28" s="1" t="s">
        <v>17</v>
      </c>
      <c r="B28" s="1">
        <f>B7*189.598</f>
        <v>189.59800000000001</v>
      </c>
    </row>
    <row r="29" spans="1:14" x14ac:dyDescent="0.35">
      <c r="A29" s="1" t="s">
        <v>27</v>
      </c>
      <c r="B29" s="1">
        <f>39*B11*(B14^0.5)</f>
        <v>1319.8403255697256</v>
      </c>
      <c r="E29" s="1" t="s">
        <v>62</v>
      </c>
    </row>
    <row r="30" spans="1:14" x14ac:dyDescent="0.35">
      <c r="A30" s="1" t="s">
        <v>28</v>
      </c>
      <c r="B30" s="1">
        <f>B29*0.51444</f>
        <v>678.97865708608958</v>
      </c>
      <c r="E30" s="5" t="s">
        <v>63</v>
      </c>
      <c r="F30" s="5">
        <v>85631.652906286501</v>
      </c>
      <c r="J30" s="18" t="s">
        <v>97</v>
      </c>
      <c r="K30" s="19"/>
    </row>
    <row r="31" spans="1:14" x14ac:dyDescent="0.35">
      <c r="A31" s="1" t="s">
        <v>29</v>
      </c>
      <c r="B31" s="1">
        <f>B29*1.68781</f>
        <v>2227.6396998998384</v>
      </c>
      <c r="E31" s="5" t="s">
        <v>57</v>
      </c>
      <c r="F31" s="5">
        <f>F38*F30</f>
        <v>26211.78897672379</v>
      </c>
    </row>
    <row r="32" spans="1:14" x14ac:dyDescent="0.35">
      <c r="A32" s="1" t="s">
        <v>30</v>
      </c>
      <c r="B32" s="1">
        <f>39*B12*(B14^0.5)</f>
        <v>487.76707684098562</v>
      </c>
      <c r="E32" s="5" t="s">
        <v>56</v>
      </c>
      <c r="F32" s="5">
        <f>F42*F30</f>
        <v>48207.155943197315</v>
      </c>
    </row>
    <row r="33" spans="1:15" ht="16.5" x14ac:dyDescent="0.35">
      <c r="A33" s="1" t="s">
        <v>31</v>
      </c>
      <c r="B33" s="1">
        <f>B32*0.51444</f>
        <v>250.92689501007663</v>
      </c>
      <c r="J33" s="5" t="s">
        <v>99</v>
      </c>
      <c r="K33" s="5"/>
      <c r="N33" s="1" t="s">
        <v>98</v>
      </c>
      <c r="O33" s="1">
        <v>0.93</v>
      </c>
    </row>
    <row r="34" spans="1:15" x14ac:dyDescent="0.35">
      <c r="A34" s="1" t="s">
        <v>32</v>
      </c>
      <c r="B34" s="1">
        <f>B32*1.68781</f>
        <v>823.25814996298391</v>
      </c>
      <c r="E34" s="1" t="s">
        <v>54</v>
      </c>
      <c r="F34" s="1">
        <f>B28</f>
        <v>189.59800000000001</v>
      </c>
      <c r="J34" s="5" t="s">
        <v>100</v>
      </c>
      <c r="K34" s="5">
        <f>O33*(F30^O34)</f>
        <v>78.020788682275509</v>
      </c>
      <c r="N34" s="1" t="s">
        <v>60</v>
      </c>
      <c r="O34" s="1">
        <v>0.39</v>
      </c>
    </row>
    <row r="35" spans="1:15" x14ac:dyDescent="0.35">
      <c r="A35" s="1" t="s">
        <v>11</v>
      </c>
      <c r="B35" s="1">
        <f>B9*6076.11549</f>
        <v>9721784.784</v>
      </c>
      <c r="E35" s="1" t="s">
        <v>55</v>
      </c>
      <c r="F35" s="1">
        <f>B27</f>
        <v>11023.109999999999</v>
      </c>
    </row>
    <row r="36" spans="1:15" x14ac:dyDescent="0.35">
      <c r="A36" s="1" t="s">
        <v>12</v>
      </c>
      <c r="B36" s="1">
        <f>B10*6076.11549</f>
        <v>9721784.784</v>
      </c>
      <c r="E36" s="1" t="s">
        <v>118</v>
      </c>
      <c r="F36" s="1">
        <f>F34+F35</f>
        <v>11212.707999999999</v>
      </c>
      <c r="J36" s="15" t="s">
        <v>101</v>
      </c>
      <c r="K36" s="15"/>
    </row>
    <row r="37" spans="1:15" x14ac:dyDescent="0.35">
      <c r="A37" s="1" t="s">
        <v>13</v>
      </c>
      <c r="B37" s="1">
        <f>B35-B39</f>
        <v>9454468.0200120192</v>
      </c>
      <c r="J37" s="5" t="s">
        <v>102</v>
      </c>
      <c r="K37" s="5">
        <f>3*K21</f>
        <v>11.648721966158393</v>
      </c>
    </row>
    <row r="38" spans="1:15" x14ac:dyDescent="0.35">
      <c r="A38" s="1" t="s">
        <v>14</v>
      </c>
      <c r="B38" s="1">
        <f>B36-B40</f>
        <v>9454468.0200120192</v>
      </c>
      <c r="E38" s="1" t="s">
        <v>58</v>
      </c>
      <c r="F38" s="1">
        <f>F39*(F30^F40)</f>
        <v>0.30609929958270721</v>
      </c>
      <c r="J38" s="15" t="s">
        <v>103</v>
      </c>
      <c r="K38" s="15"/>
    </row>
    <row r="39" spans="1:15" x14ac:dyDescent="0.35">
      <c r="A39" s="1" t="s">
        <v>15</v>
      </c>
      <c r="B39" s="1">
        <f>B31*B15*60</f>
        <v>267316.76398798061</v>
      </c>
      <c r="E39" s="1" t="s">
        <v>59</v>
      </c>
      <c r="F39" s="1">
        <v>1.34</v>
      </c>
    </row>
    <row r="40" spans="1:15" x14ac:dyDescent="0.35">
      <c r="A40" s="1" t="s">
        <v>16</v>
      </c>
      <c r="B40" s="1">
        <f>B31*B16*60</f>
        <v>267316.76398798061</v>
      </c>
      <c r="E40" s="1" t="s">
        <v>60</v>
      </c>
      <c r="F40" s="1">
        <v>-0.13</v>
      </c>
      <c r="J40" s="15" t="s">
        <v>111</v>
      </c>
      <c r="K40" s="15"/>
    </row>
    <row r="41" spans="1:15" x14ac:dyDescent="0.35">
      <c r="A41" s="1" t="s">
        <v>23</v>
      </c>
      <c r="B41" s="1">
        <f>0.866*B20</f>
        <v>7.7939999999999996</v>
      </c>
      <c r="J41" s="1" t="s">
        <v>104</v>
      </c>
    </row>
    <row r="42" spans="1:15" x14ac:dyDescent="0.35">
      <c r="A42" s="1" t="s">
        <v>26</v>
      </c>
      <c r="B42" s="1">
        <f>0.866*B21</f>
        <v>3.464</v>
      </c>
      <c r="E42" s="1" t="s">
        <v>61</v>
      </c>
      <c r="F42" s="1">
        <f>1.06*(1-F6)</f>
        <v>0.56295954015922389</v>
      </c>
      <c r="J42" s="1" t="s">
        <v>105</v>
      </c>
    </row>
    <row r="43" spans="1:15" x14ac:dyDescent="0.35">
      <c r="A43" s="1" t="s">
        <v>22</v>
      </c>
      <c r="B43" s="1">
        <f>B20</f>
        <v>9</v>
      </c>
      <c r="J43" s="5" t="s">
        <v>106</v>
      </c>
      <c r="K43" s="5">
        <f>K34*0.65</f>
        <v>50.713512643479085</v>
      </c>
    </row>
    <row r="48" spans="1:15" x14ac:dyDescent="0.35">
      <c r="J48" s="1" t="s">
        <v>107</v>
      </c>
      <c r="K48" s="1">
        <f>F30*0.2</f>
        <v>17126.330581257302</v>
      </c>
    </row>
    <row r="49" spans="1:11" ht="15.5" x14ac:dyDescent="0.35">
      <c r="A49" s="8" t="s">
        <v>65</v>
      </c>
      <c r="J49" s="1" t="s">
        <v>108</v>
      </c>
    </row>
    <row r="50" spans="1:11" x14ac:dyDescent="0.35">
      <c r="J50" s="1" t="s">
        <v>109</v>
      </c>
      <c r="K50" s="1">
        <f>F30*0.9</f>
        <v>77068.487615657854</v>
      </c>
    </row>
    <row r="51" spans="1:11" x14ac:dyDescent="0.35">
      <c r="J51" s="1" t="s">
        <v>110</v>
      </c>
    </row>
    <row r="52" spans="1:11" ht="16.5" x14ac:dyDescent="0.45">
      <c r="A52" s="1" t="s">
        <v>66</v>
      </c>
      <c r="B52" s="1">
        <f>0.5*B13*(B33^2)*F52</f>
        <v>2776.7259227974523</v>
      </c>
      <c r="E52" s="1" t="s">
        <v>69</v>
      </c>
      <c r="F52" s="1">
        <v>0.6</v>
      </c>
    </row>
    <row r="53" spans="1:11" x14ac:dyDescent="0.35">
      <c r="E53" s="1" t="s">
        <v>68</v>
      </c>
      <c r="F53" s="9">
        <v>0.06</v>
      </c>
    </row>
    <row r="54" spans="1:11" x14ac:dyDescent="0.35">
      <c r="A54" s="5" t="s">
        <v>67</v>
      </c>
      <c r="B54" s="5">
        <f>(B52*2.204)/(9.81*3.28*3.28)</f>
        <v>57.986635404231421</v>
      </c>
      <c r="E54" s="10" t="s">
        <v>71</v>
      </c>
      <c r="F54" s="1">
        <v>0.1</v>
      </c>
    </row>
    <row r="55" spans="1:11" x14ac:dyDescent="0.35">
      <c r="A55" s="5" t="s">
        <v>70</v>
      </c>
      <c r="B55" s="5">
        <f>F30/B54</f>
        <v>1476.748087026235</v>
      </c>
    </row>
    <row r="56" spans="1:11" x14ac:dyDescent="0.35">
      <c r="E56" s="1" t="s">
        <v>72</v>
      </c>
      <c r="F56" s="1">
        <f>F57*(B11^F58)</f>
        <v>2.4482012079011306</v>
      </c>
    </row>
    <row r="57" spans="1:11" x14ac:dyDescent="0.35">
      <c r="A57" s="5" t="s">
        <v>73</v>
      </c>
      <c r="B57" s="5">
        <f>(F56*B55)^0.5</f>
        <v>60.128000552349256</v>
      </c>
      <c r="E57" s="1" t="s">
        <v>59</v>
      </c>
      <c r="F57" s="1">
        <v>4.1100000000000003</v>
      </c>
    </row>
    <row r="58" spans="1:11" x14ac:dyDescent="0.35">
      <c r="E58" s="1" t="s">
        <v>60</v>
      </c>
      <c r="F58" s="1">
        <v>-0.622</v>
      </c>
    </row>
    <row r="59" spans="1:11" x14ac:dyDescent="0.35">
      <c r="A59" s="5" t="s">
        <v>74</v>
      </c>
      <c r="B59" s="5">
        <f>(2*B57)/(F56*(1+F54))</f>
        <v>44.654678306294961</v>
      </c>
    </row>
    <row r="60" spans="1:11" x14ac:dyDescent="0.35">
      <c r="A60" s="5" t="s">
        <v>75</v>
      </c>
      <c r="B60" s="5">
        <f>B59*F54</f>
        <v>4.4654678306294961</v>
      </c>
    </row>
    <row r="61" spans="1:11" x14ac:dyDescent="0.35">
      <c r="A61" s="5" t="s">
        <v>76</v>
      </c>
      <c r="B61" s="5">
        <f>(2*B59*(1+F54+(F54^2)))/(3*(1+F54))</f>
        <v>30.04041995150752</v>
      </c>
    </row>
  </sheetData>
  <mergeCells count="11">
    <mergeCell ref="J30:K30"/>
    <mergeCell ref="J36:K36"/>
    <mergeCell ref="J38:K38"/>
    <mergeCell ref="J40:K40"/>
    <mergeCell ref="J20:K20"/>
    <mergeCell ref="M12:N12"/>
    <mergeCell ref="J3:K3"/>
    <mergeCell ref="J6:L6"/>
    <mergeCell ref="J17:K17"/>
    <mergeCell ref="M13:N13"/>
    <mergeCell ref="M14:N1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4</xdr:col>
                <xdr:colOff>19050</xdr:colOff>
                <xdr:row>24</xdr:row>
                <xdr:rowOff>12700</xdr:rowOff>
              </from>
              <to>
                <xdr:col>4</xdr:col>
                <xdr:colOff>2241550</xdr:colOff>
                <xdr:row>27</xdr:row>
                <xdr:rowOff>44450</xdr:rowOff>
              </to>
            </anchor>
          </objectPr>
        </oleObject>
      </mc:Choice>
      <mc:Fallback>
        <oleObject progId="Equation.3" shapeId="1026" r:id="rId4"/>
      </mc:Fallback>
    </mc:AlternateContent>
  </oleObjec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Sheet1!A6:A6</xm:f>
              <xm:sqref>A7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2018-03-13T05:16:09Z</dcterms:created>
  <dcterms:modified xsi:type="dcterms:W3CDTF">2018-03-31T04:36:17Z</dcterms:modified>
</cp:coreProperties>
</file>