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jj_llano_uniandes_edu_co/Documents/escritorio/Manitoba S.A.S/"/>
    </mc:Choice>
  </mc:AlternateContent>
  <xr:revisionPtr revIDLastSave="0" documentId="8_{577BE33A-AF66-4516-8E4B-9B5145174D1D}" xr6:coauthVersionLast="38" xr6:coauthVersionMax="38" xr10:uidLastSave="{00000000-0000-0000-0000-000000000000}"/>
  <bookViews>
    <workbookView xWindow="0" yWindow="600" windowWidth="20490" windowHeight="7490" xr2:uid="{B5CC4FC4-7ED4-444E-8038-6E8AAC9D2061}"/>
  </bookViews>
  <sheets>
    <sheet name="comparacionAlternativas" sheetId="1" r:id="rId1"/>
    <sheet name="AnalisisDeSalid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1" i="1" l="1"/>
  <c r="T30" i="1"/>
  <c r="S31" i="1"/>
  <c r="S30" i="1"/>
  <c r="S20" i="1"/>
  <c r="R20" i="1"/>
  <c r="S18" i="1"/>
  <c r="R18" i="1"/>
  <c r="S17" i="1"/>
  <c r="R17" i="1"/>
  <c r="S16" i="1"/>
  <c r="R16" i="1"/>
  <c r="F23" i="1"/>
  <c r="E23" i="1"/>
  <c r="O29" i="1" l="1"/>
  <c r="O53" i="1"/>
  <c r="O54" i="1"/>
  <c r="F7" i="1"/>
  <c r="C22" i="1"/>
  <c r="B22" i="1"/>
  <c r="E22" i="1"/>
  <c r="O40" i="1"/>
  <c r="O55" i="1" s="1"/>
  <c r="O38" i="1"/>
  <c r="O39" i="1"/>
  <c r="O37" i="1"/>
  <c r="O52" i="1" s="1"/>
  <c r="J17" i="1"/>
  <c r="J16" i="1"/>
  <c r="I17" i="1"/>
  <c r="I16" i="1"/>
  <c r="H10" i="1"/>
  <c r="H9" i="1"/>
  <c r="H17" i="1"/>
  <c r="H16" i="1"/>
  <c r="G17" i="1"/>
  <c r="G16" i="1"/>
  <c r="F17" i="1"/>
  <c r="F16" i="1"/>
  <c r="E17" i="1"/>
  <c r="E18" i="1" s="1"/>
  <c r="E16" i="1"/>
  <c r="C20" i="1" s="1"/>
  <c r="O28" i="1"/>
  <c r="S3" i="1"/>
  <c r="T3" i="1" s="1"/>
  <c r="O21" i="1"/>
  <c r="O23" i="1" l="1"/>
  <c r="O24" i="1" s="1"/>
  <c r="O41" i="1"/>
  <c r="O56" i="1" s="1"/>
  <c r="D15" i="3"/>
  <c r="E15" i="3"/>
  <c r="D16" i="3"/>
  <c r="B6" i="3" s="1"/>
  <c r="E16" i="3"/>
  <c r="C20" i="3"/>
  <c r="C21" i="3"/>
  <c r="G23" i="1"/>
  <c r="H23" i="1"/>
  <c r="I23" i="1"/>
  <c r="J23" i="1"/>
  <c r="F22" i="1"/>
  <c r="G22" i="1"/>
  <c r="H22" i="1"/>
  <c r="I22" i="1"/>
  <c r="J22" i="1"/>
  <c r="B23" i="1"/>
  <c r="C23" i="1" s="1"/>
  <c r="I4" i="1"/>
  <c r="D7" i="1"/>
  <c r="E7" i="1" s="1"/>
  <c r="I7" i="1"/>
  <c r="B5" i="3" l="1"/>
  <c r="C9" i="3"/>
  <c r="C8" i="3"/>
  <c r="C10" i="3"/>
  <c r="S4" i="1"/>
  <c r="T4" i="1" s="1"/>
  <c r="S5" i="1"/>
  <c r="T5" i="1" s="1"/>
  <c r="T7" i="1" l="1"/>
  <c r="O31" i="1" s="1"/>
  <c r="U7" i="1"/>
  <c r="H7" i="1"/>
  <c r="J7" i="1" s="1"/>
  <c r="K7" i="1" s="1"/>
  <c r="L7" i="1" s="1"/>
  <c r="E9" i="1"/>
  <c r="F9" i="1" s="1"/>
  <c r="D8" i="1"/>
  <c r="C4" i="1"/>
  <c r="D5" i="1" s="1"/>
  <c r="E5" i="1" s="1"/>
  <c r="F4" i="1"/>
  <c r="H4" i="1" s="1"/>
  <c r="J4" i="1" s="1"/>
  <c r="E29" i="1" l="1"/>
  <c r="F29" i="1"/>
  <c r="G29" i="1"/>
  <c r="I29" i="1"/>
  <c r="O33" i="1"/>
  <c r="O43" i="1"/>
  <c r="K4" i="1"/>
  <c r="L4" i="1" s="1"/>
  <c r="O58" i="1" l="1"/>
  <c r="O60" i="1" s="1"/>
  <c r="O45" i="1"/>
  <c r="E28" i="1"/>
  <c r="H28" i="1"/>
  <c r="G28" i="1"/>
  <c r="F28" i="1"/>
  <c r="I28" i="1"/>
  <c r="J28" i="1"/>
  <c r="J29" i="1" l="1"/>
  <c r="H29" i="1"/>
</calcChain>
</file>

<file path=xl/sharedStrings.xml><?xml version="1.0" encoding="utf-8"?>
<sst xmlns="http://schemas.openxmlformats.org/spreadsheetml/2006/main" count="173" uniqueCount="80">
  <si>
    <t>gramos</t>
  </si>
  <si>
    <t>gramos por bache</t>
  </si>
  <si>
    <t>Paquetes por bache</t>
  </si>
  <si>
    <t># baches/dia</t>
  </si>
  <si>
    <t>precio Éxito</t>
  </si>
  <si>
    <t>Precio venta</t>
  </si>
  <si>
    <t>Costo unitario</t>
  </si>
  <si>
    <t>Utilidad marginal</t>
  </si>
  <si>
    <t>Precio éxito MIX</t>
  </si>
  <si>
    <t>Porcentaje arandanos</t>
  </si>
  <si>
    <t>Precio A por MIX</t>
  </si>
  <si>
    <t>precio venta A manitoba</t>
  </si>
  <si>
    <t>img</t>
  </si>
  <si>
    <t>CVME</t>
  </si>
  <si>
    <t>CFME</t>
  </si>
  <si>
    <t>CTME</t>
  </si>
  <si>
    <t>marmita</t>
  </si>
  <si>
    <t>$ kw/hora</t>
  </si>
  <si>
    <t>mezcladora</t>
  </si>
  <si>
    <t>brilladora</t>
  </si>
  <si>
    <t>horas de trabajo/dia</t>
  </si>
  <si>
    <t>horas de trabajo/mes</t>
  </si>
  <si>
    <t>Costo energía</t>
  </si>
  <si>
    <t>paquetes por baches</t>
  </si>
  <si>
    <t>operario</t>
  </si>
  <si>
    <t>Tuberia marmita</t>
  </si>
  <si>
    <t>Alternativa 1</t>
  </si>
  <si>
    <t>Alternativa 2</t>
  </si>
  <si>
    <t>Alternativa 3</t>
  </si>
  <si>
    <t>Alternativa 4</t>
  </si>
  <si>
    <t>Alternativa 5</t>
  </si>
  <si>
    <t>Septiembre</t>
  </si>
  <si>
    <t xml:space="preserve">Producción actual </t>
  </si>
  <si>
    <t>Producción de baches/mes</t>
  </si>
  <si>
    <t>Producción unidades para la venta</t>
  </si>
  <si>
    <t>Utilidades</t>
  </si>
  <si>
    <t>media</t>
  </si>
  <si>
    <t>HW deseado</t>
  </si>
  <si>
    <t>R3</t>
  </si>
  <si>
    <t>R2</t>
  </si>
  <si>
    <t>R1</t>
  </si>
  <si>
    <t>Ro (Arandanos)</t>
  </si>
  <si>
    <t>Ro (mani)</t>
  </si>
  <si>
    <t>A2</t>
  </si>
  <si>
    <t>A3</t>
  </si>
  <si>
    <t>A4</t>
  </si>
  <si>
    <t>A5</t>
  </si>
  <si>
    <t>Bomba hidraulica</t>
  </si>
  <si>
    <t>adecuacion instalaciones</t>
  </si>
  <si>
    <t>disparados manual</t>
  </si>
  <si>
    <t>Total</t>
  </si>
  <si>
    <t>Costos variables (mes)</t>
  </si>
  <si>
    <t>Gasto energético</t>
  </si>
  <si>
    <t>Marmita</t>
  </si>
  <si>
    <t>Operario adicional</t>
  </si>
  <si>
    <t>Potencia Kwh</t>
  </si>
  <si>
    <t>Utilidad actual</t>
  </si>
  <si>
    <t>Bomba hidraulica x2</t>
  </si>
  <si>
    <t>disparados manual x 2</t>
  </si>
  <si>
    <t>Cero Costos</t>
  </si>
  <si>
    <t>Costos de inversión</t>
  </si>
  <si>
    <t>Total /mes</t>
  </si>
  <si>
    <t>Arándanos</t>
  </si>
  <si>
    <t>Maní</t>
  </si>
  <si>
    <t>desviación</t>
  </si>
  <si>
    <t>10 réplicas</t>
  </si>
  <si>
    <t>113 réplicas</t>
  </si>
  <si>
    <t>Producción (baches/día)</t>
  </si>
  <si>
    <t>HW (95%)</t>
  </si>
  <si>
    <t>Situación actual</t>
  </si>
  <si>
    <t>Costos Variables</t>
  </si>
  <si>
    <t>Alternativa 1 + Alternativa 2</t>
  </si>
  <si>
    <t>-Bomba hidráulica 
-Adecuación de instalaciones  
  -Disparador Manual</t>
  </si>
  <si>
    <t>-Marmita</t>
  </si>
  <si>
    <t>-Ninguno</t>
  </si>
  <si>
    <t>-Igual a alternativa 3</t>
  </si>
  <si>
    <t>-Gasto energético</t>
  </si>
  <si>
    <t>-Gasto energético 
-Operario adicional.</t>
  </si>
  <si>
    <t>Maní con chocolate</t>
  </si>
  <si>
    <t xml:space="preserve">Producción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</si>
</sst>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64" formatCode="_-&quot;$&quot;* #,##0_-;\-&quot;$&quot;* #,##0_-;_-&quot;$&quot;* &quot;-&quot;_-;_-@_-"/>
    <numFmt numFmtId="165" formatCode="_-&quot;$&quot;* #,##0.00_-;\-&quot;$&quot;* #,##0.00_-;_-&quot;$&quot;* &quot;-&quot;??_-;_-@_-"/>
    <numFmt numFmtId="166" formatCode="0.000"/>
    <numFmt numFmtId="167" formatCode="_-&quot;$&quot;\ * #,##0_-;\-&quot;$&quot;\ * #,##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164" fontId="0" fillId="0" borderId="0" xfId="1" applyFont="1"/>
    <xf numFmtId="164" fontId="0" fillId="0" borderId="0" xfId="1" applyFont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1" xfId="1" applyFont="1" applyBorder="1" applyAlignment="1"/>
    <xf numFmtId="166" fontId="0" fillId="0" borderId="1" xfId="0" applyNumberFormat="1" applyBorder="1" applyAlignment="1">
      <alignment horizontal="center"/>
    </xf>
    <xf numFmtId="0" fontId="0" fillId="2" borderId="0" xfId="0" applyFill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0" fillId="0" borderId="1" xfId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1" applyFont="1" applyBorder="1"/>
    <xf numFmtId="0" fontId="2" fillId="3" borderId="1" xfId="0" applyFont="1" applyFill="1" applyBorder="1" applyAlignment="1">
      <alignment horizontal="center"/>
    </xf>
    <xf numFmtId="165" fontId="0" fillId="0" borderId="1" xfId="1" applyNumberFormat="1" applyFont="1" applyBorder="1" applyAlignment="1"/>
    <xf numFmtId="166" fontId="0" fillId="0" borderId="1" xfId="0" applyNumberFormat="1" applyBorder="1" applyAlignment="1">
      <alignment horizontal="left" indent="3"/>
    </xf>
    <xf numFmtId="0" fontId="2" fillId="0" borderId="1" xfId="0" applyFont="1" applyFill="1" applyBorder="1" applyAlignment="1">
      <alignment horizontal="center"/>
    </xf>
    <xf numFmtId="164" fontId="0" fillId="0" borderId="1" xfId="1" applyFont="1" applyFill="1" applyBorder="1" applyAlignment="1">
      <alignment horizontal="center"/>
    </xf>
    <xf numFmtId="164" fontId="2" fillId="0" borderId="1" xfId="1" applyFont="1" applyFill="1" applyBorder="1" applyAlignment="1">
      <alignment horizontal="center"/>
    </xf>
    <xf numFmtId="164" fontId="0" fillId="0" borderId="1" xfId="0" applyNumberFormat="1" applyFill="1" applyBorder="1"/>
    <xf numFmtId="164" fontId="2" fillId="0" borderId="1" xfId="0" applyNumberFormat="1" applyFont="1" applyFill="1" applyBorder="1"/>
    <xf numFmtId="164" fontId="0" fillId="0" borderId="1" xfId="1" applyFont="1" applyFill="1" applyBorder="1"/>
    <xf numFmtId="41" fontId="0" fillId="0" borderId="1" xfId="2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9" fontId="0" fillId="0" borderId="1" xfId="3" applyNumberFormat="1" applyFont="1" applyBorder="1" applyAlignment="1">
      <alignment horizontal="center"/>
    </xf>
    <xf numFmtId="9" fontId="0" fillId="0" borderId="1" xfId="3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4">
    <cellStyle name="Millares [0]" xfId="2" builtinId="6"/>
    <cellStyle name="Moneda [0]" xfId="1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Maní con chocolate</a:t>
            </a:r>
          </a:p>
        </c:rich>
      </c:tx>
      <c:layout>
        <c:manualLayout>
          <c:xMode val="edge"/>
          <c:yMode val="edge"/>
          <c:x val="0.37391943591796789"/>
          <c:y val="4.4077127337432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comparacionAlternativas!$E$32</c:f>
              <c:strCache>
                <c:ptCount val="1"/>
                <c:pt idx="0">
                  <c:v>Maní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comparacionAlternativas!$D$33:$D$38</c:f>
              <c:strCache>
                <c:ptCount val="6"/>
                <c:pt idx="0">
                  <c:v>Situación actual</c:v>
                </c:pt>
                <c:pt idx="1">
                  <c:v>Alternativa 1</c:v>
                </c:pt>
                <c:pt idx="2">
                  <c:v>Alternativa 2</c:v>
                </c:pt>
                <c:pt idx="3">
                  <c:v>Alternativa 3</c:v>
                </c:pt>
                <c:pt idx="4">
                  <c:v>Alternativa 4</c:v>
                </c:pt>
                <c:pt idx="5">
                  <c:v>Alternativa 5</c:v>
                </c:pt>
              </c:strCache>
            </c:strRef>
          </c:cat>
          <c:val>
            <c:numRef>
              <c:f>comparacionAlternativas!$E$33:$E$38</c:f>
              <c:numCache>
                <c:formatCode>_(* #,##0_);_(* \(#,##0\);_(* "-"_);_(@_)</c:formatCode>
                <c:ptCount val="6"/>
                <c:pt idx="0">
                  <c:v>194400</c:v>
                </c:pt>
                <c:pt idx="1">
                  <c:v>226800</c:v>
                </c:pt>
                <c:pt idx="2">
                  <c:v>366120</c:v>
                </c:pt>
                <c:pt idx="3">
                  <c:v>448092</c:v>
                </c:pt>
                <c:pt idx="4">
                  <c:v>407160</c:v>
                </c:pt>
                <c:pt idx="5">
                  <c:v>862920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9-4D74-98CB-AA0490D6A2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"/>
        <c:axId val="687672368"/>
        <c:axId val="687674664"/>
      </c:barChart>
      <c:catAx>
        <c:axId val="68767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7674664"/>
        <c:crosses val="autoZero"/>
        <c:auto val="1"/>
        <c:lblAlgn val="ctr"/>
        <c:lblOffset val="100"/>
        <c:noMultiLvlLbl val="0"/>
      </c:catAx>
      <c:valAx>
        <c:axId val="68767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Unidades (50g)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767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Arándanos</a:t>
            </a:r>
          </a:p>
        </c:rich>
      </c:tx>
      <c:layout>
        <c:manualLayout>
          <c:xMode val="edge"/>
          <c:yMode val="edge"/>
          <c:x val="0.46667305717220131"/>
          <c:y val="4.4077256300409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comparacionAlternativas!$F$32</c:f>
              <c:strCache>
                <c:ptCount val="1"/>
                <c:pt idx="0">
                  <c:v>Arándanos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comparacionAlternativas!$D$33:$D$38</c:f>
              <c:strCache>
                <c:ptCount val="6"/>
                <c:pt idx="0">
                  <c:v>Situación actual</c:v>
                </c:pt>
                <c:pt idx="1">
                  <c:v>Alternativa 1</c:v>
                </c:pt>
                <c:pt idx="2">
                  <c:v>Alternativa 2</c:v>
                </c:pt>
                <c:pt idx="3">
                  <c:v>Alternativa 3</c:v>
                </c:pt>
                <c:pt idx="4">
                  <c:v>Alternativa 4</c:v>
                </c:pt>
                <c:pt idx="5">
                  <c:v>Alternativa 5</c:v>
                </c:pt>
              </c:strCache>
            </c:strRef>
          </c:cat>
          <c:val>
            <c:numRef>
              <c:f>comparacionAlternativas!$F$33:$F$38</c:f>
              <c:numCache>
                <c:formatCode>_(* #,##0_);_(* \(#,##0\);_(* "-"_);_(@_)</c:formatCode>
                <c:ptCount val="6"/>
                <c:pt idx="0">
                  <c:v>26325</c:v>
                </c:pt>
                <c:pt idx="1">
                  <c:v>41107.5</c:v>
                </c:pt>
                <c:pt idx="2">
                  <c:v>43132.5</c:v>
                </c:pt>
                <c:pt idx="3">
                  <c:v>46574.999999999993</c:v>
                </c:pt>
                <c:pt idx="4">
                  <c:v>34762.5</c:v>
                </c:pt>
                <c:pt idx="5">
                  <c:v>84391.125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2-48A7-BC67-2918728BF7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"/>
        <c:axId val="687672368"/>
        <c:axId val="687674664"/>
      </c:barChart>
      <c:catAx>
        <c:axId val="68767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7674664"/>
        <c:crosses val="autoZero"/>
        <c:auto val="1"/>
        <c:lblAlgn val="ctr"/>
        <c:lblOffset val="100"/>
        <c:noMultiLvlLbl val="0"/>
      </c:catAx>
      <c:valAx>
        <c:axId val="68767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Unidades (200g)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767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Maní con chocolate</a:t>
            </a:r>
          </a:p>
        </c:rich>
      </c:tx>
      <c:layout>
        <c:manualLayout>
          <c:xMode val="edge"/>
          <c:yMode val="edge"/>
          <c:x val="0.3899096675415573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comparacionAlternativas!$I$32</c:f>
              <c:strCache>
                <c:ptCount val="1"/>
                <c:pt idx="0">
                  <c:v>Maní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comparacionAlternativas!$H$33:$H$38</c:f>
              <c:strCache>
                <c:ptCount val="6"/>
                <c:pt idx="0">
                  <c:v>Situación actual</c:v>
                </c:pt>
                <c:pt idx="1">
                  <c:v>Alternativa 1</c:v>
                </c:pt>
                <c:pt idx="2">
                  <c:v>Alternativa 2</c:v>
                </c:pt>
                <c:pt idx="3">
                  <c:v>Alternativa 3</c:v>
                </c:pt>
                <c:pt idx="4">
                  <c:v>Alternativa 4</c:v>
                </c:pt>
                <c:pt idx="5">
                  <c:v>Alternativa 5</c:v>
                </c:pt>
              </c:strCache>
            </c:strRef>
          </c:cat>
          <c:val>
            <c:numRef>
              <c:f>comparacionAlternativas!$I$33:$I$38</c:f>
              <c:numCache>
                <c:formatCode>_-"$"* #,##0_-;\-"$"* #,##0_-;_-"$"* "-"_-;_-@_-</c:formatCode>
                <c:ptCount val="6"/>
                <c:pt idx="0">
                  <c:v>29918700.000000011</c:v>
                </c:pt>
                <c:pt idx="1">
                  <c:v>34877400.666666679</c:v>
                </c:pt>
                <c:pt idx="2">
                  <c:v>54688810.333333351</c:v>
                </c:pt>
                <c:pt idx="3">
                  <c:v>67304528.833333358</c:v>
                </c:pt>
                <c:pt idx="4">
                  <c:v>62663055.000000022</c:v>
                </c:pt>
                <c:pt idx="5">
                  <c:v>131147710.33333337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A-4F9F-A87E-63F897457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58346576"/>
        <c:axId val="458349200"/>
      </c:barChart>
      <c:catAx>
        <c:axId val="45834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8349200"/>
        <c:crosses val="autoZero"/>
        <c:auto val="1"/>
        <c:lblAlgn val="ctr"/>
        <c:lblOffset val="100"/>
        <c:noMultiLvlLbl val="0"/>
      </c:catAx>
      <c:valAx>
        <c:axId val="4583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834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Arándanos</a:t>
            </a:r>
          </a:p>
        </c:rich>
      </c:tx>
      <c:layout>
        <c:manualLayout>
          <c:xMode val="edge"/>
          <c:yMode val="edge"/>
          <c:x val="0.4614092469345295"/>
          <c:y val="3.67716027722195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comparacionAlternativas!$J$32</c:f>
              <c:strCache>
                <c:ptCount val="1"/>
                <c:pt idx="0">
                  <c:v>Arándanos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comparacionAlternativas!$H$33:$H$38</c:f>
              <c:strCache>
                <c:ptCount val="6"/>
                <c:pt idx="0">
                  <c:v>Situación actual</c:v>
                </c:pt>
                <c:pt idx="1">
                  <c:v>Alternativa 1</c:v>
                </c:pt>
                <c:pt idx="2">
                  <c:v>Alternativa 2</c:v>
                </c:pt>
                <c:pt idx="3">
                  <c:v>Alternativa 3</c:v>
                </c:pt>
                <c:pt idx="4">
                  <c:v>Alternativa 4</c:v>
                </c:pt>
                <c:pt idx="5">
                  <c:v>Alternativa 5</c:v>
                </c:pt>
              </c:strCache>
            </c:strRef>
          </c:cat>
          <c:val>
            <c:numRef>
              <c:f>comparacionAlternativas!$J$33:$J$38</c:f>
              <c:numCache>
                <c:formatCode>_-"$"* #,##0_-;\-"$"* #,##0_-;_-"$"* "-"_-;_-@_-</c:formatCode>
                <c:ptCount val="6"/>
                <c:pt idx="0">
                  <c:v>7807139.9999999981</c:v>
                </c:pt>
                <c:pt idx="1">
                  <c:v>12177274.717948716</c:v>
                </c:pt>
                <c:pt idx="2">
                  <c:v>11962661.282051278</c:v>
                </c:pt>
                <c:pt idx="3">
                  <c:v>12983594.974358968</c:v>
                </c:pt>
                <c:pt idx="4">
                  <c:v>10309428.461538458</c:v>
                </c:pt>
                <c:pt idx="5">
                  <c:v>24198629.43333333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F-473C-8980-0E9EC12572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axId val="458346576"/>
        <c:axId val="458349200"/>
      </c:barChart>
      <c:catAx>
        <c:axId val="45834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8349200"/>
        <c:crosses val="autoZero"/>
        <c:auto val="1"/>
        <c:lblAlgn val="ctr"/>
        <c:lblOffset val="100"/>
        <c:noMultiLvlLbl val="0"/>
      </c:catAx>
      <c:valAx>
        <c:axId val="4583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834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comparacionAlternativas!$R$15</c:f>
              <c:strCache>
                <c:ptCount val="1"/>
                <c:pt idx="0">
                  <c:v>Costos de inversión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"/>
                  <c:y val="1.85185185185184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F73-4E06-8A01-DBFCD5B468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comparacionAlternativas!$Q$16:$Q$20</c:f>
              <c:strCache>
                <c:ptCount val="5"/>
                <c:pt idx="0">
                  <c:v>Alternativa 1</c:v>
                </c:pt>
                <c:pt idx="1">
                  <c:v>Alternativa 2</c:v>
                </c:pt>
                <c:pt idx="2">
                  <c:v>Alternativa 3</c:v>
                </c:pt>
                <c:pt idx="3">
                  <c:v>Alternativa 4</c:v>
                </c:pt>
                <c:pt idx="4">
                  <c:v>Alternativa 5</c:v>
                </c:pt>
              </c:strCache>
            </c:strRef>
          </c:cat>
          <c:val>
            <c:numRef>
              <c:f>comparacionAlternativas!$R$16:$R$20</c:f>
              <c:numCache>
                <c:formatCode>_-"$"* #,##0_-;\-"$"* #,##0_-;_-"$"* "-"_-;_-@_-</c:formatCode>
                <c:ptCount val="5"/>
                <c:pt idx="0">
                  <c:v>8500000</c:v>
                </c:pt>
                <c:pt idx="1">
                  <c:v>7865000</c:v>
                </c:pt>
                <c:pt idx="2">
                  <c:v>24365000</c:v>
                </c:pt>
                <c:pt idx="3">
                  <c:v>0</c:v>
                </c:pt>
                <c:pt idx="4">
                  <c:v>24365000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3-4E06-8A01-DBFCD5B46862}"/>
            </c:ext>
          </c:extLst>
        </c:ser>
        <c:ser>
          <c:idx val="1"/>
          <c:order val="1"/>
          <c:tx>
            <c:strRef>
              <c:f>comparacionAlternativas!$S$15</c:f>
              <c:strCache>
                <c:ptCount val="1"/>
                <c:pt idx="0">
                  <c:v>Costos Variables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5.0925337632079971E-17"/>
                  <c:y val="1.85185185185184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73-4E06-8A01-DBFCD5B46862}"/>
                </c:ext>
              </c:extLst>
            </c:dLbl>
            <c:dLbl>
              <c:idx val="2"/>
              <c:layout>
                <c:manualLayout>
                  <c:x val="1.3888888888888888E-2"/>
                  <c:y val="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F73-4E06-8A01-DBFCD5B46862}"/>
                </c:ext>
              </c:extLst>
            </c:dLbl>
            <c:dLbl>
              <c:idx val="3"/>
              <c:layout>
                <c:manualLayout>
                  <c:x val="0"/>
                  <c:y val="1.85185185185184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F73-4E06-8A01-DBFCD5B468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comparacionAlternativas!$Q$16:$Q$20</c:f>
              <c:strCache>
                <c:ptCount val="5"/>
                <c:pt idx="0">
                  <c:v>Alternativa 1</c:v>
                </c:pt>
                <c:pt idx="1">
                  <c:v>Alternativa 2</c:v>
                </c:pt>
                <c:pt idx="2">
                  <c:v>Alternativa 3</c:v>
                </c:pt>
                <c:pt idx="3">
                  <c:v>Alternativa 4</c:v>
                </c:pt>
                <c:pt idx="4">
                  <c:v>Alternativa 5</c:v>
                </c:pt>
              </c:strCache>
            </c:strRef>
          </c:cat>
          <c:val>
            <c:numRef>
              <c:f>comparacionAlternativas!$S$16:$S$20</c:f>
              <c:numCache>
                <c:formatCode>_-"$"* #,##0_-;\-"$"* #,##0_-;_-"$"* "-"_-;_-@_-</c:formatCode>
                <c:ptCount val="5"/>
                <c:pt idx="0">
                  <c:v>41624.000000000007</c:v>
                </c:pt>
                <c:pt idx="1">
                  <c:v>2487112</c:v>
                </c:pt>
                <c:pt idx="2">
                  <c:v>2487112</c:v>
                </c:pt>
                <c:pt idx="3">
                  <c:v>0</c:v>
                </c:pt>
                <c:pt idx="4">
                  <c:v>2487112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3-4E06-8A01-DBFCD5B468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"/>
        <c:overlap val="-10"/>
        <c:axId val="779888616"/>
        <c:axId val="779889272"/>
      </c:barChart>
      <c:catAx>
        <c:axId val="77988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79889272"/>
        <c:crosses val="autoZero"/>
        <c:auto val="1"/>
        <c:lblAlgn val="ctr"/>
        <c:lblOffset val="100"/>
        <c:noMultiLvlLbl val="0"/>
      </c:catAx>
      <c:valAx>
        <c:axId val="77988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7988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876300</xdr:colOff>
      <xdr:row>43</xdr:row>
      <xdr:rowOff>90486</xdr:rowOff>
    </xdr:from>
    <xdr:to>
      <xdr:col>4</xdr:col>
      <xdr:colOff>790575</xdr:colOff>
      <xdr:row>58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7B2FA2-E2AC-4B8A-BFC1-4ECD6BD78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1304926</xdr:colOff>
      <xdr:row>43</xdr:row>
      <xdr:rowOff>66675</xdr:rowOff>
    </xdr:from>
    <xdr:to>
      <xdr:col>8</xdr:col>
      <xdr:colOff>723901</xdr:colOff>
      <xdr:row>59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2A95D44-1309-4D55-82F0-2600FC9CA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900112</xdr:colOff>
      <xdr:row>60</xdr:row>
      <xdr:rowOff>109536</xdr:rowOff>
    </xdr:from>
    <xdr:to>
      <xdr:col>8</xdr:col>
      <xdr:colOff>733425</xdr:colOff>
      <xdr:row>75</xdr:row>
      <xdr:rowOff>76199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BDCDDA-FFFB-48C0-96A7-1311927D4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904875</xdr:colOff>
      <xdr:row>60</xdr:row>
      <xdr:rowOff>114300</xdr:rowOff>
    </xdr:from>
    <xdr:to>
      <xdr:col>13</xdr:col>
      <xdr:colOff>814388</xdr:colOff>
      <xdr:row>75</xdr:row>
      <xdr:rowOff>80963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8BBC985-2CA1-42B5-8007-BAE75E84F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8</xdr:row>
      <xdr:rowOff>176211</xdr:rowOff>
    </xdr:from>
    <xdr:to>
      <xdr:col>26</xdr:col>
      <xdr:colOff>619125</xdr:colOff>
      <xdr:row>25</xdr:row>
      <xdr:rowOff>180974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2BCD442-E21B-4344-8EC5-114D34986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1D1D2-8CBB-4F0D-8D9B-8986A1413530}">
  <dimension ref="A2:U60"/>
  <sheetViews>
    <sheetView tabSelected="1" topLeftCell="L1" workbookViewId="0">
      <selection activeCell="T31" sqref="T31"/>
    </sheetView>
  </sheetViews>
  <sheetFormatPr baseColWidth="10" defaultRowHeight="14.5" x14ac:dyDescent="0.35"/>
  <cols>
    <col min="1" max="1" width="15.54296875" bestFit="1" customWidth="1"/>
    <col min="2" max="2" width="15" bestFit="1" customWidth="1"/>
    <col min="3" max="3" width="20.26953125" bestFit="1" customWidth="1"/>
    <col min="4" max="4" width="17.81640625" customWidth="1"/>
    <col min="5" max="5" width="28.54296875" bestFit="1" customWidth="1"/>
    <col min="6" max="9" width="15.26953125" customWidth="1"/>
    <col min="10" max="10" width="16.81640625" customWidth="1"/>
    <col min="11" max="11" width="13.453125" bestFit="1" customWidth="1"/>
    <col min="12" max="12" width="16.26953125" bestFit="1" customWidth="1"/>
    <col min="14" max="14" width="23.26953125" bestFit="1" customWidth="1"/>
    <col min="15" max="15" width="12.54296875" bestFit="1" customWidth="1"/>
    <col min="16" max="17" width="13" bestFit="1" customWidth="1"/>
    <col min="18" max="18" width="20.7265625" customWidth="1"/>
    <col min="19" max="19" width="21.26953125" customWidth="1"/>
    <col min="20" max="20" width="16.7265625" bestFit="1" customWidth="1"/>
  </cols>
  <sheetData>
    <row r="2" spans="1:21" x14ac:dyDescent="0.35">
      <c r="P2" s="6"/>
      <c r="Q2" s="6" t="s">
        <v>55</v>
      </c>
      <c r="R2" s="6" t="s">
        <v>20</v>
      </c>
      <c r="S2" s="6" t="s">
        <v>21</v>
      </c>
      <c r="T2" s="6" t="s">
        <v>22</v>
      </c>
    </row>
    <row r="3" spans="1:21" x14ac:dyDescent="0.35">
      <c r="B3" s="1" t="s">
        <v>4</v>
      </c>
      <c r="C3" t="s">
        <v>5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13</v>
      </c>
      <c r="I3" s="1" t="s">
        <v>14</v>
      </c>
      <c r="J3" s="1" t="s">
        <v>15</v>
      </c>
      <c r="K3" s="1" t="s">
        <v>6</v>
      </c>
      <c r="L3" s="1" t="s">
        <v>7</v>
      </c>
      <c r="P3" s="6" t="s">
        <v>16</v>
      </c>
      <c r="Q3" s="6">
        <v>1.1000000000000001</v>
      </c>
      <c r="R3" s="6">
        <v>11</v>
      </c>
      <c r="S3" s="6">
        <f>R3*24</f>
        <v>264</v>
      </c>
      <c r="T3" s="13">
        <f>S3*$Q$6*Q3</f>
        <v>124872.00000000001</v>
      </c>
    </row>
    <row r="4" spans="1:21" x14ac:dyDescent="0.35">
      <c r="B4" s="1">
        <v>1790</v>
      </c>
      <c r="C4">
        <f>B4*0.8</f>
        <v>1432</v>
      </c>
      <c r="D4" s="1">
        <v>50</v>
      </c>
      <c r="E4" s="1">
        <v>60000</v>
      </c>
      <c r="F4" s="1">
        <f>E4/D4</f>
        <v>1200</v>
      </c>
      <c r="G4" s="1">
        <v>4</v>
      </c>
      <c r="H4">
        <f>3000000/(G4*24) + (G4*24*F4)*4</f>
        <v>492050</v>
      </c>
      <c r="I4">
        <f>(1000000000*0.1)/(G4*24)</f>
        <v>1041666.6666666666</v>
      </c>
      <c r="J4">
        <f>H4+I4</f>
        <v>1533716.6666666665</v>
      </c>
      <c r="K4">
        <f>J4/F4</f>
        <v>1278.0972222222222</v>
      </c>
      <c r="L4">
        <f>C4-K4</f>
        <v>153.90277777777783</v>
      </c>
      <c r="P4" s="6" t="s">
        <v>18</v>
      </c>
      <c r="Q4" s="6">
        <v>3</v>
      </c>
      <c r="R4" s="6">
        <v>22</v>
      </c>
      <c r="S4" s="6">
        <f t="shared" ref="S4:S5" si="0">R4*24</f>
        <v>528</v>
      </c>
      <c r="T4" s="13">
        <f>S4*$Q$6*Q4</f>
        <v>681120</v>
      </c>
    </row>
    <row r="5" spans="1:21" x14ac:dyDescent="0.35">
      <c r="C5" t="s">
        <v>12</v>
      </c>
      <c r="D5" s="4">
        <f>C4/D4</f>
        <v>28.64</v>
      </c>
      <c r="E5" s="5">
        <f>E4*D5</f>
        <v>1718400</v>
      </c>
      <c r="P5" s="6" t="s">
        <v>19</v>
      </c>
      <c r="Q5" s="6">
        <v>3</v>
      </c>
      <c r="R5" s="6">
        <v>22</v>
      </c>
      <c r="S5" s="6">
        <f t="shared" si="0"/>
        <v>528</v>
      </c>
      <c r="T5" s="13">
        <f>S5*$Q$6*Q5</f>
        <v>681120</v>
      </c>
    </row>
    <row r="6" spans="1:21" x14ac:dyDescent="0.35">
      <c r="A6" t="s">
        <v>0</v>
      </c>
      <c r="B6" t="s">
        <v>8</v>
      </c>
      <c r="C6" t="s">
        <v>9</v>
      </c>
      <c r="D6" t="s">
        <v>10</v>
      </c>
      <c r="E6" t="s">
        <v>11</v>
      </c>
      <c r="F6" t="s">
        <v>23</v>
      </c>
      <c r="G6" t="s">
        <v>3</v>
      </c>
      <c r="H6" s="1" t="s">
        <v>13</v>
      </c>
      <c r="I6" s="1" t="s">
        <v>14</v>
      </c>
      <c r="J6" s="1" t="s">
        <v>15</v>
      </c>
      <c r="K6" t="s">
        <v>6</v>
      </c>
      <c r="L6" t="s">
        <v>7</v>
      </c>
      <c r="P6" s="1" t="s">
        <v>17</v>
      </c>
      <c r="Q6" s="1">
        <v>430</v>
      </c>
    </row>
    <row r="7" spans="1:21" x14ac:dyDescent="0.35">
      <c r="A7">
        <v>200</v>
      </c>
      <c r="B7">
        <v>7500</v>
      </c>
      <c r="C7" s="2">
        <v>0.2</v>
      </c>
      <c r="D7">
        <f>B7*C7-650</f>
        <v>850</v>
      </c>
      <c r="E7">
        <f>D7*0.8</f>
        <v>680</v>
      </c>
      <c r="F7">
        <f>30000/(A7*C7)</f>
        <v>750</v>
      </c>
      <c r="G7">
        <v>1.3</v>
      </c>
      <c r="H7">
        <f>30000/(G7*24) + (G7*24*F7)*4</f>
        <v>94561.538461538483</v>
      </c>
      <c r="I7">
        <f>(100000000*0.1)/(G7*24)</f>
        <v>320512.8205128205</v>
      </c>
      <c r="J7">
        <f>H7+I7</f>
        <v>415074.358974359</v>
      </c>
      <c r="K7">
        <f>J7/F7</f>
        <v>553.43247863247871</v>
      </c>
      <c r="L7">
        <f>D7-K7</f>
        <v>296.56752136752129</v>
      </c>
      <c r="T7">
        <f>SUM(T3:T5)</f>
        <v>1487112</v>
      </c>
      <c r="U7">
        <f>T7</f>
        <v>1487112</v>
      </c>
    </row>
    <row r="8" spans="1:21" x14ac:dyDescent="0.35">
      <c r="D8">
        <f>A7*C7</f>
        <v>40</v>
      </c>
    </row>
    <row r="9" spans="1:21" x14ac:dyDescent="0.35">
      <c r="D9" t="s">
        <v>12</v>
      </c>
      <c r="E9" s="3">
        <f>A7*C7</f>
        <v>40</v>
      </c>
      <c r="F9" s="5">
        <f>E9*F7</f>
        <v>30000</v>
      </c>
      <c r="H9">
        <f>27/30</f>
        <v>0.9</v>
      </c>
    </row>
    <row r="10" spans="1:21" x14ac:dyDescent="0.35">
      <c r="H10">
        <f>H9*5</f>
        <v>4.5</v>
      </c>
      <c r="O10" t="s">
        <v>43</v>
      </c>
    </row>
    <row r="11" spans="1:21" x14ac:dyDescent="0.35">
      <c r="O11" t="s">
        <v>44</v>
      </c>
    </row>
    <row r="12" spans="1:21" x14ac:dyDescent="0.35">
      <c r="O12" t="s">
        <v>45</v>
      </c>
    </row>
    <row r="13" spans="1:21" x14ac:dyDescent="0.35">
      <c r="O13" t="s">
        <v>46</v>
      </c>
    </row>
    <row r="14" spans="1:21" x14ac:dyDescent="0.35">
      <c r="E14" s="38" t="s">
        <v>33</v>
      </c>
      <c r="F14" s="38"/>
      <c r="G14" s="38"/>
      <c r="H14" s="38"/>
      <c r="I14" s="38"/>
      <c r="J14" s="38"/>
    </row>
    <row r="15" spans="1:21" x14ac:dyDescent="0.35">
      <c r="A15" t="s">
        <v>16</v>
      </c>
      <c r="B15" s="3">
        <v>7865000</v>
      </c>
      <c r="E15" s="7" t="s">
        <v>32</v>
      </c>
      <c r="F15" s="7" t="s">
        <v>26</v>
      </c>
      <c r="G15" s="7" t="s">
        <v>27</v>
      </c>
      <c r="H15" s="7" t="s">
        <v>28</v>
      </c>
      <c r="I15" s="7" t="s">
        <v>29</v>
      </c>
      <c r="J15" s="7" t="s">
        <v>30</v>
      </c>
      <c r="R15" s="1" t="s">
        <v>60</v>
      </c>
      <c r="S15" s="1" t="s">
        <v>70</v>
      </c>
    </row>
    <row r="16" spans="1:21" x14ac:dyDescent="0.35">
      <c r="A16" t="s">
        <v>24</v>
      </c>
      <c r="B16" s="3">
        <v>1000000</v>
      </c>
      <c r="D16" s="11" t="s">
        <v>63</v>
      </c>
      <c r="E16" s="6">
        <f>6*27</f>
        <v>162</v>
      </c>
      <c r="F16" s="6">
        <f>7*27</f>
        <v>189</v>
      </c>
      <c r="G16" s="6">
        <f>11.3*27</f>
        <v>305.10000000000002</v>
      </c>
      <c r="H16" s="6">
        <f>13.83*27</f>
        <v>373.41</v>
      </c>
      <c r="I16" s="6">
        <f>75.4*4.5</f>
        <v>339.3</v>
      </c>
      <c r="J16" s="6">
        <f>159.8*4.5</f>
        <v>719.1</v>
      </c>
      <c r="N16" s="40" t="s">
        <v>26</v>
      </c>
      <c r="O16" s="40"/>
      <c r="Q16" t="s">
        <v>26</v>
      </c>
      <c r="R16" s="5">
        <f>O21</f>
        <v>8500000</v>
      </c>
      <c r="S16" s="5">
        <f>O24</f>
        <v>41624.000000000007</v>
      </c>
    </row>
    <row r="17" spans="1:20" x14ac:dyDescent="0.35">
      <c r="A17" t="s">
        <v>25</v>
      </c>
      <c r="D17" s="11" t="s">
        <v>62</v>
      </c>
      <c r="E17" s="6">
        <f>1.3*27</f>
        <v>35.1</v>
      </c>
      <c r="F17" s="6">
        <f>2.03*27</f>
        <v>54.809999999999995</v>
      </c>
      <c r="G17" s="6">
        <f>2.13*27</f>
        <v>57.51</v>
      </c>
      <c r="H17" s="6">
        <f>2.3*27</f>
        <v>62.099999999999994</v>
      </c>
      <c r="I17" s="6">
        <f>10.3*4.5</f>
        <v>46.35</v>
      </c>
      <c r="J17" s="6">
        <f>24.73*4.55</f>
        <v>112.5215</v>
      </c>
      <c r="N17" s="38" t="s">
        <v>60</v>
      </c>
      <c r="O17" s="38"/>
      <c r="Q17" t="s">
        <v>27</v>
      </c>
      <c r="R17" s="5">
        <f>O29</f>
        <v>7865000</v>
      </c>
      <c r="S17" s="5">
        <f>O33</f>
        <v>2487112</v>
      </c>
    </row>
    <row r="18" spans="1:20" x14ac:dyDescent="0.35">
      <c r="E18">
        <f>E17*30</f>
        <v>1053</v>
      </c>
      <c r="N18" s="6" t="s">
        <v>47</v>
      </c>
      <c r="O18" s="13">
        <v>5200000</v>
      </c>
      <c r="Q18" t="s">
        <v>28</v>
      </c>
      <c r="R18" s="5">
        <f>O41</f>
        <v>24365000</v>
      </c>
      <c r="S18" s="5">
        <f>O45</f>
        <v>2487112</v>
      </c>
    </row>
    <row r="19" spans="1:20" x14ac:dyDescent="0.35">
      <c r="N19" s="6" t="s">
        <v>48</v>
      </c>
      <c r="O19" s="13">
        <v>1000000</v>
      </c>
      <c r="Q19" t="s">
        <v>29</v>
      </c>
      <c r="R19" s="3">
        <v>0</v>
      </c>
      <c r="S19" s="3">
        <v>0</v>
      </c>
    </row>
    <row r="20" spans="1:20" x14ac:dyDescent="0.35">
      <c r="C20">
        <f>60*E16</f>
        <v>9720</v>
      </c>
      <c r="E20" s="38" t="s">
        <v>34</v>
      </c>
      <c r="F20" s="38"/>
      <c r="G20" s="38"/>
      <c r="H20" s="38"/>
      <c r="I20" s="38"/>
      <c r="J20" s="38"/>
      <c r="N20" s="6" t="s">
        <v>49</v>
      </c>
      <c r="O20" s="13">
        <v>2300000</v>
      </c>
      <c r="Q20" t="s">
        <v>30</v>
      </c>
      <c r="R20" s="5">
        <f>O56</f>
        <v>24365000</v>
      </c>
      <c r="S20" s="5">
        <f>O60</f>
        <v>2487112</v>
      </c>
    </row>
    <row r="21" spans="1:20" x14ac:dyDescent="0.35">
      <c r="E21" s="7" t="s">
        <v>32</v>
      </c>
      <c r="F21" s="7" t="s">
        <v>26</v>
      </c>
      <c r="G21" s="7" t="s">
        <v>27</v>
      </c>
      <c r="H21" s="7" t="s">
        <v>28</v>
      </c>
      <c r="I21" s="7" t="s">
        <v>29</v>
      </c>
      <c r="J21" s="7" t="s">
        <v>30</v>
      </c>
      <c r="N21" s="19" t="s">
        <v>50</v>
      </c>
      <c r="O21" s="21">
        <f>SUM(O18:O20)</f>
        <v>8500000</v>
      </c>
    </row>
    <row r="22" spans="1:20" x14ac:dyDescent="0.35">
      <c r="B22">
        <f>60*6</f>
        <v>360</v>
      </c>
      <c r="C22">
        <f>B22*30</f>
        <v>10800</v>
      </c>
      <c r="D22" s="7" t="s">
        <v>63</v>
      </c>
      <c r="E22" s="6">
        <f>E16*60000/50</f>
        <v>194400</v>
      </c>
      <c r="F22" s="6">
        <f t="shared" ref="F22:J22" si="1">F16*60000/50</f>
        <v>226800</v>
      </c>
      <c r="G22" s="6">
        <f t="shared" si="1"/>
        <v>366120</v>
      </c>
      <c r="H22" s="6">
        <f t="shared" si="1"/>
        <v>448092</v>
      </c>
      <c r="I22" s="6">
        <f t="shared" si="1"/>
        <v>407160</v>
      </c>
      <c r="J22" s="6">
        <f t="shared" si="1"/>
        <v>862920</v>
      </c>
      <c r="N22" s="36" t="s">
        <v>51</v>
      </c>
      <c r="O22" s="37"/>
      <c r="Q22" s="26"/>
      <c r="R22" s="11" t="s">
        <v>60</v>
      </c>
      <c r="S22" s="11" t="s">
        <v>70</v>
      </c>
    </row>
    <row r="23" spans="1:20" ht="57" customHeight="1" x14ac:dyDescent="0.35">
      <c r="B23">
        <f>E17*60</f>
        <v>2106</v>
      </c>
      <c r="C23">
        <f>B23*30</f>
        <v>63180</v>
      </c>
      <c r="D23" s="7" t="s">
        <v>62</v>
      </c>
      <c r="E23" s="6">
        <f>E17*750</f>
        <v>26325</v>
      </c>
      <c r="F23" s="6">
        <f>F17*750</f>
        <v>41107.5</v>
      </c>
      <c r="G23" s="6">
        <f t="shared" ref="G23:J23" si="2">G17*750</f>
        <v>43132.5</v>
      </c>
      <c r="H23" s="6">
        <f t="shared" si="2"/>
        <v>46574.999999999993</v>
      </c>
      <c r="I23" s="6">
        <f t="shared" si="2"/>
        <v>34762.5</v>
      </c>
      <c r="J23" s="6">
        <f t="shared" si="2"/>
        <v>84391.125</v>
      </c>
      <c r="N23" s="14" t="s">
        <v>52</v>
      </c>
      <c r="O23" s="15">
        <f>T3/3</f>
        <v>41624.000000000007</v>
      </c>
      <c r="Q23" s="27" t="s">
        <v>26</v>
      </c>
      <c r="R23" s="29" t="s">
        <v>72</v>
      </c>
      <c r="S23" s="29" t="s">
        <v>76</v>
      </c>
    </row>
    <row r="24" spans="1:20" ht="35.25" customHeight="1" x14ac:dyDescent="0.35">
      <c r="N24" s="19" t="s">
        <v>61</v>
      </c>
      <c r="O24" s="23">
        <f>SUM(O22:O23)</f>
        <v>41624.000000000007</v>
      </c>
      <c r="Q24" s="27" t="s">
        <v>27</v>
      </c>
      <c r="R24" s="29" t="s">
        <v>73</v>
      </c>
      <c r="S24" s="29" t="s">
        <v>77</v>
      </c>
    </row>
    <row r="25" spans="1:20" ht="32.25" customHeight="1" x14ac:dyDescent="0.35">
      <c r="Q25" s="27" t="s">
        <v>28</v>
      </c>
      <c r="R25" s="28" t="s">
        <v>71</v>
      </c>
      <c r="S25" s="28" t="s">
        <v>71</v>
      </c>
    </row>
    <row r="26" spans="1:20" ht="18.75" customHeight="1" x14ac:dyDescent="0.35">
      <c r="A26" s="1" t="s">
        <v>31</v>
      </c>
      <c r="D26" s="34" t="s">
        <v>35</v>
      </c>
      <c r="E26" s="39"/>
      <c r="F26" s="39"/>
      <c r="G26" s="39"/>
      <c r="H26" s="39"/>
      <c r="I26" s="39"/>
      <c r="J26" s="35"/>
      <c r="N26" s="41" t="s">
        <v>27</v>
      </c>
      <c r="O26" s="42"/>
      <c r="Q26" s="27" t="s">
        <v>29</v>
      </c>
      <c r="R26" s="29" t="s">
        <v>74</v>
      </c>
      <c r="S26" s="29" t="s">
        <v>74</v>
      </c>
    </row>
    <row r="27" spans="1:20" ht="21.75" customHeight="1" x14ac:dyDescent="0.35">
      <c r="A27" s="1">
        <v>11484</v>
      </c>
      <c r="D27" s="6"/>
      <c r="E27" s="7" t="s">
        <v>56</v>
      </c>
      <c r="F27" s="7" t="s">
        <v>26</v>
      </c>
      <c r="G27" s="7" t="s">
        <v>27</v>
      </c>
      <c r="H27" s="7" t="s">
        <v>28</v>
      </c>
      <c r="I27" s="7" t="s">
        <v>29</v>
      </c>
      <c r="J27" s="7" t="s">
        <v>30</v>
      </c>
      <c r="N27" s="34" t="s">
        <v>60</v>
      </c>
      <c r="O27" s="35"/>
      <c r="Q27" s="27" t="s">
        <v>30</v>
      </c>
      <c r="R27" s="29" t="s">
        <v>75</v>
      </c>
      <c r="S27" s="29" t="s">
        <v>75</v>
      </c>
    </row>
    <row r="28" spans="1:20" x14ac:dyDescent="0.35">
      <c r="D28" s="11" t="s">
        <v>63</v>
      </c>
      <c r="E28" s="8">
        <f>E22*$L$4</f>
        <v>29918700.000000011</v>
      </c>
      <c r="F28" s="17">
        <f>F22*$L$4-O24*2/3</f>
        <v>34877400.666666679</v>
      </c>
      <c r="G28" s="17">
        <f>G22*$L$4-O33*2/3</f>
        <v>54688810.333333351</v>
      </c>
      <c r="H28" s="17">
        <f>H22*$L$4-O45*2/3</f>
        <v>67304528.833333358</v>
      </c>
      <c r="I28" s="8">
        <f>I22*$L$4</f>
        <v>62663055.000000022</v>
      </c>
      <c r="J28" s="17">
        <f>J22*$L$4-O60*2/3</f>
        <v>131147710.33333337</v>
      </c>
      <c r="N28" s="6" t="s">
        <v>53</v>
      </c>
      <c r="O28" s="13">
        <f>B15</f>
        <v>7865000</v>
      </c>
    </row>
    <row r="29" spans="1:20" x14ac:dyDescent="0.35">
      <c r="D29" s="11" t="s">
        <v>62</v>
      </c>
      <c r="E29" s="8">
        <f>E23*$L$7</f>
        <v>7807139.9999999981</v>
      </c>
      <c r="F29" s="17">
        <f>F23*$L$7-O24*1/3</f>
        <v>12177274.717948716</v>
      </c>
      <c r="G29" s="17">
        <f>G23*$L$7-O33*1/3</f>
        <v>11962661.282051278</v>
      </c>
      <c r="H29" s="17">
        <f>H23*$L$7-O45*1/3</f>
        <v>12983594.974358968</v>
      </c>
      <c r="I29" s="8">
        <f t="shared" ref="I29" si="3">I23*$L$7</f>
        <v>10309428.461538458</v>
      </c>
      <c r="J29" s="17">
        <f>J23*$L$7-O45*1/3</f>
        <v>24198629.43333333</v>
      </c>
      <c r="N29" s="19" t="s">
        <v>50</v>
      </c>
      <c r="O29" s="21">
        <f>SUM(O26:O28)</f>
        <v>7865000</v>
      </c>
      <c r="R29" s="6"/>
      <c r="S29" s="30" t="s">
        <v>79</v>
      </c>
      <c r="T29" s="6" t="s">
        <v>35</v>
      </c>
    </row>
    <row r="30" spans="1:20" x14ac:dyDescent="0.35">
      <c r="N30" s="36" t="s">
        <v>51</v>
      </c>
      <c r="O30" s="37"/>
      <c r="R30" s="6" t="s">
        <v>78</v>
      </c>
      <c r="S30" s="31">
        <f>(J22-E22)/E22</f>
        <v>3.4388888888888891</v>
      </c>
      <c r="T30" s="33">
        <f>J28-E28</f>
        <v>101229010.33333336</v>
      </c>
    </row>
    <row r="31" spans="1:20" x14ac:dyDescent="0.35">
      <c r="N31" s="14" t="s">
        <v>52</v>
      </c>
      <c r="O31" s="24">
        <f>T7</f>
        <v>1487112</v>
      </c>
      <c r="R31" s="6" t="s">
        <v>62</v>
      </c>
      <c r="S31" s="32">
        <f>(J23-E23)/E23</f>
        <v>2.2057407407407408</v>
      </c>
      <c r="T31" s="33">
        <f>J29-E29</f>
        <v>16391489.433333332</v>
      </c>
    </row>
    <row r="32" spans="1:20" x14ac:dyDescent="0.35">
      <c r="D32" s="6"/>
      <c r="E32" s="6" t="s">
        <v>63</v>
      </c>
      <c r="F32" s="6" t="s">
        <v>62</v>
      </c>
      <c r="H32" s="6"/>
      <c r="I32" s="6" t="s">
        <v>63</v>
      </c>
      <c r="J32" s="6" t="s">
        <v>62</v>
      </c>
      <c r="N32" s="14" t="s">
        <v>54</v>
      </c>
      <c r="O32" s="20">
        <v>1000000</v>
      </c>
    </row>
    <row r="33" spans="4:15" x14ac:dyDescent="0.35">
      <c r="D33" s="6" t="s">
        <v>69</v>
      </c>
      <c r="E33" s="25">
        <v>194400</v>
      </c>
      <c r="F33" s="25">
        <v>26325</v>
      </c>
      <c r="H33" s="6" t="s">
        <v>69</v>
      </c>
      <c r="I33" s="13">
        <v>29918700.000000011</v>
      </c>
      <c r="J33" s="13">
        <v>7807139.9999999981</v>
      </c>
      <c r="N33" s="19" t="s">
        <v>61</v>
      </c>
      <c r="O33" s="23">
        <f>SUM(O31:O32)</f>
        <v>2487112</v>
      </c>
    </row>
    <row r="34" spans="4:15" x14ac:dyDescent="0.35">
      <c r="D34" s="6" t="s">
        <v>26</v>
      </c>
      <c r="E34" s="25">
        <v>226800</v>
      </c>
      <c r="F34" s="25">
        <v>41107.5</v>
      </c>
      <c r="H34" s="6" t="s">
        <v>26</v>
      </c>
      <c r="I34" s="13">
        <v>34877400.666666679</v>
      </c>
      <c r="J34" s="13">
        <v>12177274.717948716</v>
      </c>
    </row>
    <row r="35" spans="4:15" x14ac:dyDescent="0.35">
      <c r="D35" s="6" t="s">
        <v>27</v>
      </c>
      <c r="E35" s="25">
        <v>366120</v>
      </c>
      <c r="F35" s="25">
        <v>43132.5</v>
      </c>
      <c r="H35" s="6" t="s">
        <v>27</v>
      </c>
      <c r="I35" s="13">
        <v>54688810.333333351</v>
      </c>
      <c r="J35" s="13">
        <v>11962661.282051278</v>
      </c>
      <c r="N35" s="40" t="s">
        <v>28</v>
      </c>
      <c r="O35" s="40"/>
    </row>
    <row r="36" spans="4:15" x14ac:dyDescent="0.35">
      <c r="D36" s="6" t="s">
        <v>28</v>
      </c>
      <c r="E36" s="25">
        <v>448092</v>
      </c>
      <c r="F36" s="25">
        <v>46574.999999999993</v>
      </c>
      <c r="H36" s="6" t="s">
        <v>28</v>
      </c>
      <c r="I36" s="13">
        <v>67304528.833333358</v>
      </c>
      <c r="J36" s="13">
        <v>12983594.974358968</v>
      </c>
      <c r="N36" s="38" t="s">
        <v>60</v>
      </c>
      <c r="O36" s="38"/>
    </row>
    <row r="37" spans="4:15" x14ac:dyDescent="0.35">
      <c r="D37" s="6" t="s">
        <v>29</v>
      </c>
      <c r="E37" s="25">
        <v>407160</v>
      </c>
      <c r="F37" s="25">
        <v>34762.5</v>
      </c>
      <c r="H37" s="6" t="s">
        <v>29</v>
      </c>
      <c r="I37" s="13">
        <v>62663055.000000022</v>
      </c>
      <c r="J37" s="13">
        <v>10309428.461538458</v>
      </c>
      <c r="N37" s="14" t="s">
        <v>57</v>
      </c>
      <c r="O37" s="20">
        <f>O18*2</f>
        <v>10400000</v>
      </c>
    </row>
    <row r="38" spans="4:15" x14ac:dyDescent="0.35">
      <c r="D38" s="6" t="s">
        <v>30</v>
      </c>
      <c r="E38" s="25">
        <v>862920</v>
      </c>
      <c r="F38" s="25">
        <v>84391.125</v>
      </c>
      <c r="H38" s="6" t="s">
        <v>30</v>
      </c>
      <c r="I38" s="13">
        <v>131147710.33333337</v>
      </c>
      <c r="J38" s="13">
        <v>24198629.43333333</v>
      </c>
      <c r="N38" s="14" t="s">
        <v>48</v>
      </c>
      <c r="O38" s="20">
        <f>1000000+500000</f>
        <v>1500000</v>
      </c>
    </row>
    <row r="39" spans="4:15" x14ac:dyDescent="0.35">
      <c r="N39" s="14" t="s">
        <v>58</v>
      </c>
      <c r="O39" s="20">
        <f>O20*2</f>
        <v>4600000</v>
      </c>
    </row>
    <row r="40" spans="4:15" x14ac:dyDescent="0.35">
      <c r="N40" s="14" t="s">
        <v>53</v>
      </c>
      <c r="O40" s="22">
        <f>O28</f>
        <v>7865000</v>
      </c>
    </row>
    <row r="41" spans="4:15" x14ac:dyDescent="0.35">
      <c r="N41" s="19" t="s">
        <v>50</v>
      </c>
      <c r="O41" s="21">
        <f>SUM(O37:O40)</f>
        <v>24365000</v>
      </c>
    </row>
    <row r="42" spans="4:15" x14ac:dyDescent="0.35">
      <c r="N42" s="36" t="s">
        <v>51</v>
      </c>
      <c r="O42" s="37"/>
    </row>
    <row r="43" spans="4:15" x14ac:dyDescent="0.35">
      <c r="N43" s="14" t="s">
        <v>52</v>
      </c>
      <c r="O43" s="24">
        <f>O31</f>
        <v>1487112</v>
      </c>
    </row>
    <row r="44" spans="4:15" x14ac:dyDescent="0.35">
      <c r="N44" s="14" t="s">
        <v>54</v>
      </c>
      <c r="O44" s="20">
        <v>1000000</v>
      </c>
    </row>
    <row r="45" spans="4:15" x14ac:dyDescent="0.35">
      <c r="N45" s="19" t="s">
        <v>61</v>
      </c>
      <c r="O45" s="23">
        <f>SUM(O43:O44)</f>
        <v>2487112</v>
      </c>
    </row>
    <row r="47" spans="4:15" x14ac:dyDescent="0.35">
      <c r="N47" s="40" t="s">
        <v>29</v>
      </c>
      <c r="O47" s="40"/>
    </row>
    <row r="48" spans="4:15" x14ac:dyDescent="0.35">
      <c r="N48" s="38" t="s">
        <v>59</v>
      </c>
      <c r="O48" s="38"/>
    </row>
    <row r="50" spans="14:15" x14ac:dyDescent="0.35">
      <c r="N50" s="40" t="s">
        <v>30</v>
      </c>
      <c r="O50" s="40"/>
    </row>
    <row r="51" spans="14:15" x14ac:dyDescent="0.35">
      <c r="N51" s="34" t="s">
        <v>60</v>
      </c>
      <c r="O51" s="35"/>
    </row>
    <row r="52" spans="14:15" x14ac:dyDescent="0.35">
      <c r="N52" s="14" t="s">
        <v>57</v>
      </c>
      <c r="O52" s="20">
        <f>O37</f>
        <v>10400000</v>
      </c>
    </row>
    <row r="53" spans="14:15" x14ac:dyDescent="0.35">
      <c r="N53" s="14" t="s">
        <v>48</v>
      </c>
      <c r="O53" s="20">
        <f>O38</f>
        <v>1500000</v>
      </c>
    </row>
    <row r="54" spans="14:15" x14ac:dyDescent="0.35">
      <c r="N54" s="14" t="s">
        <v>58</v>
      </c>
      <c r="O54" s="20">
        <f>O39</f>
        <v>4600000</v>
      </c>
    </row>
    <row r="55" spans="14:15" x14ac:dyDescent="0.35">
      <c r="N55" s="14" t="s">
        <v>53</v>
      </c>
      <c r="O55" s="20">
        <f>O40</f>
        <v>7865000</v>
      </c>
    </row>
    <row r="56" spans="14:15" x14ac:dyDescent="0.35">
      <c r="N56" s="19" t="s">
        <v>50</v>
      </c>
      <c r="O56" s="21">
        <f>O41</f>
        <v>24365000</v>
      </c>
    </row>
    <row r="57" spans="14:15" x14ac:dyDescent="0.35">
      <c r="N57" s="36" t="s">
        <v>51</v>
      </c>
      <c r="O57" s="37"/>
    </row>
    <row r="58" spans="14:15" x14ac:dyDescent="0.35">
      <c r="N58" s="14" t="s">
        <v>52</v>
      </c>
      <c r="O58" s="24">
        <f>O43</f>
        <v>1487112</v>
      </c>
    </row>
    <row r="59" spans="14:15" x14ac:dyDescent="0.35">
      <c r="N59" s="14" t="s">
        <v>54</v>
      </c>
      <c r="O59" s="20">
        <v>1000000</v>
      </c>
    </row>
    <row r="60" spans="14:15" x14ac:dyDescent="0.35">
      <c r="N60" s="19" t="s">
        <v>61</v>
      </c>
      <c r="O60" s="23">
        <f>SUM(O58:O59)</f>
        <v>2487112</v>
      </c>
    </row>
  </sheetData>
  <mergeCells count="17">
    <mergeCell ref="N50:O50"/>
    <mergeCell ref="N57:O57"/>
    <mergeCell ref="N51:O51"/>
    <mergeCell ref="N35:O35"/>
    <mergeCell ref="N36:O36"/>
    <mergeCell ref="N47:O47"/>
    <mergeCell ref="N48:O48"/>
    <mergeCell ref="N42:O42"/>
    <mergeCell ref="N27:O27"/>
    <mergeCell ref="N22:O22"/>
    <mergeCell ref="N30:O30"/>
    <mergeCell ref="E14:J14"/>
    <mergeCell ref="E20:J20"/>
    <mergeCell ref="D26:J26"/>
    <mergeCell ref="N17:O17"/>
    <mergeCell ref="N16:O16"/>
    <mergeCell ref="N26:O26"/>
  </mergeCells>
  <pageMargins left="0.7" right="0.7" top="0.75" bottom="0.75" header="0.3" footer="0.3"/>
  <ignoredErrors>
    <ignoredError sqref="O38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194EA-4A4C-431C-8D29-08798A0CB01F}">
  <dimension ref="A5:E21"/>
  <sheetViews>
    <sheetView workbookViewId="0">
      <selection activeCell="A18" sqref="A18:D21"/>
    </sheetView>
  </sheetViews>
  <sheetFormatPr baseColWidth="10" defaultRowHeight="14.5" x14ac:dyDescent="0.35"/>
  <cols>
    <col min="1" max="1" width="14.54296875" bestFit="1" customWidth="1"/>
    <col min="4" max="4" width="12.54296875" bestFit="1" customWidth="1"/>
    <col min="5" max="5" width="11.81640625" customWidth="1"/>
    <col min="10" max="10" width="12.1796875" bestFit="1" customWidth="1"/>
  </cols>
  <sheetData>
    <row r="5" spans="1:5" x14ac:dyDescent="0.35">
      <c r="A5" t="s">
        <v>42</v>
      </c>
      <c r="B5">
        <f>(D15*_xlfn.NORM.S.INV(0.975)/E15)^2</f>
        <v>110.20296292968754</v>
      </c>
    </row>
    <row r="6" spans="1:5" x14ac:dyDescent="0.35">
      <c r="A6" t="s">
        <v>41</v>
      </c>
      <c r="B6">
        <f>(D16*_xlfn.NORM.S.INV(0.975)/E16)^2</f>
        <v>110.20296292968754</v>
      </c>
    </row>
    <row r="8" spans="1:5" x14ac:dyDescent="0.35">
      <c r="A8" t="s">
        <v>40</v>
      </c>
      <c r="B8">
        <v>111</v>
      </c>
      <c r="C8">
        <f>((_xlfn.T.INV(0.975,B8-1)*$D$15)/$E$15)^2</f>
        <v>112.66824276951408</v>
      </c>
    </row>
    <row r="9" spans="1:5" x14ac:dyDescent="0.35">
      <c r="A9" t="s">
        <v>39</v>
      </c>
      <c r="B9">
        <v>112</v>
      </c>
      <c r="C9">
        <f>((_xlfn.T.INV(0.975,B9-1)*$D$15)/$E$15)^2</f>
        <v>112.64567062211353</v>
      </c>
    </row>
    <row r="10" spans="1:5" x14ac:dyDescent="0.35">
      <c r="A10" s="10" t="s">
        <v>38</v>
      </c>
      <c r="B10" s="10">
        <v>113</v>
      </c>
      <c r="C10" s="10">
        <f>((_xlfn.T.INV(0.975,B10-1)*$D$15)/$E$15)^2</f>
        <v>112.62350804348061</v>
      </c>
    </row>
    <row r="13" spans="1:5" x14ac:dyDescent="0.35">
      <c r="A13" s="38" t="s">
        <v>67</v>
      </c>
      <c r="B13" s="38"/>
      <c r="C13" s="38"/>
      <c r="D13" s="38"/>
      <c r="E13" s="38"/>
    </row>
    <row r="14" spans="1:5" x14ac:dyDescent="0.35">
      <c r="A14" s="16" t="s">
        <v>65</v>
      </c>
      <c r="B14" s="11" t="s">
        <v>36</v>
      </c>
      <c r="C14" s="11" t="s">
        <v>68</v>
      </c>
      <c r="D14" s="11" t="s">
        <v>64</v>
      </c>
      <c r="E14" s="11" t="s">
        <v>37</v>
      </c>
    </row>
    <row r="15" spans="1:5" x14ac:dyDescent="0.35">
      <c r="A15" s="11" t="s">
        <v>63</v>
      </c>
      <c r="B15" s="9">
        <v>5.9</v>
      </c>
      <c r="C15" s="9">
        <v>0.71130000000000004</v>
      </c>
      <c r="D15" s="9">
        <f>C15*SQRT(30)/_xlfn.T.INV(0.975,29)</f>
        <v>1.9048963848732741</v>
      </c>
      <c r="E15" s="18">
        <f>C15/2</f>
        <v>0.35565000000000002</v>
      </c>
    </row>
    <row r="16" spans="1:5" x14ac:dyDescent="0.35">
      <c r="A16" s="11" t="s">
        <v>62</v>
      </c>
      <c r="B16" s="9">
        <v>1.3</v>
      </c>
      <c r="C16" s="9">
        <v>0.34549999999999997</v>
      </c>
      <c r="D16" s="9">
        <f>C16*SQRT(30)/_xlfn.T.INV(0.975,29)</f>
        <v>0.9252659932148406</v>
      </c>
      <c r="E16" s="18">
        <f>C16/2</f>
        <v>0.17274999999999999</v>
      </c>
    </row>
    <row r="18" spans="1:4" x14ac:dyDescent="0.35">
      <c r="A18" s="43" t="s">
        <v>67</v>
      </c>
      <c r="B18" s="38"/>
      <c r="C18" s="38"/>
      <c r="D18" s="38"/>
    </row>
    <row r="19" spans="1:4" x14ac:dyDescent="0.35">
      <c r="A19" s="16" t="s">
        <v>66</v>
      </c>
      <c r="B19" s="12" t="s">
        <v>36</v>
      </c>
      <c r="C19" s="7" t="s">
        <v>64</v>
      </c>
      <c r="D19" s="7" t="s">
        <v>68</v>
      </c>
    </row>
    <row r="20" spans="1:4" x14ac:dyDescent="0.35">
      <c r="A20" s="11" t="s">
        <v>63</v>
      </c>
      <c r="B20" s="9">
        <v>5.8849999999999998</v>
      </c>
      <c r="C20" s="9">
        <f>D20*SQRT(113)/_xlfn.T.INV(0.975,112)</f>
        <v>1.0660341270284195</v>
      </c>
      <c r="D20" s="9">
        <v>0.19869999999999999</v>
      </c>
    </row>
    <row r="21" spans="1:4" x14ac:dyDescent="0.35">
      <c r="A21" s="11" t="s">
        <v>62</v>
      </c>
      <c r="B21" s="9">
        <v>1.2743</v>
      </c>
      <c r="C21" s="9">
        <f>D21*SQRT(113)/_xlfn.T.INV(0.975,112)</f>
        <v>0.55474548935449719</v>
      </c>
      <c r="D21" s="9">
        <v>0.10340000000000001</v>
      </c>
    </row>
  </sheetData>
  <mergeCells count="2">
    <mergeCell ref="A18:D18"/>
    <mergeCell ref="A13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comparacionAlternativas</vt:lpstr>
      <vt:lpstr>AnalisisDeSalida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Cordoba</dc:creator>
  <cp:lastModifiedBy>Juan José Llano</cp:lastModifiedBy>
  <dcterms:created xsi:type="dcterms:W3CDTF">2018-11-18T19:17:03Z</dcterms:created>
  <dcterms:modified xsi:type="dcterms:W3CDTF">2018-12-02T15:42:36Z</dcterms:modified>
</cp:coreProperties>
</file>