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3.xml" ContentType="application/vnd.openxmlformats-officedocument.spreadsheetml.comments+xml"/>
  <Override PartName="/xl/drawings/drawing9.xml" ContentType="application/vnd.openxmlformats-officedocument.drawing+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omments4.xml" ContentType="application/vnd.openxmlformats-officedocument.spreadsheetml.comments+xml"/>
  <Override PartName="/xl/drawings/drawing10.xml" ContentType="application/vnd.openxmlformats-officedocument.drawing+xml"/>
  <Override PartName="/xl/charts/chart3.xml" ContentType="application/vnd.openxmlformats-officedocument.drawingml.chart+xml"/>
  <Override PartName="/xl/drawings/drawing11.xml" ContentType="application/vnd.openxmlformats-officedocument.drawing+xml"/>
  <Override PartName="/xl/charts/chart4.xml" ContentType="application/vnd.openxmlformats-officedocument.drawingml.chart+xml"/>
  <Override PartName="/xl/drawings/drawing12.xml" ContentType="application/vnd.openxmlformats-officedocument.drawing+xml"/>
  <Override PartName="/xl/charts/chart5.xml" ContentType="application/vnd.openxmlformats-officedocument.drawingml.chart+xml"/>
  <Override PartName="/xl/drawings/drawing13.xml" ContentType="application/vnd.openxmlformats-officedocument.drawing+xml"/>
  <Override PartName="/xl/charts/chart6.xml" ContentType="application/vnd.openxmlformats-officedocument.drawingml.chart+xml"/>
  <Override PartName="/xl/drawings/drawing14.xml" ContentType="application/vnd.openxmlformats-officedocument.drawing+xml"/>
  <Override PartName="/xl/charts/chart7.xml" ContentType="application/vnd.openxmlformats-officedocument.drawingml.chart+xml"/>
  <Override PartName="/xl/drawings/drawing15.xml" ContentType="application/vnd.openxmlformats-officedocument.drawing+xml"/>
  <Override PartName="/xl/charts/chart8.xml" ContentType="application/vnd.openxmlformats-officedocument.drawingml.chart+xml"/>
  <Override PartName="/xl/drawings/drawing16.xml" ContentType="application/vnd.openxmlformats-officedocument.drawing+xml"/>
  <Override PartName="/xl/charts/chart9.xml" ContentType="application/vnd.openxmlformats-officedocument.drawingml.chart+xml"/>
  <Override PartName="/xl/drawings/drawing17.xml" ContentType="application/vnd.openxmlformats-officedocument.drawing+xml"/>
  <Override PartName="/xl/charts/chart10.xml" ContentType="application/vnd.openxmlformats-officedocument.drawingml.chart+xml"/>
  <Override PartName="/xl/drawings/drawing18.xml" ContentType="application/vnd.openxmlformats-officedocument.drawing+xml"/>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mpfiltri.sharepoint.com/sites/UnitedKingdom/General documentation/CMP Documentation/Product Records/Calibration/"/>
    </mc:Choice>
  </mc:AlternateContent>
  <xr:revisionPtr revIDLastSave="18" documentId="8_{91E183C7-D617-4E66-B521-A4DF62C2971C}" xr6:coauthVersionLast="47" xr6:coauthVersionMax="47" xr10:uidLastSave="{C9AB2A81-8487-4D9A-B692-D8468B9A7E60}"/>
  <bookViews>
    <workbookView xWindow="28680" yWindow="-120" windowWidth="29040" windowHeight="15720" tabRatio="500" firstSheet="9" activeTab="11" xr2:uid="{00000000-000D-0000-FFFF-FFFF00000000}"/>
  </bookViews>
  <sheets>
    <sheet name="mtd-10-micron" sheetId="1" state="hidden" r:id="rId1"/>
    <sheet name="mtd-100-micron" sheetId="2" state="hidden" r:id="rId2"/>
    <sheet name="CAL" sheetId="20" state="hidden" r:id="rId3"/>
    <sheet name="mtd" sheetId="3" state="hidden" r:id="rId4"/>
    <sheet name="ICM Job Card 2022" sheetId="23" state="hidden" r:id="rId5"/>
    <sheet name="Service Report" sheetId="5" state="hidden" r:id="rId6"/>
    <sheet name="UK Sterling service quote" sheetId="6" state="hidden" r:id="rId7"/>
    <sheet name="Non UK Sterling service quote" sheetId="7" state="hidden" r:id="rId8"/>
    <sheet name="Euro Service Quote" sheetId="8" state="hidden" r:id="rId9"/>
    <sheet name="Calibration record" sheetId="9" r:id="rId10"/>
    <sheet name="Post calibration" sheetId="24" state="hidden" r:id="rId11"/>
    <sheet name="MP Calibration Certificate" sheetId="10" r:id="rId12"/>
    <sheet name="DESCASE CERT" sheetId="21" state="hidden" r:id="rId13"/>
    <sheet name="LPM Certificate" sheetId="11" state="hidden" r:id="rId14"/>
    <sheet name="Solge Certificate" sheetId="12" state="hidden" r:id="rId15"/>
    <sheet name="RMF Certificate" sheetId="13" state="hidden" r:id="rId16"/>
    <sheet name="CCJ Certificate" sheetId="14" state="hidden" r:id="rId17"/>
    <sheet name="Hanzaflex Certificate" sheetId="15" state="hidden" r:id="rId18"/>
    <sheet name="ICM SUNHML Certificate" sheetId="16" state="hidden" r:id="rId19"/>
    <sheet name="Unbranded Cert" sheetId="17" state="hidden" r:id="rId20"/>
  </sheets>
  <externalReferences>
    <externalReference r:id="rId21"/>
  </externalReferences>
  <definedNames>
    <definedName name="_666.lpacal_1" localSheetId="2">CAL!$A$1:$B$236</definedName>
    <definedName name="_xlnm.Print_Area" localSheetId="9">'Calibration record'!$B$1:$L$57</definedName>
    <definedName name="_xlnm.Print_Area" localSheetId="16">'CCJ Certificate'!$A$1:$P$80</definedName>
    <definedName name="_xlnm.Print_Area" localSheetId="17">'Hanzaflex Certificate'!$A$1:$P$80</definedName>
    <definedName name="_xlnm.Print_Area" localSheetId="4">'ICM Job Card 2022'!$A$1:$K$50</definedName>
    <definedName name="_xlnm.Print_Area" localSheetId="18">'ICM SUNHML Certificate'!$A$1:$P$80</definedName>
    <definedName name="_xlnm.Print_Area" localSheetId="13">'LPM Certificate'!$A$1:$P$80</definedName>
    <definedName name="_xlnm.Print_Area" localSheetId="11">'MP Calibration Certificate'!$A$1:$P$87</definedName>
    <definedName name="_xlnm.Print_Area" localSheetId="3">mtd!$A$1:$N$93</definedName>
    <definedName name="_xlnm.Print_Area" localSheetId="15">'RMF Certificate'!$A$1:$P$80</definedName>
    <definedName name="_xlnm.Print_Area" localSheetId="14">'Solge Certificate'!$A$1:$P$80</definedName>
    <definedName name="solver_adj" localSheetId="3">mtd!$I$4:$N$4</definedName>
    <definedName name="solver_cvg" localSheetId="3">0.0001</definedName>
    <definedName name="solver_drv" localSheetId="3">1</definedName>
    <definedName name="solver_est" localSheetId="3">1</definedName>
    <definedName name="solver_itr" localSheetId="3">100</definedName>
    <definedName name="solver_lin" localSheetId="3">2</definedName>
    <definedName name="solver_neg" localSheetId="3">2</definedName>
    <definedName name="solver_num" localSheetId="3">0</definedName>
    <definedName name="solver_nwt" localSheetId="3">1</definedName>
    <definedName name="solver_opt" localSheetId="3">mtd!$H$55</definedName>
    <definedName name="solver_pre" localSheetId="3">0.000001</definedName>
    <definedName name="solver_scl" localSheetId="3">2</definedName>
    <definedName name="solver_sho" localSheetId="3">2</definedName>
    <definedName name="solver_tim" localSheetId="3">100</definedName>
    <definedName name="solver_tol" localSheetId="3">0.05</definedName>
    <definedName name="solver_typ" localSheetId="3">2</definedName>
    <definedName name="solver_val" localSheetId="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8" i="24" l="1"/>
  <c r="E5" i="24"/>
  <c r="M2" i="23"/>
  <c r="C6" i="5"/>
  <c r="C5" i="5"/>
  <c r="C4" i="5"/>
  <c r="C3" i="5"/>
  <c r="C2" i="5"/>
  <c r="D17" i="21"/>
  <c r="E25" i="24"/>
  <c r="E23" i="24"/>
  <c r="E22" i="24"/>
  <c r="E21" i="24"/>
  <c r="E18" i="24"/>
  <c r="E17" i="24"/>
  <c r="A27" i="24"/>
  <c r="E27" i="24" s="1"/>
  <c r="A26" i="24"/>
  <c r="E26" i="24" s="1"/>
  <c r="A24" i="24"/>
  <c r="E24" i="24" s="1"/>
  <c r="A16" i="24"/>
  <c r="E16" i="24" s="1"/>
  <c r="A15" i="24"/>
  <c r="E15" i="24" s="1"/>
  <c r="A14" i="24"/>
  <c r="E14" i="24" s="1"/>
  <c r="A13" i="24"/>
  <c r="E13" i="24" s="1"/>
  <c r="A12" i="24"/>
  <c r="E12" i="24" s="1"/>
  <c r="A7" i="24"/>
  <c r="E7" i="24" s="1"/>
  <c r="A6" i="24"/>
  <c r="E6" i="24" s="1"/>
  <c r="B22" i="9"/>
  <c r="H28" i="21" s="1"/>
  <c r="B9" i="9"/>
  <c r="D40" i="21" s="1"/>
  <c r="O19" i="21"/>
  <c r="O18" i="21"/>
  <c r="F30" i="21"/>
  <c r="E19" i="21"/>
  <c r="D18" i="21"/>
  <c r="D19" i="21" s="1"/>
  <c r="D76" i="21"/>
  <c r="O17" i="21"/>
  <c r="E29" i="9"/>
  <c r="E28" i="9"/>
  <c r="E27" i="9"/>
  <c r="E26" i="9"/>
  <c r="E25" i="9"/>
  <c r="E24" i="9"/>
  <c r="E23" i="9"/>
  <c r="E22" i="9"/>
  <c r="C29" i="9"/>
  <c r="C28" i="9"/>
  <c r="C27" i="9"/>
  <c r="C26" i="9"/>
  <c r="C25" i="9"/>
  <c r="C24" i="9"/>
  <c r="I16" i="9"/>
  <c r="F35" i="21" s="1"/>
  <c r="H16" i="9"/>
  <c r="F34" i="21" s="1"/>
  <c r="F33" i="21"/>
  <c r="F16" i="9"/>
  <c r="F32" i="21" s="1"/>
  <c r="E16" i="9"/>
  <c r="F31" i="21" s="1"/>
  <c r="D16" i="9"/>
  <c r="C16" i="9"/>
  <c r="F29" i="21" s="1"/>
  <c r="B16" i="9"/>
  <c r="F28" i="21" s="1"/>
  <c r="B11" i="9"/>
  <c r="B10" i="9"/>
  <c r="I9" i="9"/>
  <c r="E19" i="10" s="1"/>
  <c r="H9" i="9"/>
  <c r="D19" i="10" s="1"/>
  <c r="C22" i="9"/>
  <c r="C23" i="9"/>
  <c r="G40" i="21" l="1"/>
  <c r="E40" i="21"/>
  <c r="I29" i="9"/>
  <c r="J35" i="21" s="1"/>
  <c r="I28" i="9" l="1"/>
  <c r="J34" i="21" s="1"/>
  <c r="I24" i="9"/>
  <c r="J30" i="21" s="1"/>
  <c r="I23" i="9"/>
  <c r="J29" i="21" s="1"/>
  <c r="I27" i="9"/>
  <c r="J33" i="21" s="1"/>
  <c r="I22" i="9"/>
  <c r="J28" i="21" s="1"/>
  <c r="K28" i="21" s="1"/>
  <c r="I25" i="9"/>
  <c r="J31" i="21" s="1"/>
  <c r="I26" i="9"/>
  <c r="J32" i="21" s="1"/>
  <c r="J22" i="9" l="1"/>
  <c r="L28" i="21" s="1"/>
  <c r="F28" i="15"/>
  <c r="D77" i="17"/>
  <c r="D40" i="17"/>
  <c r="F35" i="17"/>
  <c r="F34" i="17"/>
  <c r="F33" i="17"/>
  <c r="F32" i="17"/>
  <c r="F31" i="17"/>
  <c r="F30" i="17"/>
  <c r="F29" i="17"/>
  <c r="O19" i="17"/>
  <c r="O18" i="17"/>
  <c r="O17" i="17"/>
  <c r="D76" i="16"/>
  <c r="D40" i="16"/>
  <c r="J35" i="16"/>
  <c r="F35" i="16"/>
  <c r="F34" i="16"/>
  <c r="F33" i="16"/>
  <c r="F32" i="16"/>
  <c r="F31" i="16"/>
  <c r="F30" i="16"/>
  <c r="F29" i="16"/>
  <c r="O19" i="16"/>
  <c r="O18" i="16"/>
  <c r="O17" i="16"/>
  <c r="D76" i="15"/>
  <c r="D40" i="15"/>
  <c r="F35" i="15"/>
  <c r="F34" i="15"/>
  <c r="F33" i="15"/>
  <c r="F32" i="15"/>
  <c r="F31" i="15"/>
  <c r="F30" i="15"/>
  <c r="F29" i="15"/>
  <c r="O19" i="15"/>
  <c r="O18" i="15"/>
  <c r="O17" i="15"/>
  <c r="D76" i="14"/>
  <c r="D40" i="14"/>
  <c r="F35" i="14"/>
  <c r="F34" i="14"/>
  <c r="F33" i="14"/>
  <c r="F32" i="14"/>
  <c r="F31" i="14"/>
  <c r="F30" i="14"/>
  <c r="F29" i="14"/>
  <c r="O19" i="14"/>
  <c r="O18" i="14"/>
  <c r="O17" i="14"/>
  <c r="D76" i="13"/>
  <c r="D40" i="13"/>
  <c r="F35" i="13"/>
  <c r="F34" i="13"/>
  <c r="F33" i="13"/>
  <c r="F32" i="13"/>
  <c r="F31" i="13"/>
  <c r="F30" i="13"/>
  <c r="F29" i="13"/>
  <c r="O19" i="13"/>
  <c r="O18" i="13"/>
  <c r="O17" i="13"/>
  <c r="D76" i="12"/>
  <c r="D40" i="12"/>
  <c r="F35" i="12"/>
  <c r="F34" i="12"/>
  <c r="F33" i="12"/>
  <c r="F32" i="12"/>
  <c r="F31" i="12"/>
  <c r="F30" i="12"/>
  <c r="F29" i="12"/>
  <c r="O19" i="12"/>
  <c r="O18" i="12"/>
  <c r="O17" i="12"/>
  <c r="D76" i="11"/>
  <c r="D40" i="11"/>
  <c r="F35" i="11"/>
  <c r="F34" i="11"/>
  <c r="F33" i="11"/>
  <c r="F32" i="11"/>
  <c r="F31" i="11"/>
  <c r="F30" i="11"/>
  <c r="F29" i="11"/>
  <c r="O19" i="11"/>
  <c r="O18" i="11"/>
  <c r="O17" i="11"/>
  <c r="D77" i="10"/>
  <c r="D40" i="10"/>
  <c r="F35" i="10"/>
  <c r="F34" i="10"/>
  <c r="F33" i="10"/>
  <c r="F32" i="10"/>
  <c r="F31" i="10"/>
  <c r="F30" i="10"/>
  <c r="F29" i="10"/>
  <c r="O19" i="10"/>
  <c r="O18" i="10"/>
  <c r="O17" i="10"/>
  <c r="J35" i="15"/>
  <c r="B29" i="9"/>
  <c r="J34" i="15"/>
  <c r="J33" i="15"/>
  <c r="B27" i="9"/>
  <c r="J32" i="14"/>
  <c r="J31" i="14"/>
  <c r="J30" i="17"/>
  <c r="J29" i="17"/>
  <c r="J28" i="16"/>
  <c r="D17" i="15"/>
  <c r="J41" i="8"/>
  <c r="J40" i="8"/>
  <c r="J39" i="8"/>
  <c r="J38" i="8"/>
  <c r="J37" i="8"/>
  <c r="J36" i="8"/>
  <c r="J35" i="8"/>
  <c r="F35" i="8"/>
  <c r="G34" i="8"/>
  <c r="G33" i="8"/>
  <c r="A22" i="8"/>
  <c r="A17" i="8"/>
  <c r="A16" i="8"/>
  <c r="J41" i="7"/>
  <c r="J40" i="7"/>
  <c r="J39" i="7"/>
  <c r="J38" i="7"/>
  <c r="J37" i="7"/>
  <c r="J36" i="7"/>
  <c r="J35" i="7"/>
  <c r="G35" i="7"/>
  <c r="F35" i="7"/>
  <c r="C35" i="7"/>
  <c r="G34" i="7"/>
  <c r="G33" i="7"/>
  <c r="A22" i="7"/>
  <c r="A17" i="7"/>
  <c r="A16" i="7"/>
  <c r="J59" i="6"/>
  <c r="J41" i="6"/>
  <c r="J40" i="6"/>
  <c r="J39" i="6"/>
  <c r="J38" i="6"/>
  <c r="J37" i="6"/>
  <c r="J36" i="6"/>
  <c r="J35" i="6"/>
  <c r="A24" i="6"/>
  <c r="A23" i="8" s="1"/>
  <c r="A23" i="6"/>
  <c r="A17" i="6"/>
  <c r="A24" i="8" s="1"/>
  <c r="B8" i="6"/>
  <c r="B8" i="8" s="1"/>
  <c r="J59" i="8" s="1"/>
  <c r="C6" i="6"/>
  <c r="C6" i="8" s="1"/>
  <c r="D4" i="6"/>
  <c r="D4" i="8" s="1"/>
  <c r="D2" i="6"/>
  <c r="D2" i="8" s="1"/>
  <c r="J58" i="8" s="1"/>
  <c r="A22" i="6"/>
  <c r="A21" i="6"/>
  <c r="A20" i="6"/>
  <c r="A19" i="6"/>
  <c r="A32" i="6" s="1"/>
  <c r="A16" i="6"/>
  <c r="A15" i="6"/>
  <c r="A14" i="6"/>
  <c r="A13" i="6"/>
  <c r="A12" i="8" s="1"/>
  <c r="A12" i="6"/>
  <c r="N93" i="3"/>
  <c r="L93" i="3"/>
  <c r="F93" i="3"/>
  <c r="B93" i="3"/>
  <c r="N92" i="3"/>
  <c r="L92" i="3"/>
  <c r="F92" i="3"/>
  <c r="B92" i="3"/>
  <c r="N91" i="3"/>
  <c r="L91" i="3"/>
  <c r="F91" i="3"/>
  <c r="B91" i="3"/>
  <c r="N90" i="3"/>
  <c r="L90" i="3"/>
  <c r="F90" i="3"/>
  <c r="B90" i="3"/>
  <c r="N89" i="3"/>
  <c r="L89" i="3"/>
  <c r="F89" i="3"/>
  <c r="B89" i="3"/>
  <c r="N88" i="3"/>
  <c r="L88" i="3"/>
  <c r="F88" i="3"/>
  <c r="B88" i="3"/>
  <c r="N87" i="3"/>
  <c r="L87" i="3"/>
  <c r="F87" i="3"/>
  <c r="B87" i="3"/>
  <c r="N86" i="3"/>
  <c r="L86" i="3"/>
  <c r="F86" i="3"/>
  <c r="B86" i="3"/>
  <c r="N85" i="3"/>
  <c r="L85" i="3"/>
  <c r="F85" i="3"/>
  <c r="B85" i="3"/>
  <c r="N84" i="3"/>
  <c r="L84" i="3"/>
  <c r="F84" i="3"/>
  <c r="B84" i="3"/>
  <c r="N83" i="3"/>
  <c r="L83" i="3"/>
  <c r="F83" i="3"/>
  <c r="B83" i="3"/>
  <c r="N82" i="3"/>
  <c r="L82" i="3"/>
  <c r="F82" i="3"/>
  <c r="B82" i="3"/>
  <c r="N81" i="3"/>
  <c r="L81" i="3"/>
  <c r="F81" i="3"/>
  <c r="B81" i="3"/>
  <c r="N80" i="3"/>
  <c r="L80" i="3"/>
  <c r="F80" i="3"/>
  <c r="B80" i="3"/>
  <c r="N79" i="3"/>
  <c r="L79" i="3"/>
  <c r="F79" i="3"/>
  <c r="B79" i="3"/>
  <c r="N78" i="3"/>
  <c r="L78" i="3"/>
  <c r="F78" i="3"/>
  <c r="B78" i="3"/>
  <c r="N77" i="3"/>
  <c r="L77" i="3"/>
  <c r="F77" i="3"/>
  <c r="B77" i="3"/>
  <c r="N76" i="3"/>
  <c r="L76" i="3"/>
  <c r="F76" i="3"/>
  <c r="B76" i="3"/>
  <c r="N75" i="3"/>
  <c r="L75" i="3"/>
  <c r="F75" i="3"/>
  <c r="B75" i="3"/>
  <c r="N74" i="3"/>
  <c r="L74" i="3"/>
  <c r="F74" i="3"/>
  <c r="B74" i="3"/>
  <c r="N73" i="3"/>
  <c r="L73" i="3"/>
  <c r="F73" i="3"/>
  <c r="B73" i="3"/>
  <c r="N72" i="3"/>
  <c r="L72" i="3"/>
  <c r="F72" i="3"/>
  <c r="B72" i="3"/>
  <c r="N71" i="3"/>
  <c r="L71" i="3"/>
  <c r="F71" i="3"/>
  <c r="B71" i="3"/>
  <c r="N70" i="3"/>
  <c r="L70" i="3"/>
  <c r="F70" i="3"/>
  <c r="B70" i="3"/>
  <c r="N69" i="3"/>
  <c r="L69" i="3"/>
  <c r="F69" i="3"/>
  <c r="B69" i="3"/>
  <c r="N68" i="3"/>
  <c r="L68" i="3"/>
  <c r="F68" i="3"/>
  <c r="B68" i="3"/>
  <c r="N67" i="3"/>
  <c r="L67" i="3"/>
  <c r="F67" i="3"/>
  <c r="B67" i="3"/>
  <c r="N66" i="3"/>
  <c r="L66" i="3"/>
  <c r="F66" i="3"/>
  <c r="B66" i="3"/>
  <c r="N65" i="3"/>
  <c r="L65" i="3"/>
  <c r="F65" i="3"/>
  <c r="B65" i="3"/>
  <c r="N64" i="3"/>
  <c r="L64" i="3"/>
  <c r="F64" i="3"/>
  <c r="B64" i="3"/>
  <c r="N63" i="3"/>
  <c r="L63" i="3"/>
  <c r="F63" i="3"/>
  <c r="B63" i="3"/>
  <c r="N62" i="3"/>
  <c r="L62" i="3"/>
  <c r="F62" i="3"/>
  <c r="B62" i="3"/>
  <c r="N61" i="3"/>
  <c r="L61" i="3"/>
  <c r="F61" i="3"/>
  <c r="B61" i="3"/>
  <c r="N60" i="3"/>
  <c r="L60" i="3"/>
  <c r="F60" i="3"/>
  <c r="B60" i="3"/>
  <c r="N59" i="3"/>
  <c r="L59" i="3"/>
  <c r="F59" i="3"/>
  <c r="B59" i="3"/>
  <c r="N58" i="3"/>
  <c r="L58" i="3"/>
  <c r="F58" i="3"/>
  <c r="B58" i="3"/>
  <c r="N57" i="3"/>
  <c r="L57" i="3"/>
  <c r="F57" i="3"/>
  <c r="B57" i="3"/>
  <c r="N56" i="3"/>
  <c r="L56" i="3"/>
  <c r="F56" i="3"/>
  <c r="B56" i="3"/>
  <c r="N55" i="3"/>
  <c r="L55" i="3"/>
  <c r="F55" i="3"/>
  <c r="B55" i="3"/>
  <c r="N54" i="3"/>
  <c r="L54" i="3"/>
  <c r="F54" i="3"/>
  <c r="B54" i="3"/>
  <c r="N53" i="3"/>
  <c r="L53" i="3"/>
  <c r="F53" i="3"/>
  <c r="C53" i="3"/>
  <c r="B28" i="9" s="1"/>
  <c r="H34" i="21" s="1"/>
  <c r="N52" i="3"/>
  <c r="L52" i="3"/>
  <c r="C52" i="3"/>
  <c r="F52" i="3" s="1"/>
  <c r="N51" i="3"/>
  <c r="L51" i="3"/>
  <c r="F51" i="3"/>
  <c r="C51" i="3"/>
  <c r="N50" i="3"/>
  <c r="L50" i="3"/>
  <c r="C50" i="3"/>
  <c r="F50" i="3" s="1"/>
  <c r="N49" i="3"/>
  <c r="L49" i="3"/>
  <c r="F49" i="3"/>
  <c r="C49" i="3"/>
  <c r="N48" i="3"/>
  <c r="L48" i="3"/>
  <c r="C48" i="3"/>
  <c r="F48" i="3" s="1"/>
  <c r="N47" i="3"/>
  <c r="L47" i="3"/>
  <c r="F47" i="3"/>
  <c r="C47" i="3"/>
  <c r="N46" i="3"/>
  <c r="L46" i="3"/>
  <c r="C46" i="3"/>
  <c r="F46" i="3" s="1"/>
  <c r="N45" i="3"/>
  <c r="L45" i="3"/>
  <c r="F45" i="3"/>
  <c r="C45" i="3"/>
  <c r="N44" i="3"/>
  <c r="L44" i="3"/>
  <c r="C44" i="3"/>
  <c r="F44" i="3" s="1"/>
  <c r="N43" i="3"/>
  <c r="L43" i="3"/>
  <c r="F43" i="3"/>
  <c r="C43" i="3"/>
  <c r="N42" i="3"/>
  <c r="L42" i="3"/>
  <c r="C42" i="3"/>
  <c r="F42" i="3" s="1"/>
  <c r="N41" i="3"/>
  <c r="L41" i="3"/>
  <c r="F41" i="3"/>
  <c r="C41" i="3"/>
  <c r="N40" i="3"/>
  <c r="L40" i="3"/>
  <c r="C40" i="3"/>
  <c r="F40" i="3" s="1"/>
  <c r="N39" i="3"/>
  <c r="L39" i="3"/>
  <c r="F39" i="3"/>
  <c r="C39" i="3"/>
  <c r="N38" i="3"/>
  <c r="L38" i="3"/>
  <c r="C38" i="3"/>
  <c r="F38" i="3" s="1"/>
  <c r="N37" i="3"/>
  <c r="L37" i="3"/>
  <c r="F37" i="3"/>
  <c r="C37" i="3"/>
  <c r="N36" i="3"/>
  <c r="L36" i="3"/>
  <c r="C36" i="3"/>
  <c r="F36" i="3" s="1"/>
  <c r="N35" i="3"/>
  <c r="L35" i="3"/>
  <c r="F35" i="3"/>
  <c r="C35" i="3"/>
  <c r="N34" i="3"/>
  <c r="L34" i="3"/>
  <c r="C34" i="3"/>
  <c r="F34" i="3" s="1"/>
  <c r="N33" i="3"/>
  <c r="L33" i="3"/>
  <c r="F33" i="3"/>
  <c r="C33" i="3"/>
  <c r="N32" i="3"/>
  <c r="L32" i="3"/>
  <c r="C32" i="3"/>
  <c r="F32" i="3" s="1"/>
  <c r="N31" i="3"/>
  <c r="L31" i="3"/>
  <c r="F31" i="3"/>
  <c r="C31" i="3"/>
  <c r="N30" i="3"/>
  <c r="L30" i="3"/>
  <c r="C30" i="3"/>
  <c r="F30" i="3" s="1"/>
  <c r="N29" i="3"/>
  <c r="L29" i="3"/>
  <c r="F29" i="3"/>
  <c r="C29" i="3"/>
  <c r="N28" i="3"/>
  <c r="L28" i="3"/>
  <c r="C28" i="3"/>
  <c r="F28" i="3" s="1"/>
  <c r="N27" i="3"/>
  <c r="L27" i="3"/>
  <c r="F27" i="3"/>
  <c r="C27" i="3"/>
  <c r="N26" i="3"/>
  <c r="L26" i="3"/>
  <c r="C26" i="3"/>
  <c r="F26" i="3" s="1"/>
  <c r="N25" i="3"/>
  <c r="L25" i="3"/>
  <c r="F25" i="3"/>
  <c r="C25" i="3"/>
  <c r="N24" i="3"/>
  <c r="L24" i="3"/>
  <c r="C24" i="3"/>
  <c r="F24" i="3" s="1"/>
  <c r="N23" i="3"/>
  <c r="L23" i="3"/>
  <c r="F23" i="3"/>
  <c r="C23" i="3"/>
  <c r="N22" i="3"/>
  <c r="L22" i="3"/>
  <c r="C22" i="3"/>
  <c r="F22" i="3" s="1"/>
  <c r="N21" i="3"/>
  <c r="L21" i="3"/>
  <c r="F21" i="3"/>
  <c r="C21" i="3"/>
  <c r="N20" i="3"/>
  <c r="L20" i="3"/>
  <c r="C20" i="3"/>
  <c r="F20" i="3" s="1"/>
  <c r="N19" i="3"/>
  <c r="L19" i="3"/>
  <c r="F19" i="3"/>
  <c r="C19" i="3"/>
  <c r="N18" i="3"/>
  <c r="L18" i="3"/>
  <c r="C18" i="3"/>
  <c r="F18" i="3" s="1"/>
  <c r="N17" i="3"/>
  <c r="L17" i="3"/>
  <c r="H17" i="3"/>
  <c r="C17" i="3"/>
  <c r="B24" i="9" s="1"/>
  <c r="H30" i="21" s="1"/>
  <c r="K30" i="21" s="1"/>
  <c r="N16" i="3"/>
  <c r="L16" i="3"/>
  <c r="C16" i="3"/>
  <c r="F16" i="3" s="1"/>
  <c r="N15" i="3"/>
  <c r="L15" i="3"/>
  <c r="C15" i="3"/>
  <c r="F15" i="3" s="1"/>
  <c r="N14" i="3"/>
  <c r="L14" i="3"/>
  <c r="I14" i="3"/>
  <c r="C14" i="3"/>
  <c r="F14" i="3" s="1"/>
  <c r="N13" i="3"/>
  <c r="L13" i="3"/>
  <c r="C13" i="3"/>
  <c r="F13" i="3" s="1"/>
  <c r="N12" i="3"/>
  <c r="L12" i="3"/>
  <c r="C12" i="3"/>
  <c r="F12" i="3" s="1"/>
  <c r="N11" i="3"/>
  <c r="L11" i="3"/>
  <c r="C11" i="3"/>
  <c r="F11" i="3" s="1"/>
  <c r="N10" i="3"/>
  <c r="L10" i="3"/>
  <c r="I10" i="3"/>
  <c r="F10" i="3"/>
  <c r="C10" i="3"/>
  <c r="N9" i="3"/>
  <c r="L9" i="3"/>
  <c r="I9" i="3"/>
  <c r="C9" i="3"/>
  <c r="F9" i="3" s="1"/>
  <c r="N8" i="3"/>
  <c r="L8" i="3"/>
  <c r="F8" i="3"/>
  <c r="C8" i="3"/>
  <c r="N7" i="3"/>
  <c r="L7" i="3"/>
  <c r="C7" i="3"/>
  <c r="F7" i="3" s="1"/>
  <c r="N6" i="3"/>
  <c r="L6" i="3"/>
  <c r="F6" i="3"/>
  <c r="C6" i="3"/>
  <c r="N5" i="3"/>
  <c r="L5" i="3"/>
  <c r="C5" i="3"/>
  <c r="F5" i="3" s="1"/>
  <c r="N4" i="3"/>
  <c r="L4" i="3"/>
  <c r="I4" i="3"/>
  <c r="C4" i="3"/>
  <c r="F4" i="3" s="1"/>
  <c r="H35" i="16" l="1"/>
  <c r="H35" i="21"/>
  <c r="D27" i="9"/>
  <c r="H33" i="21"/>
  <c r="K33" i="21" s="1"/>
  <c r="A33" i="6"/>
  <c r="A33" i="8" s="1"/>
  <c r="A21" i="8"/>
  <c r="A21" i="7"/>
  <c r="J58" i="6"/>
  <c r="B8" i="7"/>
  <c r="J59" i="7" s="1"/>
  <c r="J28" i="11"/>
  <c r="J34" i="10"/>
  <c r="J32" i="17"/>
  <c r="J30" i="12"/>
  <c r="J35" i="12"/>
  <c r="J34" i="14"/>
  <c r="J33" i="10"/>
  <c r="J33" i="17"/>
  <c r="J33" i="14"/>
  <c r="J33" i="16"/>
  <c r="J33" i="13"/>
  <c r="J33" i="12"/>
  <c r="J32" i="13"/>
  <c r="J31" i="11"/>
  <c r="J31" i="15"/>
  <c r="J30" i="16"/>
  <c r="J29" i="14"/>
  <c r="J29" i="12"/>
  <c r="J29" i="10"/>
  <c r="J29" i="11"/>
  <c r="J29" i="16"/>
  <c r="J29" i="15"/>
  <c r="J28" i="15"/>
  <c r="H35" i="11"/>
  <c r="D29" i="9"/>
  <c r="H29" i="9"/>
  <c r="H35" i="15"/>
  <c r="G40" i="15"/>
  <c r="E40" i="15"/>
  <c r="F28" i="17"/>
  <c r="F28" i="14"/>
  <c r="G40" i="14" s="1"/>
  <c r="F28" i="10"/>
  <c r="G40" i="10" s="1"/>
  <c r="F28" i="11"/>
  <c r="F28" i="16"/>
  <c r="G40" i="16" s="1"/>
  <c r="F28" i="12"/>
  <c r="G40" i="12" s="1"/>
  <c r="F28" i="13"/>
  <c r="A13" i="7"/>
  <c r="A13" i="8"/>
  <c r="A14" i="8"/>
  <c r="A14" i="7"/>
  <c r="A15" i="8"/>
  <c r="A15" i="7"/>
  <c r="D19" i="17"/>
  <c r="D19" i="13"/>
  <c r="D19" i="14"/>
  <c r="D19" i="15"/>
  <c r="D19" i="11"/>
  <c r="D19" i="16"/>
  <c r="D19" i="12"/>
  <c r="A19" i="8"/>
  <c r="A19" i="7"/>
  <c r="A31" i="6"/>
  <c r="H34" i="17"/>
  <c r="H34" i="13"/>
  <c r="H28" i="9"/>
  <c r="F28" i="9"/>
  <c r="H34" i="14"/>
  <c r="H34" i="10"/>
  <c r="D28" i="9"/>
  <c r="H34" i="15"/>
  <c r="H34" i="11"/>
  <c r="H34" i="16"/>
  <c r="H34" i="12"/>
  <c r="J28" i="9"/>
  <c r="C32" i="6"/>
  <c r="A32" i="8"/>
  <c r="G32" i="8" s="1"/>
  <c r="A32" i="7"/>
  <c r="H32" i="6"/>
  <c r="G32" i="7" s="1"/>
  <c r="G32" i="6"/>
  <c r="A34" i="6"/>
  <c r="A20" i="8"/>
  <c r="A20" i="7"/>
  <c r="A11" i="8"/>
  <c r="A11" i="7"/>
  <c r="C33" i="6"/>
  <c r="H30" i="15"/>
  <c r="H30" i="11"/>
  <c r="H24" i="9"/>
  <c r="F24" i="9"/>
  <c r="H30" i="16"/>
  <c r="H30" i="12"/>
  <c r="D24" i="9"/>
  <c r="H30" i="17"/>
  <c r="K30" i="17" s="1"/>
  <c r="H30" i="13"/>
  <c r="H30" i="14"/>
  <c r="H30" i="10"/>
  <c r="J24" i="9"/>
  <c r="L30" i="21" s="1"/>
  <c r="D4" i="7"/>
  <c r="A24" i="7"/>
  <c r="B26" i="9"/>
  <c r="H32" i="21" s="1"/>
  <c r="K32" i="21" s="1"/>
  <c r="F27" i="9"/>
  <c r="J28" i="10"/>
  <c r="H33" i="10"/>
  <c r="H35" i="10"/>
  <c r="D18" i="11"/>
  <c r="J30" i="11"/>
  <c r="J32" i="12"/>
  <c r="J34" i="13"/>
  <c r="D17" i="14"/>
  <c r="J28" i="14"/>
  <c r="H33" i="14"/>
  <c r="H35" i="14"/>
  <c r="D18" i="15"/>
  <c r="J30" i="15"/>
  <c r="J32" i="16"/>
  <c r="J34" i="17"/>
  <c r="C6" i="7"/>
  <c r="H27" i="9"/>
  <c r="J35" i="10"/>
  <c r="J31" i="13"/>
  <c r="J35" i="14"/>
  <c r="J31" i="17"/>
  <c r="F17" i="3"/>
  <c r="A18" i="7"/>
  <c r="A18" i="8"/>
  <c r="B25" i="9"/>
  <c r="D18" i="10"/>
  <c r="J30" i="10"/>
  <c r="J32" i="11"/>
  <c r="J34" i="12"/>
  <c r="D17" i="13"/>
  <c r="J28" i="13"/>
  <c r="H33" i="13"/>
  <c r="H35" i="13"/>
  <c r="D18" i="14"/>
  <c r="J30" i="14"/>
  <c r="J32" i="15"/>
  <c r="J34" i="16"/>
  <c r="D17" i="17"/>
  <c r="J28" i="17"/>
  <c r="H33" i="17"/>
  <c r="H35" i="17"/>
  <c r="J27" i="9"/>
  <c r="L33" i="21" s="1"/>
  <c r="J31" i="12"/>
  <c r="J35" i="13"/>
  <c r="J31" i="16"/>
  <c r="J35" i="17"/>
  <c r="A12" i="7"/>
  <c r="F29" i="9"/>
  <c r="J32" i="10"/>
  <c r="J34" i="11"/>
  <c r="D17" i="12"/>
  <c r="J28" i="12"/>
  <c r="H33" i="12"/>
  <c r="H35" i="12"/>
  <c r="D18" i="13"/>
  <c r="J30" i="13"/>
  <c r="K30" i="13" s="1"/>
  <c r="D17" i="16"/>
  <c r="H33" i="16"/>
  <c r="K33" i="16" s="1"/>
  <c r="D18" i="17"/>
  <c r="B23" i="9"/>
  <c r="H29" i="21" s="1"/>
  <c r="K29" i="21" s="1"/>
  <c r="D17" i="11"/>
  <c r="H33" i="11"/>
  <c r="D18" i="12"/>
  <c r="H33" i="15"/>
  <c r="K33" i="15" s="1"/>
  <c r="D18" i="16"/>
  <c r="D2" i="7"/>
  <c r="J58" i="7" s="1"/>
  <c r="A23" i="7"/>
  <c r="J29" i="9"/>
  <c r="J31" i="10"/>
  <c r="J33" i="11"/>
  <c r="J35" i="11"/>
  <c r="J29" i="13"/>
  <c r="J25" i="9" l="1"/>
  <c r="L31" i="21" s="1"/>
  <c r="H31" i="21"/>
  <c r="K31" i="21" s="1"/>
  <c r="G33" i="6"/>
  <c r="J33" i="6" s="1"/>
  <c r="A33" i="7"/>
  <c r="K33" i="17"/>
  <c r="K33" i="12"/>
  <c r="K30" i="10"/>
  <c r="K33" i="14"/>
  <c r="K33" i="10"/>
  <c r="K30" i="16"/>
  <c r="K30" i="12"/>
  <c r="K33" i="13"/>
  <c r="K30" i="15"/>
  <c r="K30" i="11"/>
  <c r="K30" i="14"/>
  <c r="E40" i="10"/>
  <c r="E40" i="16"/>
  <c r="E40" i="14"/>
  <c r="G40" i="11"/>
  <c r="E40" i="11"/>
  <c r="E40" i="12"/>
  <c r="E40" i="13"/>
  <c r="G40" i="13"/>
  <c r="G40" i="17"/>
  <c r="E40" i="17"/>
  <c r="K33" i="11"/>
  <c r="H31" i="14"/>
  <c r="K31" i="14" s="1"/>
  <c r="H31" i="10"/>
  <c r="K31" i="10" s="1"/>
  <c r="H25" i="9"/>
  <c r="H31" i="15"/>
  <c r="K31" i="15" s="1"/>
  <c r="H31" i="11"/>
  <c r="K31" i="11" s="1"/>
  <c r="F25" i="9"/>
  <c r="D25" i="9"/>
  <c r="H31" i="16"/>
  <c r="K31" i="16" s="1"/>
  <c r="H31" i="12"/>
  <c r="K31" i="12" s="1"/>
  <c r="H31" i="17"/>
  <c r="K31" i="17" s="1"/>
  <c r="H31" i="13"/>
  <c r="K31" i="13" s="1"/>
  <c r="F32" i="8"/>
  <c r="J32" i="8" s="1"/>
  <c r="F32" i="7"/>
  <c r="J32" i="7" s="1"/>
  <c r="J32" i="6"/>
  <c r="L30" i="17"/>
  <c r="L30" i="13"/>
  <c r="L30" i="14"/>
  <c r="L30" i="10"/>
  <c r="L30" i="15"/>
  <c r="L30" i="11"/>
  <c r="L30" i="16"/>
  <c r="L30" i="12"/>
  <c r="A34" i="8"/>
  <c r="A34" i="7"/>
  <c r="G34" i="6"/>
  <c r="C34" i="6"/>
  <c r="H32" i="16"/>
  <c r="K32" i="16" s="1"/>
  <c r="H32" i="12"/>
  <c r="K32" i="12" s="1"/>
  <c r="H32" i="17"/>
  <c r="K32" i="17" s="1"/>
  <c r="H32" i="13"/>
  <c r="K32" i="13" s="1"/>
  <c r="J26" i="9"/>
  <c r="L32" i="21" s="1"/>
  <c r="H32" i="14"/>
  <c r="K32" i="14" s="1"/>
  <c r="H32" i="10"/>
  <c r="K32" i="10" s="1"/>
  <c r="H26" i="9"/>
  <c r="F26" i="9"/>
  <c r="H32" i="15"/>
  <c r="K32" i="15" s="1"/>
  <c r="H32" i="11"/>
  <c r="K32" i="11" s="1"/>
  <c r="D26" i="9"/>
  <c r="C33" i="8"/>
  <c r="C33" i="7"/>
  <c r="A31" i="8"/>
  <c r="G31" i="8" s="1"/>
  <c r="A31" i="7"/>
  <c r="G30" i="6"/>
  <c r="H31" i="6"/>
  <c r="G31" i="7" s="1"/>
  <c r="G31" i="6"/>
  <c r="C31" i="6"/>
  <c r="H28" i="14"/>
  <c r="K28" i="14" s="1"/>
  <c r="H28" i="10"/>
  <c r="K28" i="10" s="1"/>
  <c r="H28" i="15"/>
  <c r="K28" i="15" s="1"/>
  <c r="H28" i="11"/>
  <c r="K28" i="11" s="1"/>
  <c r="H28" i="16"/>
  <c r="K28" i="16" s="1"/>
  <c r="H28" i="12"/>
  <c r="K28" i="12" s="1"/>
  <c r="H22" i="9"/>
  <c r="F22" i="9"/>
  <c r="H28" i="17"/>
  <c r="K28" i="17" s="1"/>
  <c r="H28" i="13"/>
  <c r="K28" i="13" s="1"/>
  <c r="D22" i="9"/>
  <c r="C32" i="8"/>
  <c r="C32" i="7"/>
  <c r="D23" i="9"/>
  <c r="H29" i="17"/>
  <c r="K29" i="17" s="1"/>
  <c r="H29" i="13"/>
  <c r="K29" i="13" s="1"/>
  <c r="H29" i="14"/>
  <c r="K29" i="14" s="1"/>
  <c r="H29" i="10"/>
  <c r="K29" i="10" s="1"/>
  <c r="J23" i="9"/>
  <c r="L29" i="21" s="1"/>
  <c r="H29" i="15"/>
  <c r="K29" i="15" s="1"/>
  <c r="H29" i="11"/>
  <c r="K29" i="11" s="1"/>
  <c r="H23" i="9"/>
  <c r="H29" i="16"/>
  <c r="K29" i="16" s="1"/>
  <c r="H29" i="12"/>
  <c r="K29" i="12" s="1"/>
  <c r="F23" i="9"/>
  <c r="L31" i="15"/>
  <c r="L31" i="11"/>
  <c r="L31" i="16"/>
  <c r="L31" i="12"/>
  <c r="L31" i="17"/>
  <c r="L31" i="13"/>
  <c r="L31" i="14"/>
  <c r="L31" i="10"/>
  <c r="L33" i="16"/>
  <c r="L33" i="12"/>
  <c r="L33" i="17"/>
  <c r="L33" i="13"/>
  <c r="L33" i="14"/>
  <c r="L33" i="10"/>
  <c r="L33" i="15"/>
  <c r="L33" i="11"/>
  <c r="F33" i="8" l="1"/>
  <c r="J33" i="8" s="1"/>
  <c r="F33" i="7"/>
  <c r="J33" i="7" s="1"/>
  <c r="C31" i="8"/>
  <c r="C31" i="7"/>
  <c r="F34" i="8"/>
  <c r="J34" i="8" s="1"/>
  <c r="F34" i="7"/>
  <c r="J34" i="7" s="1"/>
  <c r="J34" i="6"/>
  <c r="H30" i="6"/>
  <c r="G30" i="7" s="1"/>
  <c r="C30" i="6"/>
  <c r="A30" i="6"/>
  <c r="F30" i="8"/>
  <c r="F30" i="7"/>
  <c r="J31" i="6"/>
  <c r="F31" i="8"/>
  <c r="J31" i="8" s="1"/>
  <c r="F31" i="7"/>
  <c r="J31" i="7" s="1"/>
  <c r="L28" i="16"/>
  <c r="L28" i="12"/>
  <c r="L28" i="17"/>
  <c r="L28" i="13"/>
  <c r="L28" i="14"/>
  <c r="L28" i="10"/>
  <c r="L28" i="15"/>
  <c r="L28" i="11"/>
  <c r="L29" i="14"/>
  <c r="L29" i="10"/>
  <c r="L29" i="15"/>
  <c r="L29" i="11"/>
  <c r="L29" i="16"/>
  <c r="L29" i="12"/>
  <c r="L29" i="17"/>
  <c r="L29" i="13"/>
  <c r="L32" i="14"/>
  <c r="L32" i="10"/>
  <c r="L32" i="15"/>
  <c r="L32" i="11"/>
  <c r="L32" i="16"/>
  <c r="L32" i="12"/>
  <c r="L32" i="17"/>
  <c r="L32" i="13"/>
  <c r="C34" i="8"/>
  <c r="C34" i="7"/>
  <c r="A30" i="8" l="1"/>
  <c r="A30" i="7"/>
  <c r="C30" i="8"/>
  <c r="C30" i="7"/>
  <c r="J30" i="7"/>
  <c r="J42" i="7" s="1"/>
  <c r="J30" i="6"/>
  <c r="J42" i="6" s="1"/>
  <c r="G30" i="8"/>
  <c r="J30" i="8" s="1"/>
  <c r="J42" i="8" s="1"/>
  <c r="J43" i="6" l="1"/>
  <c r="J44"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s>
  <commentList>
    <comment ref="E3" authorId="0" shapeId="0" xr:uid="{8ED6EAE3-CF50-493E-B271-ACFA604762F5}">
      <text/>
    </comment>
    <comment ref="A7" authorId="0" shapeId="0" xr:uid="{41BA46A7-BD9C-432B-8DB7-6AA1647DA172}">
      <text>
        <r>
          <rPr>
            <sz val="9"/>
            <color indexed="81"/>
            <rFont val="Tahoma"/>
            <family val="2"/>
          </rPr>
          <t xml:space="preserve">
</t>
        </r>
      </text>
    </comment>
    <comment ref="A10" authorId="0" shapeId="0" xr:uid="{268CEE89-31BC-47D4-8B2E-2FCA217C7C42}">
      <text>
        <r>
          <rPr>
            <sz val="9"/>
            <color indexed="81"/>
            <rFont val="Tahoma"/>
            <family val="2"/>
          </rPr>
          <t xml:space="preserve">
</t>
        </r>
      </text>
    </comment>
    <comment ref="A11" authorId="0" shapeId="0" xr:uid="{FFD8C244-9EAB-4E95-B59C-2C7C285D2CF8}">
      <text/>
    </comment>
    <comment ref="F11" authorId="0" shapeId="0" xr:uid="{1767D393-B473-4453-9F67-8721E6D5B9A3}">
      <text/>
    </comment>
    <comment ref="F12" authorId="0" shapeId="0" xr:uid="{BB7BDFD3-EF7D-4D70-9DD7-41D1315C8E4A}">
      <text>
        <r>
          <rPr>
            <sz val="9"/>
            <color indexed="81"/>
            <rFont val="Tahoma"/>
            <family val="2"/>
          </rPr>
          <t xml:space="preserve">
</t>
        </r>
      </text>
    </comment>
    <comment ref="A13" authorId="0" shapeId="0" xr:uid="{9E871610-6F1A-4776-B2D6-3367373ACF0D}">
      <text/>
    </comment>
    <comment ref="A14" authorId="0" shapeId="0" xr:uid="{3F06D667-6E30-4977-AF84-A5EA74F8703F}">
      <text>
        <r>
          <rPr>
            <sz val="9"/>
            <color indexed="81"/>
            <rFont val="Tahoma"/>
            <family val="2"/>
          </rPr>
          <t xml:space="preserve">
</t>
        </r>
      </text>
    </comment>
    <comment ref="A16" authorId="0" shapeId="0" xr:uid="{48A39D86-5E80-4F9C-8EE5-0D3CAC5D68D9}">
      <text>
        <r>
          <rPr>
            <sz val="9"/>
            <color indexed="81"/>
            <rFont val="Tahoma"/>
            <family val="2"/>
          </rPr>
          <t xml:space="preserve">
</t>
        </r>
      </text>
    </comment>
    <comment ref="A17" authorId="0" shapeId="0" xr:uid="{EC99AFC0-C0E9-4201-BD0C-8A0415596762}">
      <text>
        <r>
          <rPr>
            <sz val="9"/>
            <color indexed="81"/>
            <rFont val="Tahoma"/>
            <family val="2"/>
          </rPr>
          <t xml:space="preserve">
</t>
        </r>
      </text>
    </comment>
    <comment ref="F18" authorId="0" shapeId="0" xr:uid="{27E2F9EF-5417-4BC2-B64A-35F5140B55C6}">
      <text/>
    </comment>
    <comment ref="A19" authorId="0" shapeId="0" xr:uid="{B3A26CBB-A06C-4736-A830-CBFBF499CCB2}">
      <text/>
    </comment>
    <comment ref="A20" authorId="0" shapeId="0" xr:uid="{2A2BA8E2-0823-44C3-BD0D-E94B10119746}">
      <text>
        <r>
          <rPr>
            <sz val="9"/>
            <color indexed="81"/>
            <rFont val="Tahoma"/>
            <family val="2"/>
          </rPr>
          <t xml:space="preserve">
</t>
        </r>
      </text>
    </comment>
    <comment ref="F20" authorId="0" shapeId="0" xr:uid="{F8FD72A6-907C-4566-8C89-E028F4264AEA}">
      <text>
        <r>
          <rPr>
            <sz val="9"/>
            <color indexed="81"/>
            <rFont val="Tahoma"/>
            <family val="2"/>
          </rPr>
          <t xml:space="preserve">
</t>
        </r>
      </text>
    </comment>
    <comment ref="F21" authorId="0" shapeId="0" xr:uid="{1C3FC174-325D-43A9-8E2B-5B5954E11745}">
      <text>
        <r>
          <rPr>
            <b/>
            <sz val="9"/>
            <color indexed="81"/>
            <rFont val="Tahoma"/>
            <family val="2"/>
          </rPr>
          <t>Tick box if you have updated the firmware</t>
        </r>
      </text>
    </comment>
    <comment ref="A23" authorId="0" shapeId="0" xr:uid="{DD4607BB-A687-44DC-8FFC-E74B0E7AE707}">
      <text>
        <r>
          <rPr>
            <sz val="9"/>
            <color indexed="81"/>
            <rFont val="Tahoma"/>
            <family val="2"/>
          </rPr>
          <t xml:space="preserve">
</t>
        </r>
      </text>
    </comment>
    <comment ref="A24" authorId="0" shapeId="0" xr:uid="{3EE3CFAB-DFF6-4E9D-984C-E5396DC7458F}">
      <text>
        <r>
          <rPr>
            <sz val="9"/>
            <color indexed="81"/>
            <rFont val="Tahoma"/>
            <family val="2"/>
          </rPr>
          <t xml:space="preserve">
</t>
        </r>
      </text>
    </comment>
    <comment ref="A25" authorId="0" shapeId="0" xr:uid="{DB030CEB-BB75-45FC-A5F3-2225758A431D}">
      <text>
        <r>
          <rPr>
            <sz val="9"/>
            <color indexed="81"/>
            <rFont val="Tahoma"/>
            <family val="2"/>
          </rPr>
          <t xml:space="preserve">
</t>
        </r>
      </text>
    </comment>
    <comment ref="A28" authorId="0" shapeId="0" xr:uid="{018E68FA-C3C3-4758-815F-4A866CC8E2EB}">
      <text>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30" authorId="0" shapeId="0" xr:uid="{00000000-0006-0000-0500-000001000000}">
      <text>
        <r>
          <rPr>
            <b/>
            <sz val="8"/>
            <color rgb="FF000000"/>
            <rFont val="Tahoma"/>
            <family val="2"/>
            <charset val="1"/>
          </rPr>
          <t xml:space="preserve">Steven Willett:
DO NOT ALTER THESE FIELDS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Ben Brown</author>
  </authors>
  <commentList>
    <comment ref="D9" authorId="0" shapeId="0" xr:uid="{22B46561-FDE5-494E-80EF-BB414863A396}">
      <text>
        <r>
          <rPr>
            <sz val="9"/>
            <color indexed="81"/>
            <rFont val="Tahoma"/>
            <family val="2"/>
          </rPr>
          <t xml:space="preserve">
</t>
        </r>
      </text>
    </comment>
    <comment ref="D11" authorId="0" shapeId="0" xr:uid="{D5057287-B944-4BED-9C2D-785437B6AD57}">
      <text>
        <r>
          <rPr>
            <sz val="9"/>
            <color indexed="81"/>
            <rFont val="Tahoma"/>
            <family val="2"/>
          </rPr>
          <t xml:space="preserve">
</t>
        </r>
      </text>
    </comment>
    <comment ref="B15" authorId="0" shapeId="0" xr:uid="{B7672D3A-5639-47BA-BFDE-6364E5A386C8}">
      <text/>
    </comment>
    <comment ref="A18" authorId="0" shapeId="0" xr:uid="{53C9B12D-6E06-4E73-A553-210A35198EEB}">
      <text/>
    </comment>
    <comment ref="A22" authorId="0" shapeId="0" xr:uid="{D5085744-3811-41B6-8CE4-F19C4C796634}">
      <text>
        <r>
          <rPr>
            <sz val="12"/>
            <color indexed="81"/>
            <rFont val="Arial Black"/>
            <family val="2"/>
          </rPr>
          <t xml:space="preserve">10% range of values for 16mg/L:
3,140,000 - 3,830,000
</t>
        </r>
      </text>
    </comment>
    <comment ref="A23" authorId="0" shapeId="0" xr:uid="{188657B0-B653-409B-B89A-58686A825310}">
      <text>
        <r>
          <rPr>
            <sz val="12"/>
            <color indexed="81"/>
            <rFont val="Arial Black"/>
            <family val="2"/>
          </rPr>
          <t>10% range of values for 16mg/L:
1,232,000 - 1,505,000</t>
        </r>
      </text>
    </comment>
    <comment ref="A24" authorId="0" shapeId="0" xr:uid="{D4C16A86-F627-483A-9654-6C630251089B}">
      <text>
        <r>
          <rPr>
            <sz val="12"/>
            <color indexed="81"/>
            <rFont val="Arial Black"/>
            <family val="2"/>
          </rPr>
          <t>10% range of values for 16mg/L:
88,000 - 107,000</t>
        </r>
      </text>
    </comment>
    <comment ref="A25" authorId="0" shapeId="0" xr:uid="{022F7928-6822-4E10-9484-1F04E3A60F5E}">
      <text>
        <r>
          <rPr>
            <sz val="12"/>
            <color indexed="81"/>
            <rFont val="Arial Black"/>
            <family val="2"/>
          </rPr>
          <t>10% range of values for 16mg/L:
22,000- 26,500</t>
        </r>
      </text>
    </comment>
    <comment ref="A26" authorId="0" shapeId="0" xr:uid="{F3021A10-FB6A-4EF5-967F-095D5C8B3128}">
      <text>
        <r>
          <rPr>
            <sz val="12"/>
            <color indexed="81"/>
            <rFont val="Arial Black"/>
            <family val="2"/>
          </rPr>
          <t>10% range of values for 16mg/L:
10,300 - 12,500</t>
        </r>
      </text>
    </comment>
    <comment ref="A27" authorId="0" shapeId="0" xr:uid="{840D506F-7E3E-418A-BFDA-5F0D0752DF14}">
      <text>
        <r>
          <rPr>
            <sz val="12"/>
            <color indexed="81"/>
            <rFont val="Arial Black"/>
            <family val="2"/>
          </rPr>
          <t>10% range of values for 16mg/L:
1610 - 1960</t>
        </r>
        <r>
          <rPr>
            <sz val="9"/>
            <color indexed="81"/>
            <rFont val="Tahoma"/>
            <family val="2"/>
          </rPr>
          <t xml:space="preserve">
</t>
        </r>
      </text>
    </comment>
    <comment ref="A32" authorId="0" shapeId="0" xr:uid="{9B35048C-5377-442D-9347-3B55085939B4}">
      <text>
        <r>
          <rPr>
            <sz val="9"/>
            <color indexed="81"/>
            <rFont val="Tahoma"/>
            <family val="2"/>
          </rPr>
          <t xml:space="preserve">
</t>
        </r>
      </text>
    </comment>
    <comment ref="D6969" authorId="0" shapeId="0" xr:uid="{50513E03-7DF5-4B0F-9929-5CD4F7D4DC4B}">
      <text>
        <r>
          <rPr>
            <sz val="9"/>
            <color indexed="81"/>
            <rFont val="Tahoma"/>
            <family val="2"/>
          </rPr>
          <t xml:space="preserve">
</t>
        </r>
      </text>
    </comment>
    <comment ref="E7073" authorId="0" shapeId="0" xr:uid="{5E8EEBC2-51C6-4BDA-A9B5-2DB0A18BB285}">
      <text>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Ben Brown</author>
  </authors>
  <commentList>
    <comment ref="C4" authorId="0" shapeId="0" xr:uid="{40D1CAE5-20D8-4191-B93E-B8ACE63D63E8}">
      <text/>
    </comment>
    <comment ref="C5" authorId="0" shapeId="0" xr:uid="{E2FD319B-0267-45E7-AB90-8B1603371BFE}">
      <text>
        <r>
          <rPr>
            <sz val="9"/>
            <color indexed="81"/>
            <rFont val="Tahoma"/>
            <family val="2"/>
          </rPr>
          <t xml:space="preserve">
</t>
        </r>
      </text>
    </comment>
    <comment ref="C7" authorId="0" shapeId="0" xr:uid="{921B988F-505C-41DE-BB23-17AA97B31EAA}">
      <text>
        <r>
          <rPr>
            <sz val="9"/>
            <color indexed="81"/>
            <rFont val="Tahoma"/>
            <family val="2"/>
          </rPr>
          <t xml:space="preserve">
</t>
        </r>
      </text>
    </comment>
    <comment ref="C8" authorId="0" shapeId="0" xr:uid="{5DC148EF-339C-48C2-B406-29C997EC6BC7}">
      <text>
        <r>
          <rPr>
            <sz val="9"/>
            <color indexed="81"/>
            <rFont val="Tahoma"/>
            <family val="2"/>
          </rPr>
          <t xml:space="preserve">
</t>
        </r>
      </text>
    </comment>
    <comment ref="C9" authorId="0" shapeId="0" xr:uid="{AD602422-7CC2-4668-99BE-A23C38E10A8C}">
      <text>
        <r>
          <rPr>
            <b/>
            <sz val="9"/>
            <color indexed="81"/>
            <rFont val="Tahoma"/>
            <family val="2"/>
          </rPr>
          <t>Check the contamination code targets in User Settings against the screenshot you took on the Job Card</t>
        </r>
      </text>
    </comment>
    <comment ref="C11" authorId="0" shapeId="0" xr:uid="{6CEC8216-5A42-4D1B-9974-1E11532F012E}">
      <text/>
    </comment>
    <comment ref="C12" authorId="0" shapeId="0" xr:uid="{82331BBA-1DF3-43FF-8C7B-238EFA4A1C43}">
      <text>
        <r>
          <rPr>
            <sz val="9"/>
            <color indexed="81"/>
            <rFont val="Tahoma"/>
            <family val="2"/>
          </rPr>
          <t xml:space="preserve">
</t>
        </r>
      </text>
    </comment>
    <comment ref="C18" authorId="0" shapeId="0" xr:uid="{ABDC598D-523C-4705-9C65-2FB10817FCD7}">
      <text/>
    </comment>
    <comment ref="C20" authorId="0" shapeId="0" xr:uid="{F6E28DE1-7A09-4EB8-A2CD-DE708F47D805}">
      <text/>
    </comment>
    <comment ref="C21" authorId="0" shapeId="0" xr:uid="{87B5BDE5-6BE8-4859-A6AE-64ABF3E80626}">
      <text>
        <r>
          <rPr>
            <sz val="9"/>
            <color indexed="81"/>
            <rFont val="Tahoma"/>
            <family val="2"/>
          </rPr>
          <t xml:space="preserve">
</t>
        </r>
      </text>
    </comment>
    <comment ref="C24" authorId="0" shapeId="0" xr:uid="{CF3B3965-CAB7-4473-8F15-6342A3D1CBE7}">
      <text>
        <r>
          <rPr>
            <sz val="9"/>
            <color indexed="81"/>
            <rFont val="Tahoma"/>
            <family val="2"/>
          </rPr>
          <t xml:space="preserve">
</t>
        </r>
      </text>
    </comment>
    <comment ref="C25" authorId="0" shapeId="0" xr:uid="{41F6FD97-60CD-4113-BBD8-C9ACB7ECE6DD}">
      <text>
        <r>
          <rPr>
            <sz val="9"/>
            <color indexed="81"/>
            <rFont val="Tahoma"/>
            <family val="2"/>
          </rPr>
          <t xml:space="preserve">
</t>
        </r>
      </text>
    </comment>
    <comment ref="C26" authorId="0" shapeId="0" xr:uid="{1DDDC199-E7F3-4D80-989D-079F4466F83E}">
      <text>
        <r>
          <rPr>
            <sz val="9"/>
            <color indexed="81"/>
            <rFont val="Tahoma"/>
            <family val="2"/>
          </rPr>
          <t xml:space="preserve">
</t>
        </r>
      </text>
    </comment>
    <comment ref="C32" authorId="0" shapeId="0" xr:uid="{599CF573-F040-446D-9AB9-71F2B31B0E57}">
      <text>
        <r>
          <rPr>
            <b/>
            <sz val="9"/>
            <color indexed="81"/>
            <rFont val="Tahoma"/>
            <family val="2"/>
          </rPr>
          <t xml:space="preserve">Every orange box must be filled in, check CMP number and Serial number, see notes on the sheet for advice for filling out
</t>
        </r>
      </text>
    </comment>
    <comment ref="C33" authorId="0" shapeId="0" xr:uid="{4EB01146-771C-4A0F-9E24-2BF69B44750A}">
      <text>
        <r>
          <rPr>
            <b/>
            <sz val="9"/>
            <color indexed="81"/>
            <rFont val="Tahoma"/>
            <family val="2"/>
          </rPr>
          <t>Choose correct company ie CC Jensen, Descase for RMF etc. For Descase Cal cert, check print layout before printing</t>
        </r>
      </text>
    </comment>
    <comment ref="C34" authorId="0" shapeId="0" xr:uid="{DC68D4DD-249A-40BD-AA5B-F0BC74ADEEB4}">
      <text>
        <r>
          <rPr>
            <b/>
            <sz val="9"/>
            <color indexed="81"/>
            <rFont val="Tahoma"/>
            <family val="2"/>
          </rPr>
          <t>Save in Service &amp; Recal folder in format:
SN#_DDMMYY_"CC"_Service number</t>
        </r>
      </text>
    </comment>
    <comment ref="C36" authorId="0" shapeId="0" xr:uid="{C3C14181-1106-45BC-9205-9122D6D11222}">
      <text>
        <r>
          <rPr>
            <b/>
            <sz val="9"/>
            <color indexed="81"/>
            <rFont val="Tahoma"/>
            <family val="2"/>
          </rPr>
          <t>Green if SO has been generated, purple if still awaiting SO</t>
        </r>
      </text>
    </comment>
    <comment ref="C37" authorId="0" shapeId="0" xr:uid="{306BFCF0-4354-46AA-9D9B-8BF5CFE84E57}">
      <text>
        <r>
          <rPr>
            <b/>
            <sz val="9"/>
            <color indexed="81"/>
            <rFont val="Tahoma"/>
            <family val="2"/>
          </rPr>
          <t>Pressure tests, and fill in the rig (oil flow) section from the calibration screenshot you took</t>
        </r>
      </text>
    </comment>
    <comment ref="C38" authorId="0" shapeId="0" xr:uid="{18F8801F-517B-4B33-BEFC-1CDC17947172}">
      <text>
        <r>
          <rPr>
            <b/>
            <sz val="9"/>
            <color indexed="81"/>
            <rFont val="Tahoma"/>
            <family val="2"/>
          </rPr>
          <t>Add the number of units you have calibrated to the tally</t>
        </r>
      </text>
    </comment>
    <comment ref="C43" authorId="0" shapeId="0" xr:uid="{6CAB4C53-2965-4F9A-96D7-2DF858A2FDC4}">
      <text>
        <r>
          <rPr>
            <b/>
            <sz val="9"/>
            <color indexed="81"/>
            <rFont val="Tahoma"/>
            <family val="2"/>
          </rPr>
          <t xml:space="preserve">Do NOT switch valve from test to clean-up while the rig is running
</t>
        </r>
      </text>
    </comment>
    <comment ref="C45" authorId="0" shapeId="0" xr:uid="{5418AA86-7337-417B-A4F9-EB81ADC679B8}">
      <text>
        <r>
          <rPr>
            <b/>
            <sz val="9"/>
            <color indexed="81"/>
            <rFont val="Tahoma"/>
            <family val="2"/>
          </rPr>
          <t>Connect outlet of bottle sampler to inlet of first ICM in line on top and bottom row</t>
        </r>
      </text>
    </comment>
    <comment ref="C46" authorId="0" shapeId="0" xr:uid="{46245564-66AA-4829-8C63-5D807A93DA54}">
      <text>
        <r>
          <rPr>
            <b/>
            <sz val="9"/>
            <color indexed="81"/>
            <rFont val="Tahoma"/>
            <family val="2"/>
          </rPr>
          <t>If the calibration is finished, you can blow air straight back into drum of rig</t>
        </r>
      </text>
    </comment>
    <comment ref="C47" authorId="0" shapeId="0" xr:uid="{2AAAB292-5EAE-4340-9F76-E122A5CD9C6E}">
      <text>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8" background="1" saveData="1">
    <textPr codePage="850" sourceFile="C:\Users\Jane.Carter\MP Filtri S.p.A\MP Filtri - UK - General documentation\CMP Documentation\Product Records\Calibration\204-2025-12-08.ipccal" comma="1">
      <textFields count="2">
        <textField/>
        <textField/>
      </textFields>
    </textPr>
  </connection>
</connections>
</file>

<file path=xl/sharedStrings.xml><?xml version="1.0" encoding="utf-8"?>
<sst xmlns="http://schemas.openxmlformats.org/spreadsheetml/2006/main" count="1012" uniqueCount="416">
  <si>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</si>
  <si>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</si>
  <si>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</si>
  <si>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</si>
  <si>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</si>
  <si>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</si>
  <si>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</si>
  <si>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</si>
  <si>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</si>
  <si>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</si>
  <si>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</si>
  <si>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</si>
  <si>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</si>
  <si>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</si>
  <si>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</si>
  <si>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</si>
  <si>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</si>
  <si>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</si>
  <si>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</si>
  <si>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</si>
  <si>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</si>
  <si>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</si>
  <si>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Serial Number</t>
  </si>
  <si>
    <t>Product</t>
  </si>
  <si>
    <t>Customer</t>
  </si>
  <si>
    <t>Booking Date</t>
  </si>
  <si>
    <t>Service No.</t>
  </si>
  <si>
    <t>Sales Order</t>
  </si>
  <si>
    <t>Works Order</t>
  </si>
  <si>
    <t>Box Kept?</t>
  </si>
  <si>
    <t>Calibration Screen</t>
  </si>
  <si>
    <t xml:space="preserve">Initial </t>
  </si>
  <si>
    <t>Rig - (oil flow)</t>
  </si>
  <si>
    <t>Service carried out by:</t>
  </si>
  <si>
    <t>Photocurrent</t>
  </si>
  <si>
    <t>J Scarrott</t>
  </si>
  <si>
    <t>RH %</t>
  </si>
  <si>
    <t>Continuous Testing Options</t>
  </si>
  <si>
    <t>Additional notes</t>
  </si>
  <si>
    <t>Temp</t>
  </si>
  <si>
    <t>Test continuously</t>
  </si>
  <si>
    <t>User Settings</t>
  </si>
  <si>
    <t>Log continuously</t>
  </si>
  <si>
    <t>Format</t>
  </si>
  <si>
    <t>Simulated Test</t>
  </si>
  <si>
    <t>Stop testing when clean</t>
  </si>
  <si>
    <t>Confirm target levels</t>
  </si>
  <si>
    <t>Alarm Mode</t>
  </si>
  <si>
    <t>Ignore initial tests</t>
  </si>
  <si>
    <t>System Settings</t>
  </si>
  <si>
    <t xml:space="preserve">Pressure Tests </t>
  </si>
  <si>
    <t>Sensing Vol. Parameters</t>
  </si>
  <si>
    <t>500b Static</t>
  </si>
  <si>
    <t>Test Reference</t>
  </si>
  <si>
    <t>500b Pulse</t>
  </si>
  <si>
    <t>Contamination Code Target/Alarm Levels</t>
  </si>
  <si>
    <t xml:space="preserve">RH </t>
  </si>
  <si>
    <t>Upper</t>
  </si>
  <si>
    <t>Lower</t>
  </si>
  <si>
    <t>Other Sizes</t>
  </si>
  <si>
    <t>Electronic Changes</t>
  </si>
  <si>
    <t>PCBR</t>
  </si>
  <si>
    <t>PCBT</t>
  </si>
  <si>
    <t>PCBK</t>
  </si>
  <si>
    <t>Date Returned</t>
  </si>
  <si>
    <t>Serial numbers</t>
  </si>
  <si>
    <t>Service Number</t>
  </si>
  <si>
    <t>Faults Identified</t>
  </si>
  <si>
    <t>Work Carried Out / Faulty Parts Replaced</t>
  </si>
  <si>
    <t>Further Recommendations</t>
  </si>
  <si>
    <t>Service Carried Out By</t>
  </si>
  <si>
    <t>Service Quotation:</t>
  </si>
  <si>
    <t>Serial number of unit(s):</t>
  </si>
  <si>
    <t>Customer:</t>
  </si>
  <si>
    <t>Date:</t>
  </si>
  <si>
    <t xml:space="preserve">Required work: </t>
  </si>
  <si>
    <t>Fault Found</t>
  </si>
  <si>
    <t>Work Done</t>
  </si>
  <si>
    <t>Cost details:</t>
  </si>
  <si>
    <t>All figures are in GBP £</t>
  </si>
  <si>
    <t>Stock Code</t>
  </si>
  <si>
    <t>Description</t>
  </si>
  <si>
    <t>Qty</t>
  </si>
  <si>
    <t xml:space="preserve">Price </t>
  </si>
  <si>
    <t>Discount %</t>
  </si>
  <si>
    <t>Net Price</t>
  </si>
  <si>
    <t>Total</t>
  </si>
  <si>
    <t>VAT</t>
  </si>
  <si>
    <t>GROSS</t>
  </si>
  <si>
    <t>Customer Authorisation</t>
  </si>
  <si>
    <t>Please sign and return this authorisation to swillett@mpfiltri.co.uk or sales@mpfiltri.co.uk</t>
  </si>
  <si>
    <t xml:space="preserve">We accept the above cost to be added to any current order lines, please advise if this isn't acceptable </t>
  </si>
  <si>
    <t>We accept the above service quotation and authorise MP Filtri to proceed with the repairs</t>
  </si>
  <si>
    <t>Signed……………………………………………………………………………………………………………….</t>
  </si>
  <si>
    <t>Service quote number</t>
  </si>
  <si>
    <t>Date of service quote</t>
  </si>
  <si>
    <t>= Locked cells</t>
  </si>
  <si>
    <t>Rev 1</t>
  </si>
  <si>
    <t>CMP type</t>
  </si>
  <si>
    <t>Units</t>
  </si>
  <si>
    <t>Date</t>
  </si>
  <si>
    <t>-</t>
  </si>
  <si>
    <t>Cert No.</t>
  </si>
  <si>
    <t>MTD Batch No.</t>
  </si>
  <si>
    <t>mg/L</t>
  </si>
  <si>
    <t>Calculated final concentration</t>
  </si>
  <si>
    <t>Test Rig No.</t>
  </si>
  <si>
    <t>Calibrated by</t>
  </si>
  <si>
    <t>(Light Source, LS1)</t>
  </si>
  <si>
    <t>Particle Size Required (µm)</t>
  </si>
  <si>
    <t>Set Thresholds</t>
  </si>
  <si>
    <t>Add screen shots from LPA View of calibration here, include, LED  Power level, and W results (where applicable)</t>
  </si>
  <si>
    <t>Test result</t>
  </si>
  <si>
    <t>Target</t>
  </si>
  <si>
    <t>% Deviation 1</t>
  </si>
  <si>
    <t>% Deviation 2</t>
  </si>
  <si>
    <t>% Deviation 3</t>
  </si>
  <si>
    <t>Average Value</t>
  </si>
  <si>
    <t>% Deviation Ave.</t>
  </si>
  <si>
    <t>MP Filtri UK Ltd</t>
  </si>
  <si>
    <t>Bourton on the Water Industrial Park</t>
  </si>
  <si>
    <t>Gloucestershire</t>
  </si>
  <si>
    <t>England</t>
  </si>
  <si>
    <t>GL54 2HQ</t>
  </si>
  <si>
    <t>Tel: +44 (0) 1451 822522</t>
  </si>
  <si>
    <t>www.mpfiltri.co.uk</t>
  </si>
  <si>
    <t>CERTIFICATE OF CALIBRATION</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</si>
  <si>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</si>
  <si>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</si>
  <si>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</si>
  <si>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</si>
  <si>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</si>
  <si>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</si>
  <si>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</si>
  <si>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</si>
  <si>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</si>
  <si>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</si>
  <si>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</si>
  <si>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</si>
  <si>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</si>
  <si>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</si>
  <si>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</si>
  <si>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</si>
  <si>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</si>
  <si>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</si>
  <si>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</si>
  <si>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</si>
  <si>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</si>
  <si>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</si>
  <si>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</si>
  <si>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</si>
  <si>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</si>
  <si>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</si>
  <si>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</si>
  <si>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</si>
  <si>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</si>
  <si>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</si>
  <si>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</si>
  <si>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</si>
  <si>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</si>
  <si>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</si>
  <si>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</si>
  <si>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</si>
  <si>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</si>
  <si>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</si>
  <si>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 (refer to ICM diagnostics)</t>
  </si>
  <si>
    <t>CALIBRATED BY</t>
  </si>
  <si>
    <t>Position</t>
  </si>
  <si>
    <t>Calibration Lab Technician</t>
  </si>
  <si>
    <t>Newly purchased products are covered under warranty for 12 months from first use</t>
  </si>
  <si>
    <t>We hereby certify that this instrument meets standard performance criteria, providing calibration results within +/-10% of target concentration values from &gt;4um to &gt;38um, and exhibits a sensitivity threshold ratio of greater than 1.19 for each light source</t>
  </si>
  <si>
    <t>Products being returned for re-calibration are verified for accuracy for a further 12 months. This does not extend the warranty.</t>
  </si>
  <si>
    <t>Customers are responsible for managing the intervals between calibration's as defined within IS0 9001:2000</t>
  </si>
  <si>
    <t>Doc No. 200.XXX</t>
  </si>
  <si>
    <t>Sheet 1</t>
  </si>
  <si>
    <t>Page 1 of 1</t>
  </si>
  <si>
    <t>Doc No. 202.027</t>
  </si>
  <si>
    <t>2 YEARS FROM FIRST USE (refer to OCM diagnostics)</t>
  </si>
  <si>
    <t>AMBIENT TEMPERATURE OF TEST AREA</t>
  </si>
  <si>
    <t>21C</t>
  </si>
  <si>
    <t>CALIBRATED FOR SUNHML ON BEHALF OF THE ROYAL SAUDI AIR FORCE, SAUDI ARABIA</t>
  </si>
  <si>
    <t>CALIBRATION RESULTS</t>
  </si>
  <si>
    <t>CALIBRATION DOCUMENT VALUES</t>
  </si>
  <si>
    <t xml:space="preserve">    RIG PARAMETERS</t>
  </si>
  <si>
    <t>ICM SETTINGS</t>
  </si>
  <si>
    <t>FACTORY SET OPTIONS</t>
  </si>
  <si>
    <t>FLOW CELL PARAMETERS</t>
  </si>
  <si>
    <t>THRESHOLDS</t>
  </si>
  <si>
    <t>USER SETTINGS</t>
  </si>
  <si>
    <t>TEST MODE</t>
  </si>
  <si>
    <t>SET LIMITS</t>
  </si>
  <si>
    <t>RH SENSOR CALIBRATION</t>
  </si>
  <si>
    <t>verification_count_0_0</t>
  </si>
  <si>
    <t>verification_count_0_1</t>
  </si>
  <si>
    <t>verification_count_0_2</t>
  </si>
  <si>
    <t>verification_count_0_3</t>
  </si>
  <si>
    <t>verification_count_0_4</t>
  </si>
  <si>
    <t>verification_count_0_5</t>
  </si>
  <si>
    <t>verification_count_0_6</t>
  </si>
  <si>
    <t>verification_count_0_7</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</si>
  <si>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</si>
  <si>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</si>
  <si>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</si>
  <si>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</si>
  <si>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</si>
  <si>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</si>
  <si>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</si>
  <si>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</si>
  <si>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</si>
  <si>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</si>
  <si>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</si>
  <si>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</si>
  <si>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</si>
  <si>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</si>
  <si>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</si>
  <si>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</si>
  <si>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no_noise_threshold</t>
  </si>
  <si>
    <t>led_level</t>
  </si>
  <si>
    <t>date_</t>
  </si>
  <si>
    <t>serial_number_</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</si>
  <si>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</si>
  <si>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</si>
  <si>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</si>
  <si>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</si>
  <si>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</si>
  <si>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</si>
  <si>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</si>
  <si>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</si>
  <si>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</si>
  <si>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</si>
  <si>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</si>
  <si>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</si>
  <si>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time</t>
  </si>
  <si>
    <t>serial_number</t>
  </si>
  <si>
    <t>hwRevision</t>
  </si>
  <si>
    <t>user_lock</t>
  </si>
  <si>
    <t>user_pass</t>
  </si>
  <si>
    <t>CycleCount</t>
  </si>
  <si>
    <t>last_download</t>
  </si>
  <si>
    <t>SET_OPT_LOG</t>
  </si>
  <si>
    <t>SET_OPT_WATER</t>
  </si>
  <si>
    <t>SET_OPT_RELAYS</t>
  </si>
  <si>
    <t>SET_OPT_K_DISABLED</t>
  </si>
  <si>
    <t>SET_OPT_CAN</t>
  </si>
  <si>
    <t>SET_OPT_CAL_DUE_UNSET</t>
  </si>
  <si>
    <t>SET_OPT_START_SIGNAL_DELIMITS_TEST</t>
  </si>
  <si>
    <t>SET_OPT_USB_HOST</t>
  </si>
  <si>
    <t>SET_OPT_4_20mA</t>
  </si>
  <si>
    <t>SET_OPT_ISO4406_GTE</t>
  </si>
  <si>
    <t>SET_OPT_SIMULATED_CALIBRATIONS</t>
  </si>
  <si>
    <t>effective_slit_width</t>
  </si>
  <si>
    <t>effective_slit_height</t>
  </si>
  <si>
    <t>divergence_milliradians</t>
  </si>
  <si>
    <t>channel_depth</t>
  </si>
  <si>
    <t>flow_multiplier</t>
  </si>
  <si>
    <t>calibration_led_level_initial</t>
  </si>
  <si>
    <t>calibration_led_level_last</t>
  </si>
  <si>
    <t>calibration_led_level_alarm</t>
  </si>
  <si>
    <t>calibration_date_last</t>
  </si>
  <si>
    <t>calibration_date_next</t>
  </si>
  <si>
    <t>level[0]</t>
  </si>
  <si>
    <t>level[1]</t>
  </si>
  <si>
    <t>level[2]</t>
  </si>
  <si>
    <t>level[3]</t>
  </si>
  <si>
    <t>level[4]</t>
  </si>
  <si>
    <t>level[5]</t>
  </si>
  <si>
    <t>level[6]</t>
  </si>
  <si>
    <t>level[7]</t>
  </si>
  <si>
    <t>source_drive</t>
  </si>
  <si>
    <t>detection_threshold</t>
  </si>
  <si>
    <t>tz_offset_seconds</t>
  </si>
  <si>
    <t>backlight_rgb[0]</t>
  </si>
  <si>
    <t>backlight_rgb[1]</t>
  </si>
  <si>
    <t>backlight_rgb[2]</t>
  </si>
  <si>
    <t>ref</t>
  </si>
  <si>
    <t>continous_mode_confirm_target_n</t>
  </si>
  <si>
    <t>ignore_initial_n</t>
  </si>
  <si>
    <t>result_format</t>
  </si>
  <si>
    <t>test_time</t>
  </si>
  <si>
    <t>test_number</t>
  </si>
  <si>
    <t>test_interval</t>
  </si>
  <si>
    <t>log_interval</t>
  </si>
  <si>
    <t>SET_MODE_CYCLE_CONTINUOUS</t>
  </si>
  <si>
    <t>SET_MODE_START_TEST_AUTOMATICALLY</t>
  </si>
  <si>
    <t>SET_MODE_CONTINUOUS_STOP_WHEN_CLEAN</t>
  </si>
  <si>
    <t>SET_MODE_CONTINUOUS_LOG_EVERY_TEST</t>
  </si>
  <si>
    <t>SET_MODE_CONTINUOUS_CONFIRM_TARGET</t>
  </si>
  <si>
    <t>SET_MODE_START_SIGNAL_DELIMITS_TEST</t>
  </si>
  <si>
    <t>SET_MODE_AS4059E2_NO_4U</t>
  </si>
  <si>
    <t>SET_MODE_SIMULATE</t>
  </si>
  <si>
    <t>SET_MODE_LOW_FLOW_CLEAN_DISABLED</t>
  </si>
  <si>
    <t>SET_MODE_BUBBLE_MITIGATION</t>
  </si>
  <si>
    <t>clean[0]</t>
  </si>
  <si>
    <t>clean[1]</t>
  </si>
  <si>
    <t>clean[2]</t>
  </si>
  <si>
    <t>clean[3]</t>
  </si>
  <si>
    <t>clean[4]</t>
  </si>
  <si>
    <t>clean[5]</t>
  </si>
  <si>
    <t>clean[6]</t>
  </si>
  <si>
    <t>clean[7]</t>
  </si>
  <si>
    <t>dirty[0]</t>
  </si>
  <si>
    <t>dirty[1]</t>
  </si>
  <si>
    <t>dirty[2]</t>
  </si>
  <si>
    <t>dirty[3]</t>
  </si>
  <si>
    <t>dirty[4]</t>
  </si>
  <si>
    <t>dirty[5]</t>
  </si>
  <si>
    <t>dirty[6]</t>
  </si>
  <si>
    <t>dirty[7]</t>
  </si>
  <si>
    <t>h2o_max</t>
  </si>
  <si>
    <t>h2o_min</t>
  </si>
  <si>
    <t>temperature_max</t>
  </si>
  <si>
    <t>temperature_min</t>
  </si>
  <si>
    <t>alarm_mode</t>
  </si>
  <si>
    <t>alarm_mode_2</t>
  </si>
  <si>
    <t>modbus_address</t>
  </si>
  <si>
    <t>can_base_address</t>
  </si>
  <si>
    <t>can_baud</t>
  </si>
  <si>
    <t>com_options</t>
  </si>
  <si>
    <t>version</t>
  </si>
  <si>
    <t>cal_count</t>
  </si>
  <si>
    <t>serial</t>
  </si>
  <si>
    <t>point[0].rh</t>
  </si>
  <si>
    <t>point[0].capacitance_pf</t>
  </si>
  <si>
    <t>point[0].resistance_ohms</t>
  </si>
  <si>
    <t>point[0].temperature</t>
  </si>
  <si>
    <t>point[1].rh</t>
  </si>
  <si>
    <t>point[1].capacitance_pf</t>
  </si>
  <si>
    <t>point[1].resistance_ohms</t>
  </si>
  <si>
    <t>point[1].temperature</t>
  </si>
  <si>
    <t>cal[0].date</t>
  </si>
  <si>
    <t>cal[0].calibrator_serial</t>
  </si>
  <si>
    <t>cal[0].c0</t>
  </si>
  <si>
    <t>cal[0].s</t>
  </si>
  <si>
    <t>cal[0].r0</t>
  </si>
  <si>
    <t>cal[0].rs</t>
  </si>
  <si>
    <t>indicated_rh[0]</t>
  </si>
  <si>
    <t>indicated_temperature[0]</t>
  </si>
  <si>
    <t>cal[1].date</t>
  </si>
  <si>
    <t>cal[1].calibrator_serial</t>
  </si>
  <si>
    <t>cal[1].c0</t>
  </si>
  <si>
    <t>cal[1].s</t>
  </si>
  <si>
    <t>cal[1].r0</t>
  </si>
  <si>
    <t>cal[1].rs</t>
  </si>
  <si>
    <t>indicated_rh[1]</t>
  </si>
  <si>
    <t>indicated_temperature[1]</t>
  </si>
  <si>
    <t>nA</t>
  </si>
  <si>
    <t>12798M</t>
  </si>
  <si>
    <t>1 YEAR FROM FIRST USE (refer to CMS diagnostics)</t>
  </si>
  <si>
    <t>C Jones</t>
  </si>
  <si>
    <t>ISO4406:1999</t>
  </si>
  <si>
    <t>N</t>
  </si>
  <si>
    <t>MK II</t>
  </si>
  <si>
    <t>Product Code</t>
  </si>
  <si>
    <t>B Brown</t>
  </si>
  <si>
    <t>NAS1638</t>
  </si>
  <si>
    <t>MK I</t>
  </si>
  <si>
    <t>A Hayward</t>
  </si>
  <si>
    <t>AS4059E Table 2</t>
  </si>
  <si>
    <t>MK I (OLD)</t>
  </si>
  <si>
    <t>A Wallace</t>
  </si>
  <si>
    <t xml:space="preserve">AS4095E Table 1 </t>
  </si>
  <si>
    <t>A Mustoe</t>
  </si>
  <si>
    <t>ISO11218</t>
  </si>
  <si>
    <t>AS4059F Table 2</t>
  </si>
  <si>
    <t>Checks carried out by</t>
  </si>
  <si>
    <t>S Mosson</t>
  </si>
  <si>
    <t>AS4095F Table 1</t>
  </si>
  <si>
    <t>A Buckley</t>
  </si>
  <si>
    <t>(nA)</t>
  </si>
  <si>
    <r>
      <rPr>
        <sz val="9"/>
        <rFont val="Book Antiqua"/>
        <family val="1"/>
      </rPr>
      <t>Calibration carried out by</t>
    </r>
    <r>
      <rPr>
        <sz val="10"/>
        <rFont val="Book Antiqua"/>
        <family val="1"/>
      </rPr>
      <t>:</t>
    </r>
  </si>
  <si>
    <t>Start testing automatically</t>
  </si>
  <si>
    <t>Low Flow Alarm Disabled</t>
  </si>
  <si>
    <t>Before stopping (x) times?</t>
  </si>
  <si>
    <t>Firmware Updated</t>
  </si>
  <si>
    <t>Y/N?</t>
  </si>
  <si>
    <t>Accumulation Time (s)</t>
  </si>
  <si>
    <t>Auto-repeat on?</t>
  </si>
  <si>
    <t>Interval (s)</t>
  </si>
  <si>
    <t>W - Water Sensor</t>
  </si>
  <si>
    <t>R - Alarm Relays</t>
  </si>
  <si>
    <t>No Noise Threshold</t>
  </si>
  <si>
    <t>Add screen shots from LPA View of verification tests here</t>
  </si>
  <si>
    <t>Restoring customer settings</t>
  </si>
  <si>
    <t>Contamination codes restored?</t>
  </si>
  <si>
    <t>Admin and record-keeping</t>
  </si>
  <si>
    <t>Complete calibration record</t>
  </si>
  <si>
    <t xml:space="preserve">Select appropriate cal cert </t>
  </si>
  <si>
    <t>Print to pdf</t>
  </si>
  <si>
    <t>Print 2 physical copies in colour</t>
  </si>
  <si>
    <t>Update simplybook.me</t>
  </si>
  <si>
    <t>Fill in Job Card</t>
  </si>
  <si>
    <t>Update whiteboard on window</t>
  </si>
  <si>
    <t>Packing</t>
  </si>
  <si>
    <t>Turn off rig, switch to clean-up</t>
  </si>
  <si>
    <t>Close oil taps and turn rig back on</t>
  </si>
  <si>
    <t>Attach bottle sampler to lines</t>
  </si>
  <si>
    <t>Blow air through the ICMs to clear</t>
  </si>
  <si>
    <t>Add calibration sticker under label</t>
  </si>
  <si>
    <t>Remove and take to logistics</t>
  </si>
  <si>
    <t>Post-calibration completed by:</t>
  </si>
  <si>
    <t>Keep House, Conference Way, Vale Park South,</t>
  </si>
  <si>
    <t>Evesham</t>
  </si>
  <si>
    <t>WR11 1 LB</t>
  </si>
  <si>
    <t>Tel: +44 (0) 1386 258500</t>
  </si>
  <si>
    <t>Doc No. 202.027-02</t>
  </si>
  <si>
    <t>202.027_02</t>
  </si>
  <si>
    <t>DCR0678</t>
  </si>
  <si>
    <t>T Whittle</t>
  </si>
  <si>
    <t>08 12 25</t>
  </si>
  <si>
    <t>SET_OPT_ENFORCE_COUNT_FLOOR</t>
  </si>
  <si>
    <t>CALIBRATED</t>
  </si>
  <si>
    <t>ICM STATUS</t>
  </si>
  <si>
    <t>firmware_revision</t>
  </si>
  <si>
    <t>clock_battery_voltage_mV</t>
  </si>
  <si>
    <t>ICMWMKRG12.0AZ2</t>
  </si>
  <si>
    <t>000000204 / 07093-41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</si>
</sst>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809]dd/mm/yyyy"/>
    <numFmt numFmtId="166" formatCode="\£#,##0.00"/>
    <numFmt numFmtId="167" formatCode="_-[$€-2]\ * #,##0.00_-;\-[$€-2]\ * #,##0.00_-;_-[$€-2]\ * \-??_-;_-@_-"/>
    <numFmt numFmtId="168" formatCode="00000"/>
    <numFmt numFmtId="169" formatCode="ddmmyy"/>
    <numFmt numFmtId="170" formatCode="dd\ mm\ yy"/>
    <numFmt numFmtId="171" formatCode=";;;"/>
  </numFmts>
  <fonts count="84" x14ac:knownFonts="1">
    <font>
      <sz val="10"/>
      <name val="Arial"/>
      <charset val="1"/>
    </font>
    <font>
      <sz val="10"/>
      <name val="Arial"/>
      <family val="2"/>
      <charset val="1"/>
    </font>
    <font>
      <b/>
      <sz val="12"/>
      <name val="Arial"/>
      <family val="2"/>
      <charset val="1"/>
    </font>
    <font>
      <b/>
      <sz val="10"/>
      <name val="Arial"/>
      <family val="2"/>
      <charset val="1"/>
    </font>
    <font>
      <i/>
      <sz val="10"/>
      <name val="Arial"/>
      <family val="2"/>
      <charset val="1"/>
    </font>
    <font>
      <b/>
      <i/>
      <sz val="10"/>
      <color rgb="FF0000FF"/>
      <name val="Arial"/>
      <family val="2"/>
      <charset val="1"/>
    </font>
    <font>
      <i/>
      <sz val="10"/>
      <color rgb="FF0000FF"/>
      <name val="Arial"/>
      <family val="2"/>
      <charset val="1"/>
    </font>
    <font>
      <sz val="10"/>
      <color rgb="FF0000FF"/>
      <name val="Arial"/>
      <family val="2"/>
      <charset val="1"/>
    </font>
    <font>
      <sz val="10"/>
      <name val="Book Antiqua"/>
      <family val="1"/>
      <charset val="1"/>
    </font>
    <font>
      <b/>
      <sz val="10"/>
      <color rgb="FFFFC000"/>
      <name val="Book Antiqua"/>
      <family val="1"/>
      <charset val="1"/>
    </font>
    <font>
      <b/>
      <sz val="14"/>
      <color rgb="FF000000"/>
      <name val="Calibri"/>
      <family val="2"/>
      <charset val="1"/>
    </font>
    <font>
      <sz val="14"/>
      <color rgb="FF000000"/>
      <name val="Calibri"/>
      <family val="2"/>
      <charset val="1"/>
    </font>
    <font>
      <b/>
      <i/>
      <sz val="14"/>
      <color rgb="FF000000"/>
      <name val="Calibri"/>
      <family val="2"/>
      <charset val="1"/>
    </font>
    <font>
      <sz val="10"/>
      <name val="Calibri"/>
      <family val="2"/>
      <charset val="1"/>
    </font>
    <font>
      <b/>
      <sz val="16"/>
      <color rgb="FFFFC000"/>
      <name val="Calibri"/>
      <family val="2"/>
      <charset val="1"/>
    </font>
    <font>
      <b/>
      <sz val="10"/>
      <color rgb="FFFFC000"/>
      <name val="Calibri"/>
      <family val="2"/>
      <charset val="1"/>
    </font>
    <font>
      <b/>
      <sz val="14"/>
      <color rgb="FFFFC000"/>
      <name val="Calibri"/>
      <family val="2"/>
      <charset val="1"/>
    </font>
    <font>
      <b/>
      <sz val="12"/>
      <color rgb="FFFFC000"/>
      <name val="Calibri"/>
      <family val="2"/>
      <charset val="1"/>
    </font>
    <font>
      <sz val="12"/>
      <name val="Calibri"/>
      <family val="2"/>
      <charset val="1"/>
    </font>
    <font>
      <b/>
      <u/>
      <sz val="12"/>
      <color rgb="FFFFC000"/>
      <name val="Calibri"/>
      <family val="2"/>
      <charset val="1"/>
    </font>
    <font>
      <b/>
      <sz val="10"/>
      <name val="Calibri"/>
      <family val="2"/>
      <charset val="1"/>
    </font>
    <font>
      <b/>
      <u/>
      <sz val="10"/>
      <name val="Calibri"/>
      <family val="2"/>
      <charset val="1"/>
    </font>
    <font>
      <i/>
      <sz val="10"/>
      <name val="Calibri"/>
      <family val="2"/>
      <charset val="1"/>
    </font>
    <font>
      <b/>
      <sz val="8"/>
      <color rgb="FF000000"/>
      <name val="Tahoma"/>
      <family val="2"/>
      <charset val="1"/>
    </font>
    <font>
      <b/>
      <sz val="10"/>
      <color rgb="FFFF0000"/>
      <name val="Arial"/>
      <family val="2"/>
      <charset val="1"/>
    </font>
    <font>
      <sz val="10"/>
      <color rgb="FF333333"/>
      <name val="Arial"/>
      <family val="2"/>
      <charset val="1"/>
    </font>
    <font>
      <sz val="11"/>
      <name val="Arial"/>
      <family val="2"/>
      <charset val="1"/>
    </font>
    <font>
      <sz val="9"/>
      <name val="Arial"/>
      <family val="2"/>
      <charset val="1"/>
    </font>
    <font>
      <sz val="12"/>
      <name val="Arial"/>
      <family val="2"/>
      <charset val="1"/>
    </font>
    <font>
      <u/>
      <sz val="11"/>
      <color rgb="FF0000FF"/>
      <name val="Arial"/>
      <family val="2"/>
      <charset val="1"/>
    </font>
    <font>
      <u/>
      <sz val="10"/>
      <color rgb="FF0000FF"/>
      <name val="Arial"/>
      <family val="2"/>
      <charset val="1"/>
    </font>
    <font>
      <b/>
      <sz val="26"/>
      <name val="Arial"/>
      <family val="2"/>
      <charset val="1"/>
    </font>
    <font>
      <b/>
      <sz val="22"/>
      <name val="Arial"/>
      <family val="2"/>
      <charset val="1"/>
    </font>
    <font>
      <b/>
      <sz val="14"/>
      <name val="Arial"/>
      <family val="2"/>
      <charset val="1"/>
    </font>
    <font>
      <sz val="14"/>
      <color rgb="FF000000"/>
      <name val="Arial"/>
      <family val="2"/>
      <charset val="1"/>
    </font>
    <font>
      <sz val="14"/>
      <name val="Arial"/>
      <family val="2"/>
      <charset val="1"/>
    </font>
    <font>
      <sz val="16"/>
      <color rgb="FF808080"/>
      <name val="Arial"/>
      <family val="2"/>
      <charset val="1"/>
    </font>
    <font>
      <b/>
      <sz val="16"/>
      <color rgb="FF333333"/>
      <name val="Arial"/>
      <family val="2"/>
      <charset val="1"/>
    </font>
    <font>
      <sz val="16"/>
      <color rgb="FF333333"/>
      <name val="Arial"/>
      <family val="2"/>
      <charset val="1"/>
    </font>
    <font>
      <sz val="14"/>
      <color rgb="FF333333"/>
      <name val="Arial"/>
      <family val="2"/>
      <charset val="1"/>
    </font>
    <font>
      <i/>
      <sz val="14"/>
      <name val="Arial"/>
      <family val="2"/>
      <charset val="1"/>
    </font>
    <font>
      <sz val="16"/>
      <name val="Arial"/>
      <family val="2"/>
      <charset val="1"/>
    </font>
    <font>
      <b/>
      <sz val="26"/>
      <color rgb="FFC0C0C0"/>
      <name val="Arial"/>
      <family val="2"/>
      <charset val="1"/>
    </font>
    <font>
      <sz val="8"/>
      <name val="Arial"/>
      <family val="2"/>
      <charset val="1"/>
    </font>
    <font>
      <sz val="14"/>
      <color rgb="FF808080"/>
      <name val="Arial"/>
      <family val="2"/>
      <charset val="1"/>
    </font>
    <font>
      <sz val="10"/>
      <name val="Arial"/>
      <family val="2"/>
    </font>
    <font>
      <sz val="10"/>
      <name val="Arial"/>
      <family val="2"/>
    </font>
    <font>
      <sz val="11"/>
      <name val="Arial"/>
      <family val="2"/>
    </font>
    <font>
      <sz val="9"/>
      <name val="Arial"/>
      <family val="2"/>
    </font>
    <font>
      <sz val="12"/>
      <name val="Arial"/>
      <family val="2"/>
    </font>
    <font>
      <u/>
      <sz val="11"/>
      <color indexed="12"/>
      <name val="Arial"/>
      <family val="2"/>
    </font>
    <font>
      <b/>
      <sz val="26"/>
      <name val="Arial"/>
      <family val="2"/>
    </font>
    <font>
      <b/>
      <sz val="22"/>
      <name val="Arial"/>
      <family val="2"/>
    </font>
    <font>
      <b/>
      <sz val="14"/>
      <name val="Arial"/>
      <family val="2"/>
    </font>
    <font>
      <b/>
      <sz val="10"/>
      <name val="Arial"/>
      <family val="2"/>
    </font>
    <font>
      <sz val="14"/>
      <color theme="1"/>
      <name val="Arial"/>
      <family val="2"/>
    </font>
    <font>
      <sz val="14"/>
      <name val="Arial"/>
      <family val="2"/>
    </font>
    <font>
      <b/>
      <sz val="12"/>
      <name val="Arial"/>
      <family val="2"/>
    </font>
    <font>
      <sz val="16"/>
      <color indexed="23"/>
      <name val="Arial"/>
      <family val="2"/>
    </font>
    <font>
      <b/>
      <sz val="16"/>
      <color indexed="63"/>
      <name val="Arial"/>
      <family val="2"/>
    </font>
    <font>
      <sz val="16"/>
      <color indexed="63"/>
      <name val="Arial"/>
      <family val="2"/>
    </font>
    <font>
      <sz val="14"/>
      <color indexed="63"/>
      <name val="Arial"/>
      <family val="2"/>
    </font>
    <font>
      <i/>
      <sz val="14"/>
      <name val="Arial"/>
      <family val="2"/>
    </font>
    <font>
      <sz val="16"/>
      <name val="Arial"/>
      <family val="2"/>
    </font>
    <font>
      <i/>
      <sz val="10"/>
      <name val="Arial"/>
      <family val="2"/>
    </font>
    <font>
      <b/>
      <sz val="26"/>
      <color indexed="22"/>
      <name val="Arial"/>
      <family val="2"/>
    </font>
    <font>
      <sz val="8"/>
      <name val="Arial"/>
      <family val="2"/>
    </font>
    <font>
      <b/>
      <sz val="14"/>
      <name val="Calibri"/>
      <family val="2"/>
      <scheme val="minor"/>
    </font>
    <font>
      <sz val="10"/>
      <name val="Book Antiqua"/>
      <family val="1"/>
    </font>
    <font>
      <sz val="8"/>
      <name val="Book Antiqua"/>
      <family val="1"/>
    </font>
    <font>
      <b/>
      <sz val="20"/>
      <color indexed="18"/>
      <name val="Book Antiqua"/>
      <family val="1"/>
    </font>
    <font>
      <b/>
      <sz val="15"/>
      <name val="Book Antiqua"/>
      <family val="1"/>
    </font>
    <font>
      <sz val="11"/>
      <color indexed="8"/>
      <name val="Book Antiqua"/>
      <family val="1"/>
    </font>
    <font>
      <b/>
      <sz val="10"/>
      <name val="Book Antiqua"/>
      <family val="1"/>
    </font>
    <font>
      <b/>
      <sz val="10"/>
      <color rgb="FFFFC000"/>
      <name val="Book Antiqua"/>
      <family val="1"/>
    </font>
    <font>
      <sz val="9"/>
      <name val="Book Antiqua"/>
      <family val="1"/>
    </font>
    <font>
      <b/>
      <sz val="18"/>
      <name val="Book Antiqua"/>
      <family val="1"/>
    </font>
    <font>
      <sz val="9"/>
      <color indexed="81"/>
      <name val="Tahoma"/>
      <family val="2"/>
    </font>
    <font>
      <b/>
      <sz val="14"/>
      <color rgb="FF000080"/>
      <name val="Calibri"/>
      <family val="2"/>
      <scheme val="minor"/>
    </font>
    <font>
      <sz val="14"/>
      <color rgb="FF000080"/>
      <name val="Calibri"/>
      <family val="2"/>
      <scheme val="minor"/>
    </font>
    <font>
      <sz val="12"/>
      <color indexed="81"/>
      <name val="Arial Black"/>
      <family val="2"/>
    </font>
    <font>
      <b/>
      <sz val="11"/>
      <name val="Calibri"/>
      <family val="2"/>
      <scheme val="minor"/>
    </font>
    <font>
      <b/>
      <sz val="9"/>
      <color indexed="81"/>
      <name val="Tahoma"/>
      <family val="2"/>
    </font>
    <font>
      <sz val="12"/>
      <name val="Book Antiqua"/>
      <family val="1"/>
    </font>
  </fonts>
  <fills count="21">
    <fill>
      <patternFill patternType="none"/>
    </fill>
    <fill>
      <patternFill patternType="gray125"/>
    </fill>
    <fill>
      <patternFill patternType="solid">
        <fgColor rgb="FFFFFFFF"/>
        <bgColor rgb="FFFFFFCC"/>
      </patternFill>
    </fill>
    <fill>
      <patternFill patternType="solid">
        <fgColor rgb="FFFFCC99"/>
        <bgColor rgb="FFD9D9D9"/>
      </patternFill>
    </fill>
    <fill>
      <patternFill patternType="solid">
        <fgColor rgb="FF99CCFF"/>
        <bgColor rgb="FFC6D9F1"/>
      </patternFill>
    </fill>
    <fill>
      <patternFill patternType="solid">
        <fgColor rgb="FFDBEEF4"/>
        <bgColor rgb="FFDCE6F2"/>
      </patternFill>
    </fill>
    <fill>
      <patternFill patternType="solid">
        <fgColor rgb="FF254061"/>
        <bgColor rgb="FF17375E"/>
      </patternFill>
    </fill>
    <fill>
      <patternFill patternType="solid">
        <fgColor rgb="FFDCE6F2"/>
        <bgColor rgb="FFDBEEF4"/>
      </patternFill>
    </fill>
    <fill>
      <patternFill patternType="solid">
        <fgColor rgb="FF17375E"/>
        <bgColor rgb="FF254061"/>
      </patternFill>
    </fill>
    <fill>
      <patternFill patternType="solid">
        <fgColor rgb="FFD9D9D9"/>
        <bgColor rgb="FFDCE6F2"/>
      </patternFill>
    </fill>
    <fill>
      <patternFill patternType="solid">
        <fgColor rgb="FFFFC000"/>
        <bgColor rgb="FFFF9900"/>
      </patternFill>
    </fill>
    <fill>
      <patternFill patternType="solid">
        <fgColor rgb="FF92D050"/>
        <bgColor rgb="FFA6A6A6"/>
      </patternFill>
    </fill>
    <fill>
      <patternFill patternType="solid">
        <fgColor theme="0"/>
        <bgColor indexed="64"/>
      </patternFill>
    </fill>
    <fill>
      <patternFill patternType="solid">
        <fgColor theme="0"/>
        <bgColor indexed="26"/>
      </patternFill>
    </fill>
    <fill>
      <patternFill patternType="solid">
        <fgColor rgb="FF002060"/>
        <bgColor indexed="26"/>
      </patternFill>
    </fill>
    <fill>
      <patternFill patternType="solid">
        <fgColor theme="0" tint="-0.249977111117893"/>
        <bgColor indexed="64"/>
      </patternFill>
    </fill>
    <fill>
      <patternFill patternType="solid">
        <fgColor rgb="FF002060"/>
        <bgColor indexed="64"/>
      </patternFill>
    </fill>
    <fill>
      <patternFill patternType="solid">
        <fgColor theme="3" tint="0.79998168889431442"/>
        <bgColor indexed="64"/>
      </patternFill>
    </fill>
    <fill>
      <patternFill patternType="solid">
        <fgColor theme="0" tint="-0.249977111117893"/>
        <bgColor indexed="31"/>
      </patternFill>
    </fill>
    <fill>
      <patternFill patternType="solid">
        <fgColor rgb="FFC5D9F1"/>
        <bgColor indexed="64"/>
      </patternFill>
    </fill>
    <fill>
      <patternFill patternType="solid">
        <fgColor rgb="FFFFFF00"/>
        <bgColor indexed="64"/>
      </patternFill>
    </fill>
  </fills>
  <borders count="138">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style="thin">
        <color auto="1"/>
      </top>
      <bottom style="thin">
        <color auto="1"/>
      </bottom>
      <diagonal/>
    </border>
    <border>
      <left style="thin">
        <color auto="1"/>
      </left>
      <right style="thin">
        <color auto="1"/>
      </right>
      <top style="thin">
        <color auto="1"/>
      </top>
      <bottom/>
      <diagonal/>
    </border>
    <border>
      <left style="medium">
        <color auto="1"/>
      </left>
      <right/>
      <top style="thin">
        <color auto="1"/>
      </top>
      <bottom style="dashed">
        <color rgb="FFA6A6A6"/>
      </bottom>
      <diagonal/>
    </border>
    <border>
      <left/>
      <right/>
      <top style="thin">
        <color auto="1"/>
      </top>
      <bottom style="dashed">
        <color rgb="FFA6A6A6"/>
      </bottom>
      <diagonal/>
    </border>
    <border>
      <left/>
      <right style="medium">
        <color auto="1"/>
      </right>
      <top style="thin">
        <color auto="1"/>
      </top>
      <bottom style="dashed">
        <color rgb="FFA6A6A6"/>
      </bottom>
      <diagonal/>
    </border>
    <border>
      <left style="medium">
        <color auto="1"/>
      </left>
      <right style="medium">
        <color auto="1"/>
      </right>
      <top style="dashed">
        <color rgb="FFA6A6A6"/>
      </top>
      <bottom style="dashed">
        <color rgb="FFA6A6A6"/>
      </bottom>
      <diagonal/>
    </border>
    <border>
      <left style="medium">
        <color auto="1"/>
      </left>
      <right style="medium">
        <color auto="1"/>
      </right>
      <top style="dashed">
        <color rgb="FFA6A6A6"/>
      </top>
      <bottom style="thin">
        <color auto="1"/>
      </bottom>
      <diagonal/>
    </border>
    <border>
      <left style="medium">
        <color auto="1"/>
      </left>
      <right style="thin">
        <color auto="1"/>
      </right>
      <top style="thin">
        <color auto="1"/>
      </top>
      <bottom style="dashed">
        <color rgb="FFA6A6A6"/>
      </bottom>
      <diagonal/>
    </border>
    <border>
      <left style="thin">
        <color auto="1"/>
      </left>
      <right style="thin">
        <color auto="1"/>
      </right>
      <top style="thin">
        <color auto="1"/>
      </top>
      <bottom style="dashed">
        <color rgb="FFA6A6A6"/>
      </bottom>
      <diagonal/>
    </border>
    <border>
      <left style="thin">
        <color auto="1"/>
      </left>
      <right style="medium">
        <color auto="1"/>
      </right>
      <top style="thin">
        <color auto="1"/>
      </top>
      <bottom style="dashed">
        <color rgb="FFA6A6A6"/>
      </bottom>
      <diagonal/>
    </border>
    <border>
      <left style="medium">
        <color auto="1"/>
      </left>
      <right style="thin">
        <color auto="1"/>
      </right>
      <top style="dashed">
        <color rgb="FFA6A6A6"/>
      </top>
      <bottom style="dashed">
        <color rgb="FFA6A6A6"/>
      </bottom>
      <diagonal/>
    </border>
    <border>
      <left style="thin">
        <color auto="1"/>
      </left>
      <right style="thin">
        <color auto="1"/>
      </right>
      <top style="dashed">
        <color rgb="FFA6A6A6"/>
      </top>
      <bottom style="dashed">
        <color rgb="FFA6A6A6"/>
      </bottom>
      <diagonal/>
    </border>
    <border>
      <left style="thin">
        <color auto="1"/>
      </left>
      <right style="medium">
        <color auto="1"/>
      </right>
      <top/>
      <bottom style="dashed">
        <color rgb="FFA6A6A6"/>
      </bottom>
      <diagonal/>
    </border>
    <border>
      <left style="medium">
        <color auto="1"/>
      </left>
      <right style="thin">
        <color auto="1"/>
      </right>
      <top style="dashed">
        <color rgb="FFA6A6A6"/>
      </top>
      <bottom style="thin">
        <color auto="1"/>
      </bottom>
      <diagonal/>
    </border>
    <border>
      <left style="thin">
        <color auto="1"/>
      </left>
      <right style="thin">
        <color auto="1"/>
      </right>
      <top style="dashed">
        <color rgb="FFA6A6A6"/>
      </top>
      <bottom style="thin">
        <color auto="1"/>
      </bottom>
      <diagonal/>
    </border>
    <border>
      <left style="thin">
        <color auto="1"/>
      </left>
      <right style="medium">
        <color auto="1"/>
      </right>
      <top/>
      <bottom style="thin">
        <color auto="1"/>
      </bottom>
      <diagonal/>
    </border>
    <border>
      <left style="medium">
        <color auto="1"/>
      </left>
      <right/>
      <top style="dashDot">
        <color auto="1"/>
      </top>
      <bottom/>
      <diagonal/>
    </border>
    <border>
      <left/>
      <right/>
      <top style="dashDot">
        <color auto="1"/>
      </top>
      <bottom/>
      <diagonal/>
    </border>
    <border>
      <left/>
      <right style="medium">
        <color auto="1"/>
      </right>
      <top style="dashDot">
        <color auto="1"/>
      </top>
      <bottom/>
      <diagonal/>
    </border>
    <border>
      <left style="thin">
        <color auto="1"/>
      </left>
      <right style="thin">
        <color auto="1"/>
      </right>
      <top/>
      <bottom style="dashed">
        <color rgb="FFA6A6A6"/>
      </bottom>
      <diagonal/>
    </border>
    <border>
      <left/>
      <right/>
      <top style="thin">
        <color auto="1"/>
      </top>
      <bottom style="thin">
        <color rgb="FFC0C0C0"/>
      </bottom>
      <diagonal/>
    </border>
    <border>
      <left/>
      <right style="thin">
        <color auto="1"/>
      </right>
      <top style="thin">
        <color auto="1"/>
      </top>
      <bottom style="thin">
        <color rgb="FFC0C0C0"/>
      </bottom>
      <diagonal/>
    </border>
    <border>
      <left/>
      <right/>
      <top style="thin">
        <color rgb="FFC0C0C0"/>
      </top>
      <bottom style="thin">
        <color rgb="FFC0C0C0"/>
      </bottom>
      <diagonal/>
    </border>
    <border>
      <left/>
      <right style="thin">
        <color auto="1"/>
      </right>
      <top style="thin">
        <color rgb="FFC0C0C0"/>
      </top>
      <bottom style="thin">
        <color rgb="FFC0C0C0"/>
      </bottom>
      <diagonal/>
    </border>
    <border>
      <left/>
      <right/>
      <top style="thin">
        <color rgb="FFC0C0C0"/>
      </top>
      <bottom style="thin">
        <color auto="1"/>
      </bottom>
      <diagonal/>
    </border>
    <border>
      <left/>
      <right style="thin">
        <color auto="1"/>
      </right>
      <top style="thin">
        <color rgb="FFC0C0C0"/>
      </top>
      <bottom style="thin">
        <color auto="1"/>
      </bottom>
      <diagonal/>
    </border>
    <border>
      <left style="thin">
        <color rgb="FFC0C0C0"/>
      </left>
      <right style="thin">
        <color auto="1"/>
      </right>
      <top style="thin">
        <color auto="1"/>
      </top>
      <bottom style="thin">
        <color rgb="FFC0C0C0"/>
      </bottom>
      <diagonal/>
    </border>
    <border>
      <left style="thin">
        <color rgb="FFC0C0C0"/>
      </left>
      <right style="thin">
        <color auto="1"/>
      </right>
      <top style="thin">
        <color auto="1"/>
      </top>
      <bottom style="thin">
        <color auto="1"/>
      </bottom>
      <diagonal/>
    </border>
    <border>
      <left/>
      <right/>
      <top/>
      <bottom style="thick">
        <color auto="1"/>
      </bottom>
      <diagonal/>
    </border>
    <border>
      <left/>
      <right/>
      <top style="thick">
        <color auto="1"/>
      </top>
      <bottom/>
      <diagonal/>
    </border>
    <border>
      <left style="thin">
        <color indexed="22"/>
      </left>
      <right style="thin">
        <color indexed="8"/>
      </right>
      <top style="thin">
        <color indexed="8"/>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8"/>
      </bottom>
      <diagonal/>
    </border>
    <border>
      <left/>
      <right style="thin">
        <color indexed="64"/>
      </right>
      <top style="medium">
        <color indexed="64"/>
      </top>
      <bottom style="thin">
        <color indexed="8"/>
      </bottom>
      <diagonal/>
    </border>
    <border>
      <left style="thin">
        <color indexed="64"/>
      </left>
      <right style="thin">
        <color indexed="64"/>
      </right>
      <top style="medium">
        <color indexed="64"/>
      </top>
      <bottom style="thin">
        <color indexed="64"/>
      </bottom>
      <diagonal/>
    </border>
    <border>
      <left style="medium">
        <color indexed="64"/>
      </left>
      <right/>
      <top style="thin">
        <color indexed="8"/>
      </top>
      <bottom style="thin">
        <color indexed="8"/>
      </bottom>
      <diagonal/>
    </border>
    <border>
      <left/>
      <right/>
      <top style="thin">
        <color indexed="8"/>
      </top>
      <bottom style="thin">
        <color indexed="8"/>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8"/>
      </bottom>
      <diagonal/>
    </border>
    <border>
      <left/>
      <right/>
      <top/>
      <bottom style="thin">
        <color indexed="8"/>
      </bottom>
      <diagonal/>
    </border>
    <border>
      <left/>
      <right style="medium">
        <color indexed="64"/>
      </right>
      <top style="thin">
        <color indexed="64"/>
      </top>
      <bottom style="thin">
        <color indexed="64"/>
      </bottom>
      <diagonal/>
    </border>
    <border>
      <left style="medium">
        <color indexed="64"/>
      </left>
      <right/>
      <top style="thin">
        <color indexed="8"/>
      </top>
      <bottom style="medium">
        <color indexed="64"/>
      </bottom>
      <diagonal/>
    </border>
    <border>
      <left/>
      <right/>
      <top style="thin">
        <color indexed="8"/>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medium">
        <color indexed="64"/>
      </right>
      <top style="thin">
        <color indexed="64"/>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top style="thin">
        <color indexed="8"/>
      </top>
      <bottom style="thin">
        <color indexed="64"/>
      </bottom>
      <diagonal/>
    </border>
    <border>
      <left/>
      <right style="thin">
        <color indexed="8"/>
      </right>
      <top style="thin">
        <color indexed="8"/>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8"/>
      </right>
      <top style="medium">
        <color indexed="64"/>
      </top>
      <bottom/>
      <diagonal/>
    </border>
    <border>
      <left style="thin">
        <color indexed="8"/>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8"/>
      </bottom>
      <diagonal/>
    </border>
    <border>
      <left/>
      <right style="thin">
        <color indexed="8"/>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style="thin">
        <color indexed="64"/>
      </left>
      <right style="thin">
        <color indexed="64"/>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style="medium">
        <color indexed="64"/>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64"/>
      </right>
      <top style="thin">
        <color indexed="8"/>
      </top>
      <bottom/>
      <diagonal/>
    </border>
    <border>
      <left style="thin">
        <color indexed="64"/>
      </left>
      <right style="thin">
        <color indexed="64"/>
      </right>
      <top style="thin">
        <color indexed="8"/>
      </top>
      <bottom/>
      <diagonal/>
    </border>
    <border>
      <left/>
      <right style="medium">
        <color indexed="64"/>
      </right>
      <top style="thin">
        <color indexed="8"/>
      </top>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8"/>
      </right>
      <top/>
      <bottom/>
      <diagonal/>
    </border>
    <border>
      <left style="thin">
        <color indexed="8"/>
      </left>
      <right style="thin">
        <color indexed="8"/>
      </right>
      <top style="thin">
        <color indexed="64"/>
      </top>
      <bottom/>
      <diagonal/>
    </border>
    <border>
      <left style="thin">
        <color indexed="8"/>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8"/>
      </right>
      <top/>
      <bottom style="medium">
        <color indexed="64"/>
      </bottom>
      <diagonal/>
    </border>
    <border>
      <left style="thin">
        <color indexed="8"/>
      </left>
      <right style="thin">
        <color indexed="8"/>
      </right>
      <top/>
      <bottom style="medium">
        <color indexed="64"/>
      </bottom>
      <diagonal/>
    </border>
    <border>
      <left style="thin">
        <color indexed="8"/>
      </left>
      <right style="medium">
        <color indexed="64"/>
      </right>
      <top/>
      <bottom style="medium">
        <color indexed="64"/>
      </bottom>
      <diagonal/>
    </border>
    <border>
      <left style="thin">
        <color indexed="8"/>
      </left>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style="thin">
        <color indexed="22"/>
      </bottom>
      <diagonal/>
    </border>
    <border>
      <left/>
      <right/>
      <top style="thin">
        <color indexed="22"/>
      </top>
      <bottom style="thin">
        <color indexed="64"/>
      </bottom>
      <diagonal/>
    </border>
    <border>
      <left/>
      <right style="thin">
        <color indexed="64"/>
      </right>
      <top style="thin">
        <color indexed="8"/>
      </top>
      <bottom style="thin">
        <color indexed="8"/>
      </bottom>
      <diagonal/>
    </border>
    <border>
      <left style="thin">
        <color indexed="64"/>
      </left>
      <right style="thick">
        <color indexed="64"/>
      </right>
      <top/>
      <bottom/>
      <diagonal/>
    </border>
    <border>
      <left style="thick">
        <color indexed="64"/>
      </left>
      <right/>
      <top style="thin">
        <color indexed="64"/>
      </top>
      <bottom style="thin">
        <color indexed="64"/>
      </bottom>
      <diagonal/>
    </border>
    <border>
      <left style="medium">
        <color indexed="64"/>
      </left>
      <right style="medium">
        <color indexed="64"/>
      </right>
      <top/>
      <bottom/>
      <diagonal/>
    </border>
    <border>
      <left/>
      <right/>
      <top style="thin">
        <color indexed="8"/>
      </top>
      <bottom style="thin">
        <color indexed="64"/>
      </bottom>
      <diagonal/>
    </border>
    <border>
      <left/>
      <right style="thin">
        <color indexed="64"/>
      </right>
      <top style="thin">
        <color indexed="8"/>
      </top>
      <bottom style="thin">
        <color indexed="64"/>
      </bottom>
      <diagonal/>
    </border>
    <border>
      <left/>
      <right style="thick">
        <color indexed="64"/>
      </right>
      <top/>
      <bottom/>
      <diagonal/>
    </border>
    <border>
      <left style="thin">
        <color indexed="8"/>
      </left>
      <right style="thick">
        <color indexed="64"/>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top/>
      <bottom/>
      <diagonal/>
    </border>
    <border>
      <left style="thick">
        <color indexed="64"/>
      </left>
      <right/>
      <top style="thin">
        <color indexed="64"/>
      </top>
      <bottom/>
      <diagonal/>
    </border>
    <border>
      <left/>
      <right style="thin">
        <color indexed="64"/>
      </right>
      <top style="thin">
        <color indexed="64"/>
      </top>
      <bottom/>
      <diagonal/>
    </border>
  </borders>
  <cellStyleXfs count="5">
    <xf numFmtId="0" fontId="0" fillId="0" borderId="0"/>
    <xf numFmtId="0" fontId="30" fillId="0" borderId="0" applyBorder="0" applyProtection="0"/>
    <xf numFmtId="0" fontId="1" fillId="0" borderId="0"/>
    <xf numFmtId="0" fontId="45" fillId="0" borderId="0"/>
    <xf numFmtId="0" fontId="45" fillId="0" borderId="0"/>
  </cellStyleXfs>
  <cellXfs count="559">
    <xf numFmtId="0" fontId="0" fillId="0" borderId="0" xfId="0"/>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xf numFmtId="0" fontId="2" fillId="2" borderId="0" xfId="0" applyFont="1" applyFill="1" applyAlignment="1">
      <alignment horizontal="left"/>
    </xf>
    <xf numFmtId="0" fontId="0" fillId="2" borderId="1" xfId="0" applyFill="1" applyBorder="1" applyAlignment="1">
      <alignment horizontal="center"/>
    </xf>
    <xf numFmtId="2" fontId="0" fillId="2" borderId="2" xfId="0" applyNumberFormat="1" applyFill="1" applyBorder="1" applyAlignment="1">
      <alignment horizontal="center"/>
    </xf>
    <xf numFmtId="0" fontId="3" fillId="2" borderId="3"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0" fillId="2" borderId="0" xfId="0" applyFill="1" applyAlignment="1">
      <alignment horizontal="center" vertical="center" wrapText="1"/>
    </xf>
    <xf numFmtId="2" fontId="0" fillId="2" borderId="3" xfId="0" applyNumberFormat="1" applyFill="1" applyBorder="1" applyAlignment="1">
      <alignment horizontal="center" vertical="center" wrapText="1"/>
    </xf>
    <xf numFmtId="0" fontId="0" fillId="2" borderId="3" xfId="0" applyFill="1" applyBorder="1" applyAlignment="1">
      <alignment horizontal="center" vertical="center" wrapText="1"/>
    </xf>
    <xf numFmtId="0" fontId="3" fillId="3" borderId="4" xfId="0" applyFont="1" applyFill="1" applyBorder="1" applyAlignment="1">
      <alignment horizontal="center"/>
    </xf>
    <xf numFmtId="0" fontId="0" fillId="3" borderId="0" xfId="0" applyFill="1" applyAlignment="1">
      <alignment horizontal="center"/>
    </xf>
    <xf numFmtId="2" fontId="3" fillId="4" borderId="0" xfId="0" applyNumberFormat="1" applyFont="1" applyFill="1" applyAlignment="1">
      <alignment horizontal="center"/>
    </xf>
    <xf numFmtId="0" fontId="4" fillId="3" borderId="5" xfId="0" applyFont="1" applyFill="1" applyBorder="1" applyAlignment="1">
      <alignment horizontal="center"/>
    </xf>
    <xf numFmtId="2" fontId="0" fillId="4" borderId="6" xfId="0" applyNumberFormat="1" applyFill="1" applyBorder="1" applyAlignment="1">
      <alignment horizontal="center"/>
    </xf>
    <xf numFmtId="0" fontId="0" fillId="3" borderId="3" xfId="0" applyFill="1" applyBorder="1" applyAlignment="1">
      <alignment horizontal="center"/>
    </xf>
    <xf numFmtId="0" fontId="0" fillId="4" borderId="3" xfId="0" applyFill="1" applyBorder="1" applyAlignment="1">
      <alignment horizontal="center"/>
    </xf>
    <xf numFmtId="0" fontId="0" fillId="3" borderId="7" xfId="0" applyFill="1" applyBorder="1" applyAlignment="1">
      <alignment horizontal="center"/>
    </xf>
    <xf numFmtId="2" fontId="0" fillId="4" borderId="8" xfId="0" applyNumberFormat="1" applyFill="1" applyBorder="1" applyAlignment="1">
      <alignment horizontal="center"/>
    </xf>
    <xf numFmtId="0" fontId="0" fillId="3" borderId="4" xfId="0" applyFill="1" applyBorder="1" applyAlignment="1">
      <alignment horizontal="center"/>
    </xf>
    <xf numFmtId="2" fontId="0" fillId="4" borderId="5" xfId="0" applyNumberFormat="1" applyFill="1" applyBorder="1" applyAlignment="1">
      <alignment horizontal="center"/>
    </xf>
    <xf numFmtId="0" fontId="0" fillId="2" borderId="3" xfId="0" applyFill="1" applyBorder="1" applyAlignment="1">
      <alignment horizontal="center"/>
    </xf>
    <xf numFmtId="11" fontId="0" fillId="3" borderId="3" xfId="0" applyNumberFormat="1" applyFill="1" applyBorder="1" applyAlignment="1">
      <alignment horizontal="center"/>
    </xf>
    <xf numFmtId="0" fontId="0" fillId="4" borderId="3" xfId="0" applyFill="1" applyBorder="1"/>
    <xf numFmtId="0" fontId="0" fillId="3" borderId="3" xfId="0" applyFill="1" applyBorder="1"/>
    <xf numFmtId="0" fontId="0" fillId="2" borderId="3" xfId="0" applyFill="1" applyBorder="1"/>
    <xf numFmtId="0" fontId="0" fillId="2" borderId="0" xfId="0" applyFill="1" applyAlignment="1">
      <alignment horizontal="left"/>
    </xf>
    <xf numFmtId="0" fontId="4" fillId="2" borderId="5" xfId="0" applyFont="1" applyFill="1" applyBorder="1" applyAlignment="1">
      <alignment horizontal="center"/>
    </xf>
    <xf numFmtId="0" fontId="3" fillId="3" borderId="9" xfId="0" applyFont="1" applyFill="1" applyBorder="1" applyAlignment="1">
      <alignment horizontal="center"/>
    </xf>
    <xf numFmtId="0" fontId="0" fillId="3" borderId="10" xfId="0" applyFill="1" applyBorder="1" applyAlignment="1">
      <alignment horizontal="center"/>
    </xf>
    <xf numFmtId="2" fontId="3" fillId="4" borderId="10" xfId="0" applyNumberFormat="1" applyFont="1" applyFill="1" applyBorder="1" applyAlignment="1">
      <alignment horizontal="center"/>
    </xf>
    <xf numFmtId="0" fontId="4" fillId="2" borderId="11" xfId="0" applyFont="1" applyFill="1" applyBorder="1" applyAlignment="1">
      <alignment horizontal="center"/>
    </xf>
    <xf numFmtId="0" fontId="5" fillId="3" borderId="7" xfId="0" applyFont="1" applyFill="1" applyBorder="1" applyAlignment="1">
      <alignment horizontal="center"/>
    </xf>
    <xf numFmtId="164" fontId="6" fillId="4" borderId="12" xfId="0" applyNumberFormat="1" applyFont="1" applyFill="1" applyBorder="1" applyAlignment="1">
      <alignment horizontal="center"/>
    </xf>
    <xf numFmtId="2" fontId="5" fillId="3" borderId="12" xfId="0" applyNumberFormat="1" applyFont="1" applyFill="1" applyBorder="1" applyAlignment="1">
      <alignment horizontal="center"/>
    </xf>
    <xf numFmtId="0" fontId="6" fillId="2" borderId="8" xfId="0" applyFont="1" applyFill="1" applyBorder="1" applyAlignment="1">
      <alignment horizontal="center"/>
    </xf>
    <xf numFmtId="0" fontId="5" fillId="3" borderId="4" xfId="0" applyFont="1" applyFill="1" applyBorder="1" applyAlignment="1">
      <alignment horizontal="center"/>
    </xf>
    <xf numFmtId="164" fontId="6" fillId="4" borderId="0" xfId="0" applyNumberFormat="1" applyFont="1" applyFill="1" applyAlignment="1">
      <alignment horizontal="center"/>
    </xf>
    <xf numFmtId="2" fontId="5" fillId="3" borderId="0" xfId="0" applyNumberFormat="1" applyFont="1" applyFill="1" applyAlignment="1">
      <alignment horizontal="center"/>
    </xf>
    <xf numFmtId="0" fontId="6" fillId="2" borderId="5" xfId="0" applyFont="1" applyFill="1" applyBorder="1" applyAlignment="1">
      <alignment horizontal="center"/>
    </xf>
    <xf numFmtId="0" fontId="7" fillId="3" borderId="4" xfId="0" applyFont="1" applyFill="1" applyBorder="1" applyAlignment="1">
      <alignment horizontal="center"/>
    </xf>
    <xf numFmtId="2" fontId="7" fillId="3" borderId="0" xfId="0" applyNumberFormat="1" applyFont="1" applyFill="1" applyAlignment="1">
      <alignment horizontal="center"/>
    </xf>
    <xf numFmtId="0" fontId="7" fillId="3" borderId="9" xfId="0" applyFont="1" applyFill="1" applyBorder="1" applyAlignment="1">
      <alignment horizontal="center"/>
    </xf>
    <xf numFmtId="164" fontId="6" fillId="4" borderId="10" xfId="0" applyNumberFormat="1" applyFont="1" applyFill="1" applyBorder="1" applyAlignment="1">
      <alignment horizontal="center"/>
    </xf>
    <xf numFmtId="2" fontId="7" fillId="3" borderId="10" xfId="0" applyNumberFormat="1" applyFont="1" applyFill="1" applyBorder="1" applyAlignment="1">
      <alignment horizontal="center"/>
    </xf>
    <xf numFmtId="0" fontId="6" fillId="2" borderId="11" xfId="0" applyFont="1" applyFill="1" applyBorder="1" applyAlignment="1">
      <alignment horizontal="center"/>
    </xf>
    <xf numFmtId="2" fontId="0" fillId="4" borderId="13" xfId="0" applyNumberFormat="1" applyFill="1" applyBorder="1" applyAlignment="1">
      <alignment horizontal="center"/>
    </xf>
    <xf numFmtId="0" fontId="0" fillId="3" borderId="9" xfId="0" applyFill="1" applyBorder="1" applyAlignment="1">
      <alignment horizontal="center"/>
    </xf>
    <xf numFmtId="2" fontId="0" fillId="4" borderId="11" xfId="0" applyNumberFormat="1" applyFill="1" applyBorder="1" applyAlignment="1">
      <alignment horizontal="center"/>
    </xf>
    <xf numFmtId="0" fontId="1" fillId="0" borderId="0" xfId="2"/>
    <xf numFmtId="0" fontId="10" fillId="0" borderId="0" xfId="2" applyFont="1"/>
    <xf numFmtId="0" fontId="11" fillId="0" borderId="0" xfId="2" applyFont="1"/>
    <xf numFmtId="0" fontId="12" fillId="0" borderId="0" xfId="2" applyFont="1"/>
    <xf numFmtId="0" fontId="1" fillId="0" borderId="0" xfId="2" applyAlignment="1">
      <alignment horizontal="left"/>
    </xf>
    <xf numFmtId="0" fontId="1" fillId="0" borderId="0" xfId="2" applyProtection="1">
      <protection locked="0"/>
    </xf>
    <xf numFmtId="0" fontId="13" fillId="0" borderId="0" xfId="2" applyFont="1"/>
    <xf numFmtId="0" fontId="13" fillId="5" borderId="14" xfId="2" applyFont="1" applyFill="1" applyBorder="1"/>
    <xf numFmtId="0" fontId="13" fillId="5" borderId="15" xfId="2" applyFont="1" applyFill="1" applyBorder="1"/>
    <xf numFmtId="0" fontId="13" fillId="0" borderId="15" xfId="2" applyFont="1" applyBorder="1"/>
    <xf numFmtId="0" fontId="13" fillId="0" borderId="16" xfId="2" applyFont="1" applyBorder="1"/>
    <xf numFmtId="0" fontId="14" fillId="6" borderId="17" xfId="2" applyFont="1" applyFill="1" applyBorder="1"/>
    <xf numFmtId="0" fontId="15" fillId="6" borderId="0" xfId="2" applyFont="1" applyFill="1"/>
    <xf numFmtId="0" fontId="13" fillId="0" borderId="18" xfId="2" applyFont="1" applyBorder="1"/>
    <xf numFmtId="0" fontId="13" fillId="5" borderId="17" xfId="2" applyFont="1" applyFill="1" applyBorder="1"/>
    <xf numFmtId="0" fontId="13" fillId="5" borderId="0" xfId="2" applyFont="1" applyFill="1"/>
    <xf numFmtId="0" fontId="17" fillId="6" borderId="17" xfId="2" applyFont="1" applyFill="1" applyBorder="1"/>
    <xf numFmtId="0" fontId="18" fillId="5" borderId="17" xfId="2" applyFont="1" applyFill="1" applyBorder="1"/>
    <xf numFmtId="0" fontId="13" fillId="7" borderId="0" xfId="2" applyFont="1" applyFill="1"/>
    <xf numFmtId="0" fontId="13" fillId="7" borderId="18" xfId="2" applyFont="1" applyFill="1" applyBorder="1"/>
    <xf numFmtId="0" fontId="17" fillId="7" borderId="17" xfId="2" applyFont="1" applyFill="1" applyBorder="1"/>
    <xf numFmtId="0" fontId="15" fillId="7" borderId="0" xfId="2" applyFont="1" applyFill="1"/>
    <xf numFmtId="0" fontId="16" fillId="7" borderId="0" xfId="2" applyFont="1" applyFill="1" applyAlignment="1">
      <alignment horizontal="center"/>
    </xf>
    <xf numFmtId="0" fontId="13" fillId="7" borderId="0" xfId="2" applyFont="1" applyFill="1" applyAlignment="1">
      <alignment horizontal="center"/>
    </xf>
    <xf numFmtId="0" fontId="13" fillId="5" borderId="18" xfId="2" applyFont="1" applyFill="1" applyBorder="1"/>
    <xf numFmtId="0" fontId="19" fillId="8" borderId="25" xfId="2" applyFont="1" applyFill="1" applyBorder="1" applyAlignment="1">
      <alignment horizontal="left"/>
    </xf>
    <xf numFmtId="0" fontId="18" fillId="8" borderId="26" xfId="2" applyFont="1" applyFill="1" applyBorder="1" applyAlignment="1">
      <alignment horizontal="left"/>
    </xf>
    <xf numFmtId="0" fontId="19" fillId="8" borderId="17" xfId="2" applyFont="1" applyFill="1" applyBorder="1"/>
    <xf numFmtId="0" fontId="13" fillId="8" borderId="0" xfId="2" applyFont="1" applyFill="1"/>
    <xf numFmtId="0" fontId="21" fillId="5" borderId="0" xfId="2" applyFont="1" applyFill="1"/>
    <xf numFmtId="0" fontId="15" fillId="8" borderId="0" xfId="2" applyFont="1" applyFill="1" applyAlignment="1">
      <alignment horizontal="left"/>
    </xf>
    <xf numFmtId="0" fontId="15" fillId="8" borderId="0" xfId="2" applyFont="1" applyFill="1" applyAlignment="1">
      <alignment horizontal="center"/>
    </xf>
    <xf numFmtId="0" fontId="15" fillId="8" borderId="18" xfId="2" applyFont="1" applyFill="1" applyBorder="1" applyAlignment="1">
      <alignment horizontal="center"/>
    </xf>
    <xf numFmtId="0" fontId="13" fillId="2" borderId="31" xfId="2" applyFont="1" applyFill="1" applyBorder="1" applyAlignment="1">
      <alignment horizontal="center"/>
    </xf>
    <xf numFmtId="166" fontId="13" fillId="2" borderId="31" xfId="2" applyNumberFormat="1" applyFont="1" applyFill="1" applyBorder="1" applyAlignment="1">
      <alignment horizontal="center"/>
    </xf>
    <xf numFmtId="166" fontId="13" fillId="9" borderId="32" xfId="2" applyNumberFormat="1" applyFont="1" applyFill="1" applyBorder="1" applyAlignment="1">
      <alignment horizontal="center"/>
    </xf>
    <xf numFmtId="0" fontId="13" fillId="2" borderId="34" xfId="2" applyFont="1" applyFill="1" applyBorder="1" applyAlignment="1">
      <alignment horizontal="center"/>
    </xf>
    <xf numFmtId="166" fontId="13" fillId="2" borderId="34" xfId="2" applyNumberFormat="1" applyFont="1" applyFill="1" applyBorder="1" applyAlignment="1">
      <alignment horizontal="center"/>
    </xf>
    <xf numFmtId="166" fontId="13" fillId="9" borderId="35" xfId="2" applyNumberFormat="1" applyFont="1" applyFill="1" applyBorder="1" applyAlignment="1">
      <alignment horizontal="center"/>
    </xf>
    <xf numFmtId="0" fontId="13" fillId="2" borderId="34" xfId="2" applyFont="1" applyFill="1" applyBorder="1"/>
    <xf numFmtId="0" fontId="13" fillId="2" borderId="37" xfId="2" applyFont="1" applyFill="1" applyBorder="1"/>
    <xf numFmtId="166" fontId="13" fillId="9" borderId="38" xfId="2" applyNumberFormat="1" applyFont="1" applyFill="1" applyBorder="1" applyAlignment="1">
      <alignment horizontal="center"/>
    </xf>
    <xf numFmtId="0" fontId="13" fillId="2" borderId="1" xfId="2" applyFont="1" applyFill="1" applyBorder="1"/>
    <xf numFmtId="166" fontId="13" fillId="2" borderId="23" xfId="2" applyNumberFormat="1" applyFont="1" applyFill="1" applyBorder="1"/>
    <xf numFmtId="0" fontId="22" fillId="0" borderId="40" xfId="2" applyFont="1" applyBorder="1"/>
    <xf numFmtId="0" fontId="13" fillId="0" borderId="40" xfId="2" applyFont="1" applyBorder="1"/>
    <xf numFmtId="0" fontId="13" fillId="0" borderId="41" xfId="2" applyFont="1" applyBorder="1"/>
    <xf numFmtId="0" fontId="13" fillId="0" borderId="17" xfId="2" applyFont="1" applyBorder="1"/>
    <xf numFmtId="0" fontId="20" fillId="0" borderId="0" xfId="2" applyFont="1"/>
    <xf numFmtId="0" fontId="20" fillId="0" borderId="18" xfId="2" applyFont="1" applyBorder="1" applyAlignment="1">
      <alignment horizontal="right"/>
    </xf>
    <xf numFmtId="0" fontId="13" fillId="0" borderId="20" xfId="2" applyFont="1" applyBorder="1"/>
    <xf numFmtId="0" fontId="13" fillId="0" borderId="21" xfId="2" applyFont="1" applyBorder="1"/>
    <xf numFmtId="0" fontId="20" fillId="0" borderId="21" xfId="2" applyFont="1" applyBorder="1"/>
    <xf numFmtId="165" fontId="20" fillId="0" borderId="22" xfId="2" applyNumberFormat="1" applyFont="1" applyBorder="1" applyAlignment="1">
      <alignment horizontal="right"/>
    </xf>
    <xf numFmtId="0" fontId="13" fillId="2" borderId="42" xfId="2" applyFont="1" applyFill="1" applyBorder="1" applyAlignment="1">
      <alignment horizontal="center"/>
    </xf>
    <xf numFmtId="0" fontId="13" fillId="2" borderId="13" xfId="2" applyFont="1" applyFill="1" applyBorder="1" applyAlignment="1">
      <alignment horizontal="center"/>
    </xf>
    <xf numFmtId="167" fontId="13" fillId="9" borderId="32" xfId="2" applyNumberFormat="1" applyFont="1" applyFill="1" applyBorder="1" applyAlignment="1">
      <alignment horizontal="center"/>
    </xf>
    <xf numFmtId="167" fontId="13" fillId="9" borderId="35" xfId="2" applyNumberFormat="1" applyFont="1" applyFill="1" applyBorder="1" applyAlignment="1">
      <alignment horizontal="center"/>
    </xf>
    <xf numFmtId="167" fontId="13" fillId="9" borderId="38" xfId="2" applyNumberFormat="1" applyFont="1" applyFill="1" applyBorder="1" applyAlignment="1">
      <alignment horizontal="center"/>
    </xf>
    <xf numFmtId="167" fontId="13" fillId="2" borderId="23" xfId="2" applyNumberFormat="1" applyFont="1" applyFill="1" applyBorder="1"/>
    <xf numFmtId="0" fontId="1" fillId="2" borderId="0" xfId="0" applyFont="1" applyFill="1" applyAlignment="1">
      <alignment horizontal="center"/>
    </xf>
    <xf numFmtId="0" fontId="3" fillId="2" borderId="10" xfId="0" applyFont="1" applyFill="1" applyBorder="1" applyAlignment="1">
      <alignment horizontal="center"/>
    </xf>
    <xf numFmtId="0" fontId="1" fillId="2" borderId="43" xfId="0" applyFont="1" applyFill="1" applyBorder="1" applyAlignment="1">
      <alignment horizontal="center"/>
    </xf>
    <xf numFmtId="0" fontId="1" fillId="2" borderId="44" xfId="0" applyFont="1" applyFill="1" applyBorder="1" applyAlignment="1">
      <alignment horizontal="center"/>
    </xf>
    <xf numFmtId="0" fontId="1" fillId="2" borderId="45" xfId="0" applyFont="1" applyFill="1" applyBorder="1" applyAlignment="1">
      <alignment horizontal="center"/>
    </xf>
    <xf numFmtId="0" fontId="1" fillId="2" borderId="45" xfId="0" applyFont="1" applyFill="1" applyBorder="1" applyAlignment="1">
      <alignment horizontal="left"/>
    </xf>
    <xf numFmtId="0" fontId="1" fillId="2" borderId="46" xfId="0" applyFont="1" applyFill="1" applyBorder="1" applyAlignment="1">
      <alignment horizontal="center"/>
    </xf>
    <xf numFmtId="0" fontId="1" fillId="2" borderId="47" xfId="0" applyFont="1" applyFill="1" applyBorder="1" applyAlignment="1">
      <alignment horizontal="center"/>
    </xf>
    <xf numFmtId="0" fontId="1" fillId="2" borderId="48" xfId="0" applyFont="1" applyFill="1" applyBorder="1" applyAlignment="1">
      <alignment horizontal="center"/>
    </xf>
    <xf numFmtId="0" fontId="3" fillId="2" borderId="3" xfId="0" applyFont="1" applyFill="1" applyBorder="1" applyAlignment="1">
      <alignment horizontal="center"/>
    </xf>
    <xf numFmtId="0" fontId="1" fillId="2" borderId="0" xfId="0" applyFont="1" applyFill="1"/>
    <xf numFmtId="0" fontId="3" fillId="2" borderId="3" xfId="0" applyFont="1" applyFill="1" applyBorder="1" applyAlignment="1">
      <alignment vertical="center"/>
    </xf>
    <xf numFmtId="0" fontId="3" fillId="11" borderId="3" xfId="0" applyFont="1" applyFill="1" applyBorder="1" applyAlignment="1">
      <alignment horizontal="center" vertical="center"/>
    </xf>
    <xf numFmtId="1" fontId="25" fillId="0" borderId="3" xfId="0" applyNumberFormat="1" applyFont="1" applyBorder="1" applyAlignment="1">
      <alignment horizontal="center" vertical="center" wrapText="1"/>
    </xf>
    <xf numFmtId="1" fontId="3" fillId="0" borderId="3" xfId="0" applyNumberFormat="1" applyFont="1" applyBorder="1" applyAlignment="1">
      <alignment horizontal="center" vertical="center"/>
    </xf>
    <xf numFmtId="1" fontId="25" fillId="0" borderId="3" xfId="0" applyNumberFormat="1" applyFont="1" applyBorder="1" applyAlignment="1">
      <alignment horizontal="center" vertical="center"/>
    </xf>
    <xf numFmtId="0" fontId="26" fillId="2" borderId="0" xfId="0" applyFont="1" applyFill="1"/>
    <xf numFmtId="0" fontId="27" fillId="2" borderId="0" xfId="0" applyFont="1" applyFill="1"/>
    <xf numFmtId="0" fontId="28" fillId="2" borderId="0" xfId="0" applyFont="1" applyFill="1"/>
    <xf numFmtId="0" fontId="29" fillId="2" borderId="0" xfId="1" applyFont="1" applyFill="1" applyBorder="1" applyProtection="1"/>
    <xf numFmtId="0" fontId="32" fillId="2" borderId="0" xfId="0" applyFont="1" applyFill="1" applyAlignment="1">
      <alignment horizontal="center"/>
    </xf>
    <xf numFmtId="0" fontId="33" fillId="2" borderId="0" xfId="0" applyFont="1" applyFill="1" applyAlignment="1">
      <alignment horizontal="center" vertical="center" wrapText="1"/>
    </xf>
    <xf numFmtId="0" fontId="33" fillId="2"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33" fillId="2" borderId="3" xfId="0" applyFont="1" applyFill="1" applyBorder="1" applyAlignment="1">
      <alignment vertical="center"/>
    </xf>
    <xf numFmtId="0" fontId="33" fillId="2" borderId="1" xfId="0" applyFont="1" applyFill="1" applyBorder="1" applyAlignment="1">
      <alignment vertical="center"/>
    </xf>
    <xf numFmtId="0" fontId="35" fillId="2" borderId="19" xfId="0" applyFont="1" applyFill="1" applyBorder="1"/>
    <xf numFmtId="0" fontId="35" fillId="2" borderId="2" xfId="0" applyFont="1" applyFill="1" applyBorder="1"/>
    <xf numFmtId="0" fontId="34" fillId="2" borderId="3" xfId="0" applyFont="1" applyFill="1" applyBorder="1" applyAlignment="1">
      <alignment horizontal="center" vertical="center"/>
    </xf>
    <xf numFmtId="0" fontId="0" fillId="2" borderId="1" xfId="0" applyFill="1" applyBorder="1"/>
    <xf numFmtId="1" fontId="34" fillId="2" borderId="3" xfId="0" applyNumberFormat="1" applyFont="1" applyFill="1" applyBorder="1" applyAlignment="1">
      <alignment horizontal="center" vertical="center"/>
    </xf>
    <xf numFmtId="0" fontId="33" fillId="2" borderId="7" xfId="0" applyFont="1" applyFill="1" applyBorder="1" applyAlignment="1">
      <alignment vertical="center"/>
    </xf>
    <xf numFmtId="0" fontId="35" fillId="2" borderId="12" xfId="0" applyFont="1" applyFill="1" applyBorder="1"/>
    <xf numFmtId="0" fontId="35" fillId="2" borderId="8" xfId="0" applyFont="1" applyFill="1" applyBorder="1"/>
    <xf numFmtId="165" fontId="34" fillId="2" borderId="3" xfId="0" applyNumberFormat="1" applyFont="1" applyFill="1" applyBorder="1" applyAlignment="1">
      <alignment horizontal="center" vertical="center"/>
    </xf>
    <xf numFmtId="0" fontId="33" fillId="2" borderId="0" xfId="0" applyFont="1" applyFill="1" applyAlignment="1">
      <alignment vertical="center"/>
    </xf>
    <xf numFmtId="1" fontId="34" fillId="2" borderId="0" xfId="0" applyNumberFormat="1" applyFont="1" applyFill="1" applyAlignment="1">
      <alignment horizontal="right" vertical="center"/>
    </xf>
    <xf numFmtId="169" fontId="34" fillId="2" borderId="0" xfId="0" applyNumberFormat="1" applyFont="1" applyFill="1" applyAlignment="1">
      <alignment horizontal="left" vertical="center"/>
    </xf>
    <xf numFmtId="0" fontId="35" fillId="2" borderId="0" xfId="0" applyFont="1" applyFill="1"/>
    <xf numFmtId="2" fontId="34" fillId="2" borderId="0" xfId="0" applyNumberFormat="1" applyFont="1" applyFill="1" applyAlignment="1">
      <alignment horizontal="center" vertical="center"/>
    </xf>
    <xf numFmtId="0" fontId="2" fillId="2" borderId="0" xfId="0" applyFont="1" applyFill="1"/>
    <xf numFmtId="0" fontId="27" fillId="0" borderId="0" xfId="0" applyFont="1" applyAlignment="1">
      <alignment horizontal="center"/>
    </xf>
    <xf numFmtId="0" fontId="3" fillId="2" borderId="0" xfId="0" applyFont="1" applyFill="1"/>
    <xf numFmtId="0" fontId="28" fillId="2" borderId="0" xfId="0" applyFont="1" applyFill="1" applyAlignment="1">
      <alignment horizontal="center" vertical="center" wrapText="1"/>
    </xf>
    <xf numFmtId="0" fontId="33" fillId="2" borderId="3" xfId="0" applyFont="1" applyFill="1" applyBorder="1" applyAlignment="1">
      <alignment horizontal="center" vertical="center" wrapText="1"/>
    </xf>
    <xf numFmtId="0" fontId="35" fillId="2" borderId="0" xfId="0" applyFont="1" applyFill="1" applyAlignment="1">
      <alignment horizontal="center" vertical="center" wrapText="1"/>
    </xf>
    <xf numFmtId="0" fontId="36" fillId="2" borderId="3" xfId="0" applyFont="1" applyFill="1" applyBorder="1" applyAlignment="1">
      <alignment horizontal="center" vertical="center" wrapText="1"/>
    </xf>
    <xf numFmtId="1" fontId="38" fillId="0" borderId="3" xfId="0" applyNumberFormat="1" applyFont="1" applyBorder="1" applyAlignment="1">
      <alignment horizontal="center" vertical="center" wrapText="1"/>
    </xf>
    <xf numFmtId="10" fontId="39" fillId="2" borderId="49" xfId="0" applyNumberFormat="1" applyFont="1" applyFill="1" applyBorder="1" applyAlignment="1">
      <alignment horizontal="center" vertical="center" wrapText="1"/>
    </xf>
    <xf numFmtId="10" fontId="38" fillId="0" borderId="3" xfId="0" applyNumberFormat="1" applyFont="1" applyBorder="1" applyAlignment="1">
      <alignment horizontal="center" vertical="center" wrapText="1"/>
    </xf>
    <xf numFmtId="0" fontId="40" fillId="2" borderId="0" xfId="0" applyFont="1" applyFill="1"/>
    <xf numFmtId="0" fontId="41" fillId="2" borderId="0" xfId="0" applyFont="1" applyFill="1"/>
    <xf numFmtId="0" fontId="4" fillId="2" borderId="0" xfId="0" applyFont="1" applyFill="1"/>
    <xf numFmtId="0" fontId="41" fillId="2" borderId="0" xfId="0" applyFont="1" applyFill="1" applyAlignment="1">
      <alignment horizontal="center" vertical="center" wrapText="1"/>
    </xf>
    <xf numFmtId="0" fontId="36" fillId="2" borderId="0" xfId="0" applyFont="1" applyFill="1" applyAlignment="1">
      <alignment horizontal="center" vertical="center" wrapText="1"/>
    </xf>
    <xf numFmtId="0" fontId="38" fillId="2" borderId="3" xfId="0" applyFont="1" applyFill="1" applyBorder="1" applyAlignment="1">
      <alignment horizontal="center" vertical="center" wrapText="1"/>
    </xf>
    <xf numFmtId="0" fontId="38" fillId="2" borderId="0" xfId="0" applyFont="1" applyFill="1" applyAlignment="1">
      <alignment horizontal="center" vertical="center" wrapText="1"/>
    </xf>
    <xf numFmtId="2" fontId="38" fillId="2" borderId="0" xfId="0" applyNumberFormat="1" applyFont="1" applyFill="1" applyAlignment="1">
      <alignment horizontal="center" vertical="center" wrapText="1"/>
    </xf>
    <xf numFmtId="164" fontId="38" fillId="2" borderId="0" xfId="0" applyNumberFormat="1" applyFont="1" applyFill="1" applyAlignment="1">
      <alignment horizontal="center" vertical="center" wrapText="1"/>
    </xf>
    <xf numFmtId="0" fontId="4" fillId="2" borderId="51" xfId="0" applyFont="1" applyFill="1" applyBorder="1"/>
    <xf numFmtId="0" fontId="0" fillId="2" borderId="51" xfId="0" applyFill="1" applyBorder="1"/>
    <xf numFmtId="0" fontId="2" fillId="2" borderId="1" xfId="0" applyFont="1" applyFill="1" applyBorder="1" applyAlignment="1">
      <alignment vertical="center"/>
    </xf>
    <xf numFmtId="0" fontId="28" fillId="2" borderId="2" xfId="0" applyFont="1" applyFill="1" applyBorder="1"/>
    <xf numFmtId="0" fontId="2" fillId="2" borderId="3" xfId="0" applyFont="1" applyFill="1" applyBorder="1" applyAlignment="1">
      <alignment horizontal="center" vertical="center"/>
    </xf>
    <xf numFmtId="0" fontId="2" fillId="2" borderId="3" xfId="0" applyFont="1" applyFill="1" applyBorder="1" applyAlignment="1">
      <alignment vertical="center"/>
    </xf>
    <xf numFmtId="0" fontId="28" fillId="2" borderId="0" xfId="0" applyFont="1" applyFill="1" applyAlignment="1">
      <alignment horizontal="center" vertical="center"/>
    </xf>
    <xf numFmtId="0" fontId="43" fillId="2" borderId="0" xfId="0" applyFont="1" applyFill="1" applyAlignment="1">
      <alignment horizontal="right"/>
    </xf>
    <xf numFmtId="0" fontId="43" fillId="2" borderId="0" xfId="0" applyFont="1" applyFill="1" applyAlignment="1">
      <alignment horizontal="center"/>
    </xf>
    <xf numFmtId="0" fontId="34" fillId="2" borderId="3" xfId="0" applyFont="1" applyFill="1" applyBorder="1" applyAlignment="1" applyProtection="1">
      <alignment horizontal="center" vertical="center"/>
      <protection locked="0"/>
    </xf>
    <xf numFmtId="1" fontId="34" fillId="2" borderId="3" xfId="0" applyNumberFormat="1" applyFont="1" applyFill="1" applyBorder="1" applyAlignment="1" applyProtection="1">
      <alignment horizontal="center" vertical="center"/>
      <protection locked="0"/>
    </xf>
    <xf numFmtId="1" fontId="38" fillId="0" borderId="3" xfId="0" applyNumberFormat="1" applyFont="1" applyBorder="1" applyAlignment="1" applyProtection="1">
      <alignment horizontal="center" vertical="center" wrapText="1"/>
      <protection locked="0"/>
    </xf>
    <xf numFmtId="49" fontId="45" fillId="0" borderId="0" xfId="3" applyNumberFormat="1"/>
    <xf numFmtId="0" fontId="45" fillId="0" borderId="0" xfId="3"/>
    <xf numFmtId="0" fontId="45" fillId="0" borderId="0" xfId="3" applyAlignment="1">
      <alignment horizontal="center" vertical="center"/>
    </xf>
    <xf numFmtId="49" fontId="45" fillId="0" borderId="0" xfId="3" applyNumberFormat="1" applyAlignment="1">
      <alignment horizontal="center" vertical="center"/>
    </xf>
    <xf numFmtId="11" fontId="45" fillId="0" borderId="0" xfId="3" applyNumberFormat="1" applyAlignment="1">
      <alignment horizontal="center" vertical="center"/>
    </xf>
    <xf numFmtId="49" fontId="46" fillId="0" borderId="0" xfId="3" applyNumberFormat="1" applyFont="1" applyAlignment="1">
      <alignment horizontal="center" vertical="center"/>
    </xf>
    <xf numFmtId="170" fontId="45" fillId="0" borderId="0" xfId="3" applyNumberFormat="1" applyAlignment="1">
      <alignment horizontal="center" vertical="center"/>
    </xf>
    <xf numFmtId="1" fontId="1" fillId="2" borderId="3" xfId="0" applyNumberFormat="1" applyFont="1" applyFill="1" applyBorder="1" applyAlignment="1">
      <alignment horizontal="right" vertical="center"/>
    </xf>
    <xf numFmtId="1" fontId="34" fillId="2" borderId="1" xfId="0" applyNumberFormat="1" applyFont="1" applyFill="1" applyBorder="1" applyAlignment="1">
      <alignment vertical="center"/>
    </xf>
    <xf numFmtId="10" fontId="1" fillId="2" borderId="49" xfId="0" applyNumberFormat="1" applyFont="1" applyFill="1" applyBorder="1" applyAlignment="1">
      <alignment horizontal="center" vertical="center" wrapText="1"/>
    </xf>
    <xf numFmtId="10" fontId="1" fillId="2" borderId="50" xfId="0" applyNumberFormat="1" applyFont="1" applyFill="1" applyBorder="1" applyAlignment="1">
      <alignment horizontal="center" vertical="center" wrapText="1"/>
    </xf>
    <xf numFmtId="0" fontId="0" fillId="12" borderId="0" xfId="0" applyFill="1"/>
    <xf numFmtId="0" fontId="47" fillId="12" borderId="0" xfId="0" applyFont="1" applyFill="1"/>
    <xf numFmtId="0" fontId="48" fillId="12" borderId="0" xfId="0" applyFont="1" applyFill="1"/>
    <xf numFmtId="0" fontId="49" fillId="12" borderId="0" xfId="0" applyFont="1" applyFill="1"/>
    <xf numFmtId="0" fontId="50" fillId="12" borderId="0" xfId="1" applyFont="1" applyFill="1" applyProtection="1"/>
    <xf numFmtId="0" fontId="52" fillId="12" borderId="0" xfId="0" applyFont="1" applyFill="1" applyAlignment="1">
      <alignment horizontal="center"/>
    </xf>
    <xf numFmtId="0" fontId="53" fillId="13" borderId="0" xfId="0" applyFont="1" applyFill="1" applyAlignment="1">
      <alignment vertical="center" wrapText="1"/>
    </xf>
    <xf numFmtId="0" fontId="54" fillId="12" borderId="0" xfId="0" applyFont="1" applyFill="1" applyAlignment="1">
      <alignment horizontal="center" vertical="center"/>
    </xf>
    <xf numFmtId="0" fontId="53" fillId="13" borderId="0" xfId="0" applyFont="1" applyFill="1" applyAlignment="1">
      <alignment horizontal="center" vertical="center" wrapText="1"/>
    </xf>
    <xf numFmtId="0" fontId="54" fillId="12" borderId="0" xfId="0" applyFont="1" applyFill="1" applyAlignment="1">
      <alignment vertical="center" wrapText="1"/>
    </xf>
    <xf numFmtId="0" fontId="53" fillId="12" borderId="0" xfId="0" applyFont="1" applyFill="1" applyAlignment="1">
      <alignment vertical="center" wrapText="1"/>
    </xf>
    <xf numFmtId="0" fontId="53" fillId="12" borderId="3" xfId="0" applyFont="1" applyFill="1" applyBorder="1" applyAlignment="1">
      <alignment vertical="center"/>
    </xf>
    <xf numFmtId="0" fontId="0" fillId="12" borderId="3" xfId="0" applyFill="1" applyBorder="1"/>
    <xf numFmtId="0" fontId="53" fillId="12" borderId="1" xfId="0" applyFont="1" applyFill="1" applyBorder="1" applyAlignment="1">
      <alignment vertical="center"/>
    </xf>
    <xf numFmtId="0" fontId="56" fillId="12" borderId="19" xfId="0" applyFont="1" applyFill="1" applyBorder="1"/>
    <xf numFmtId="0" fontId="56" fillId="12" borderId="2" xfId="0" applyFont="1" applyFill="1" applyBorder="1"/>
    <xf numFmtId="0" fontId="55" fillId="12" borderId="3" xfId="0" applyFont="1" applyFill="1" applyBorder="1" applyAlignment="1" applyProtection="1">
      <alignment horizontal="center" vertical="center"/>
      <protection locked="0"/>
    </xf>
    <xf numFmtId="0" fontId="0" fillId="12" borderId="1" xfId="0" applyFill="1" applyBorder="1"/>
    <xf numFmtId="0" fontId="53" fillId="12" borderId="7" xfId="0" applyFont="1" applyFill="1" applyBorder="1" applyAlignment="1">
      <alignment vertical="center"/>
    </xf>
    <xf numFmtId="0" fontId="56" fillId="12" borderId="12" xfId="0" applyFont="1" applyFill="1" applyBorder="1"/>
    <xf numFmtId="0" fontId="56" fillId="12" borderId="8" xfId="0" applyFont="1" applyFill="1" applyBorder="1"/>
    <xf numFmtId="14" fontId="55" fillId="12" borderId="3" xfId="0" applyNumberFormat="1" applyFont="1" applyFill="1" applyBorder="1" applyAlignment="1">
      <alignment horizontal="center" vertical="center"/>
    </xf>
    <xf numFmtId="1" fontId="55" fillId="12" borderId="1" xfId="0" applyNumberFormat="1" applyFont="1" applyFill="1" applyBorder="1" applyAlignment="1">
      <alignment horizontal="right" vertical="center"/>
    </xf>
    <xf numFmtId="1" fontId="55" fillId="12" borderId="3" xfId="0" applyNumberFormat="1" applyFont="1" applyFill="1" applyBorder="1" applyAlignment="1" applyProtection="1">
      <alignment horizontal="center" vertical="center"/>
      <protection locked="0"/>
    </xf>
    <xf numFmtId="0" fontId="53" fillId="12" borderId="0" xfId="0" applyFont="1" applyFill="1" applyAlignment="1">
      <alignment vertical="center"/>
    </xf>
    <xf numFmtId="1" fontId="55" fillId="12" borderId="0" xfId="0" applyNumberFormat="1" applyFont="1" applyFill="1" applyAlignment="1">
      <alignment horizontal="right" vertical="center"/>
    </xf>
    <xf numFmtId="169" fontId="55" fillId="12" borderId="0" xfId="0" applyNumberFormat="1" applyFont="1" applyFill="1" applyAlignment="1">
      <alignment horizontal="left" vertical="center"/>
    </xf>
    <xf numFmtId="0" fontId="56" fillId="12" borderId="0" xfId="0" applyFont="1" applyFill="1"/>
    <xf numFmtId="2" fontId="55" fillId="12" borderId="0" xfId="0" applyNumberFormat="1" applyFont="1" applyFill="1" applyAlignment="1">
      <alignment horizontal="center" vertical="center"/>
    </xf>
    <xf numFmtId="0" fontId="57" fillId="12" borderId="0" xfId="0" applyFont="1" applyFill="1"/>
    <xf numFmtId="0" fontId="48" fillId="12" borderId="0" xfId="0" applyFont="1" applyFill="1" applyAlignment="1">
      <alignment horizontal="center"/>
    </xf>
    <xf numFmtId="0" fontId="54" fillId="12" borderId="0" xfId="0" applyFont="1" applyFill="1"/>
    <xf numFmtId="0" fontId="49" fillId="12" borderId="0" xfId="0" applyFont="1" applyFill="1" applyAlignment="1">
      <alignment horizontal="center" vertical="center" wrapText="1"/>
    </xf>
    <xf numFmtId="0" fontId="53" fillId="12" borderId="3" xfId="0" applyFont="1" applyFill="1" applyBorder="1" applyAlignment="1">
      <alignment horizontal="center" vertical="center" wrapText="1"/>
    </xf>
    <xf numFmtId="0" fontId="56" fillId="12" borderId="0" xfId="0" applyFont="1" applyFill="1" applyAlignment="1">
      <alignment horizontal="center" vertical="center" wrapText="1"/>
    </xf>
    <xf numFmtId="0" fontId="58" fillId="12" borderId="3" xfId="0" applyFont="1" applyFill="1" applyBorder="1" applyAlignment="1">
      <alignment horizontal="center" vertical="center" wrapText="1"/>
    </xf>
    <xf numFmtId="1" fontId="60" fillId="12" borderId="3" xfId="0" applyNumberFormat="1" applyFont="1" applyFill="1" applyBorder="1" applyAlignment="1" applyProtection="1">
      <alignment horizontal="center" vertical="center" wrapText="1"/>
      <protection locked="0"/>
    </xf>
    <xf numFmtId="1" fontId="60" fillId="12" borderId="3" xfId="0" applyNumberFormat="1" applyFont="1" applyFill="1" applyBorder="1" applyAlignment="1">
      <alignment horizontal="center" vertical="center" wrapText="1"/>
    </xf>
    <xf numFmtId="10" fontId="61" fillId="13" borderId="53" xfId="0" applyNumberFormat="1" applyFont="1" applyFill="1" applyBorder="1" applyAlignment="1">
      <alignment horizontal="center" vertical="center" wrapText="1"/>
    </xf>
    <xf numFmtId="1" fontId="60" fillId="12" borderId="54" xfId="0" applyNumberFormat="1" applyFont="1" applyFill="1" applyBorder="1" applyAlignment="1">
      <alignment horizontal="center" vertical="center" wrapText="1"/>
    </xf>
    <xf numFmtId="10" fontId="60" fillId="12" borderId="54" xfId="0" applyNumberFormat="1" applyFont="1" applyFill="1" applyBorder="1" applyAlignment="1">
      <alignment horizontal="center" vertical="center" wrapText="1"/>
    </xf>
    <xf numFmtId="0" fontId="62" fillId="12" borderId="0" xfId="0" applyFont="1" applyFill="1"/>
    <xf numFmtId="0" fontId="63" fillId="12" borderId="0" xfId="0" applyFont="1" applyFill="1"/>
    <xf numFmtId="0" fontId="64" fillId="12" borderId="0" xfId="0" applyFont="1" applyFill="1"/>
    <xf numFmtId="0" fontId="53" fillId="12" borderId="54" xfId="0" applyFont="1" applyFill="1" applyBorder="1" applyAlignment="1">
      <alignment horizontal="center" vertical="center" wrapText="1"/>
    </xf>
    <xf numFmtId="0" fontId="53" fillId="12" borderId="0" xfId="0" applyFont="1" applyFill="1" applyAlignment="1">
      <alignment horizontal="center" vertical="center" wrapText="1"/>
    </xf>
    <xf numFmtId="0" fontId="58" fillId="12" borderId="54" xfId="0" applyFont="1" applyFill="1" applyBorder="1" applyAlignment="1">
      <alignment horizontal="center" vertical="center" wrapText="1"/>
    </xf>
    <xf numFmtId="0" fontId="63" fillId="12" borderId="0" xfId="0" applyFont="1" applyFill="1" applyAlignment="1">
      <alignment horizontal="center" vertical="center" wrapText="1"/>
    </xf>
    <xf numFmtId="0" fontId="58" fillId="12" borderId="0" xfId="0" applyFont="1" applyFill="1" applyAlignment="1">
      <alignment horizontal="center" vertical="center" wrapText="1"/>
    </xf>
    <xf numFmtId="0" fontId="60" fillId="12" borderId="0" xfId="0" applyFont="1" applyFill="1" applyAlignment="1">
      <alignment horizontal="center" vertical="center" wrapText="1"/>
    </xf>
    <xf numFmtId="2" fontId="60" fillId="12" borderId="0" xfId="0" applyNumberFormat="1" applyFont="1" applyFill="1" applyAlignment="1">
      <alignment horizontal="center" vertical="center" wrapText="1"/>
    </xf>
    <xf numFmtId="164" fontId="60" fillId="12" borderId="0" xfId="0" applyNumberFormat="1" applyFont="1" applyFill="1" applyAlignment="1">
      <alignment horizontal="center" vertical="center" wrapText="1"/>
    </xf>
    <xf numFmtId="0" fontId="64" fillId="12" borderId="51" xfId="0" applyFont="1" applyFill="1" applyBorder="1"/>
    <xf numFmtId="0" fontId="0" fillId="12" borderId="51" xfId="0" applyFill="1" applyBorder="1"/>
    <xf numFmtId="0" fontId="57" fillId="12" borderId="1" xfId="0" applyFont="1" applyFill="1" applyBorder="1" applyAlignment="1">
      <alignment vertical="center"/>
    </xf>
    <xf numFmtId="0" fontId="49" fillId="12" borderId="2" xfId="0" applyFont="1" applyFill="1" applyBorder="1"/>
    <xf numFmtId="0" fontId="57" fillId="12" borderId="3" xfId="0" applyFont="1" applyFill="1" applyBorder="1" applyAlignment="1">
      <alignment horizontal="center" vertical="center"/>
    </xf>
    <xf numFmtId="0" fontId="57" fillId="12" borderId="3" xfId="0" applyFont="1" applyFill="1" applyBorder="1" applyAlignment="1">
      <alignment vertical="center"/>
    </xf>
    <xf numFmtId="0" fontId="49" fillId="12" borderId="0" xfId="0" applyFont="1" applyFill="1" applyAlignment="1">
      <alignment horizontal="center" vertical="center"/>
    </xf>
    <xf numFmtId="0" fontId="66" fillId="12" borderId="0" xfId="0" applyFont="1" applyFill="1" applyAlignment="1">
      <alignment horizontal="right"/>
    </xf>
    <xf numFmtId="0" fontId="66" fillId="12" borderId="0" xfId="0" applyFont="1" applyFill="1" applyAlignment="1">
      <alignment horizontal="center"/>
    </xf>
    <xf numFmtId="171" fontId="45" fillId="0" borderId="55" xfId="4" applyNumberFormat="1" applyBorder="1" applyAlignment="1" applyProtection="1">
      <alignment horizontal="center" vertical="center"/>
      <protection locked="0"/>
    </xf>
    <xf numFmtId="0" fontId="45" fillId="0" borderId="71" xfId="4" applyBorder="1" applyAlignment="1" applyProtection="1">
      <alignment horizontal="center" vertical="center"/>
      <protection locked="0"/>
    </xf>
    <xf numFmtId="0" fontId="68" fillId="0" borderId="94" xfId="4" applyFont="1" applyBorder="1" applyAlignment="1" applyProtection="1">
      <alignment vertical="center"/>
      <protection locked="0"/>
    </xf>
    <xf numFmtId="0" fontId="68" fillId="0" borderId="95" xfId="4" applyFont="1" applyBorder="1" applyAlignment="1" applyProtection="1">
      <alignment vertical="center"/>
      <protection locked="0"/>
    </xf>
    <xf numFmtId="0" fontId="68" fillId="0" borderId="97" xfId="4" applyFont="1" applyBorder="1" applyAlignment="1" applyProtection="1">
      <alignment vertical="center"/>
      <protection locked="0"/>
    </xf>
    <xf numFmtId="0" fontId="68" fillId="0" borderId="98" xfId="4" applyFont="1" applyBorder="1" applyAlignment="1" applyProtection="1">
      <alignment vertical="center"/>
      <protection locked="0"/>
    </xf>
    <xf numFmtId="0" fontId="68" fillId="0" borderId="100" xfId="4" applyFont="1" applyBorder="1" applyAlignment="1" applyProtection="1">
      <alignment vertical="center"/>
      <protection locked="0"/>
    </xf>
    <xf numFmtId="0" fontId="68" fillId="0" borderId="101" xfId="4" applyFont="1" applyBorder="1" applyAlignment="1" applyProtection="1">
      <alignment vertical="center"/>
      <protection locked="0"/>
    </xf>
    <xf numFmtId="0" fontId="68" fillId="0" borderId="104" xfId="4" applyFont="1" applyBorder="1" applyAlignment="1" applyProtection="1">
      <alignment vertical="center"/>
      <protection locked="0"/>
    </xf>
    <xf numFmtId="0" fontId="68" fillId="0" borderId="105" xfId="4" applyFont="1" applyBorder="1" applyAlignment="1" applyProtection="1">
      <alignment vertical="center"/>
      <protection locked="0"/>
    </xf>
    <xf numFmtId="0" fontId="68" fillId="0" borderId="14" xfId="4" applyFont="1" applyBorder="1" applyAlignment="1">
      <alignment vertical="center"/>
    </xf>
    <xf numFmtId="0" fontId="68" fillId="0" borderId="15" xfId="4" applyFont="1" applyBorder="1" applyAlignment="1">
      <alignment horizontal="left" vertical="center"/>
    </xf>
    <xf numFmtId="0" fontId="68" fillId="0" borderId="15" xfId="4" applyFont="1" applyBorder="1" applyAlignment="1">
      <alignment vertical="center"/>
    </xf>
    <xf numFmtId="0" fontId="69" fillId="0" borderId="16" xfId="4" applyFont="1" applyBorder="1" applyAlignment="1">
      <alignment horizontal="right" vertical="center"/>
    </xf>
    <xf numFmtId="0" fontId="45" fillId="0" borderId="0" xfId="4" applyAlignment="1">
      <alignment vertical="center"/>
    </xf>
    <xf numFmtId="0" fontId="68" fillId="0" borderId="0" xfId="4" applyFont="1" applyAlignment="1">
      <alignment vertical="center"/>
    </xf>
    <xf numFmtId="0" fontId="68" fillId="0" borderId="17" xfId="4" applyFont="1" applyBorder="1" applyAlignment="1">
      <alignment vertical="center"/>
    </xf>
    <xf numFmtId="0" fontId="68" fillId="0" borderId="0" xfId="4" applyFont="1" applyAlignment="1">
      <alignment horizontal="left" vertical="center"/>
    </xf>
    <xf numFmtId="0" fontId="69" fillId="0" borderId="18" xfId="4" applyFont="1" applyBorder="1" applyAlignment="1">
      <alignment horizontal="right" vertical="center"/>
    </xf>
    <xf numFmtId="0" fontId="70" fillId="12" borderId="0" xfId="4" applyFont="1" applyFill="1" applyAlignment="1">
      <alignment horizontal="center" vertical="center"/>
    </xf>
    <xf numFmtId="0" fontId="71" fillId="12" borderId="0" xfId="4" applyFont="1" applyFill="1" applyAlignment="1">
      <alignment vertical="center" wrapText="1"/>
    </xf>
    <xf numFmtId="14" fontId="71" fillId="12" borderId="0" xfId="4" applyNumberFormat="1" applyFont="1" applyFill="1" applyAlignment="1">
      <alignment vertical="center"/>
    </xf>
    <xf numFmtId="0" fontId="72" fillId="12" borderId="0" xfId="4" applyFont="1" applyFill="1" applyAlignment="1">
      <alignment horizontal="left" vertical="center"/>
    </xf>
    <xf numFmtId="0" fontId="73" fillId="12" borderId="0" xfId="4" applyFont="1" applyFill="1" applyAlignment="1">
      <alignment vertical="center"/>
    </xf>
    <xf numFmtId="14" fontId="71" fillId="12" borderId="0" xfId="4" applyNumberFormat="1" applyFont="1" applyFill="1" applyAlignment="1">
      <alignment horizontal="center" vertical="center"/>
    </xf>
    <xf numFmtId="14" fontId="71" fillId="12" borderId="18" xfId="4" applyNumberFormat="1" applyFont="1" applyFill="1" applyBorder="1" applyAlignment="1">
      <alignment horizontal="center" vertical="center"/>
    </xf>
    <xf numFmtId="0" fontId="68" fillId="12" borderId="0" xfId="4" applyFont="1" applyFill="1" applyAlignment="1">
      <alignment vertical="center"/>
    </xf>
    <xf numFmtId="0" fontId="68" fillId="15" borderId="62" xfId="4" applyFont="1" applyFill="1" applyBorder="1" applyAlignment="1">
      <alignment horizontal="center" vertical="center"/>
    </xf>
    <xf numFmtId="0" fontId="68" fillId="15" borderId="17" xfId="4" applyFont="1" applyFill="1" applyBorder="1" applyAlignment="1">
      <alignment vertical="center"/>
    </xf>
    <xf numFmtId="0" fontId="45" fillId="15" borderId="15" xfId="4" applyFill="1" applyBorder="1" applyAlignment="1">
      <alignment vertical="center"/>
    </xf>
    <xf numFmtId="0" fontId="68" fillId="18" borderId="63" xfId="4" applyFont="1" applyFill="1" applyBorder="1" applyAlignment="1">
      <alignment vertical="center"/>
    </xf>
    <xf numFmtId="0" fontId="68" fillId="18" borderId="64" xfId="4" applyFont="1" applyFill="1" applyBorder="1" applyAlignment="1">
      <alignment vertical="center"/>
    </xf>
    <xf numFmtId="0" fontId="68" fillId="15" borderId="20" xfId="4" applyFont="1" applyFill="1" applyBorder="1" applyAlignment="1">
      <alignment vertical="center"/>
    </xf>
    <xf numFmtId="0" fontId="45" fillId="15" borderId="21" xfId="4" applyFill="1" applyBorder="1" applyAlignment="1">
      <alignment vertical="center"/>
    </xf>
    <xf numFmtId="0" fontId="8" fillId="18" borderId="57" xfId="4" applyFont="1" applyFill="1" applyBorder="1" applyAlignment="1">
      <alignment vertical="center"/>
    </xf>
    <xf numFmtId="0" fontId="45" fillId="18" borderId="54" xfId="4" applyFill="1" applyBorder="1" applyAlignment="1">
      <alignment vertical="center"/>
    </xf>
    <xf numFmtId="49" fontId="45" fillId="0" borderId="0" xfId="4" applyNumberFormat="1" applyAlignment="1">
      <alignment vertical="center"/>
    </xf>
    <xf numFmtId="0" fontId="68" fillId="18" borderId="69" xfId="4" applyFont="1" applyFill="1" applyBorder="1" applyAlignment="1">
      <alignment vertical="center"/>
    </xf>
    <xf numFmtId="0" fontId="68" fillId="18" borderId="70" xfId="4" applyFont="1" applyFill="1" applyBorder="1" applyAlignment="1">
      <alignment vertical="center"/>
    </xf>
    <xf numFmtId="0" fontId="68" fillId="19" borderId="17" xfId="4" applyFont="1" applyFill="1" applyBorder="1" applyAlignment="1">
      <alignment vertical="center"/>
    </xf>
    <xf numFmtId="0" fontId="68" fillId="19" borderId="0" xfId="4" applyFont="1" applyFill="1" applyAlignment="1">
      <alignment vertical="center"/>
    </xf>
    <xf numFmtId="0" fontId="68" fillId="19" borderId="73" xfId="4" applyFont="1" applyFill="1" applyBorder="1" applyAlignment="1">
      <alignment vertical="center"/>
    </xf>
    <xf numFmtId="0" fontId="8" fillId="18" borderId="74" xfId="4" applyFont="1" applyFill="1" applyBorder="1" applyAlignment="1">
      <alignment vertical="center"/>
    </xf>
    <xf numFmtId="0" fontId="45" fillId="18" borderId="75" xfId="4" applyFill="1" applyBorder="1" applyAlignment="1">
      <alignment vertical="center"/>
    </xf>
    <xf numFmtId="0" fontId="68" fillId="18" borderId="76" xfId="4" applyFont="1" applyFill="1" applyBorder="1" applyAlignment="1">
      <alignment vertical="center"/>
    </xf>
    <xf numFmtId="0" fontId="68" fillId="18" borderId="77" xfId="4" applyFont="1" applyFill="1" applyBorder="1" applyAlignment="1">
      <alignment vertical="center"/>
    </xf>
    <xf numFmtId="0" fontId="68" fillId="18" borderId="81" xfId="4" applyFont="1" applyFill="1" applyBorder="1" applyAlignment="1">
      <alignment vertical="center"/>
    </xf>
    <xf numFmtId="0" fontId="68" fillId="18" borderId="66" xfId="4" applyFont="1" applyFill="1" applyBorder="1" applyAlignment="1">
      <alignment vertical="center"/>
    </xf>
    <xf numFmtId="0" fontId="68" fillId="17" borderId="0" xfId="4" applyFont="1" applyFill="1" applyAlignment="1">
      <alignment vertical="center"/>
    </xf>
    <xf numFmtId="0" fontId="68" fillId="18" borderId="84" xfId="4" applyFont="1" applyFill="1" applyBorder="1" applyAlignment="1">
      <alignment vertical="center"/>
    </xf>
    <xf numFmtId="0" fontId="68" fillId="18" borderId="85" xfId="4" applyFont="1" applyFill="1" applyBorder="1" applyAlignment="1">
      <alignment vertical="center"/>
    </xf>
    <xf numFmtId="0" fontId="45" fillId="19" borderId="17" xfId="4" applyFill="1" applyBorder="1" applyAlignment="1">
      <alignment vertical="center"/>
    </xf>
    <xf numFmtId="0" fontId="45" fillId="19" borderId="0" xfId="4" applyFill="1" applyAlignment="1">
      <alignment vertical="center"/>
    </xf>
    <xf numFmtId="0" fontId="45" fillId="19" borderId="0" xfId="4" applyFill="1"/>
    <xf numFmtId="0" fontId="68" fillId="18" borderId="88" xfId="4" applyFont="1" applyFill="1" applyBorder="1" applyAlignment="1">
      <alignment horizontal="center" vertical="center"/>
    </xf>
    <xf numFmtId="0" fontId="68" fillId="18" borderId="89" xfId="4" applyFont="1" applyFill="1" applyBorder="1" applyAlignment="1">
      <alignment horizontal="center" vertical="center"/>
    </xf>
    <xf numFmtId="0" fontId="68" fillId="18" borderId="92" xfId="4" applyFont="1" applyFill="1" applyBorder="1" applyAlignment="1">
      <alignment horizontal="center" vertical="center"/>
    </xf>
    <xf numFmtId="0" fontId="68" fillId="18" borderId="16" xfId="4" applyFont="1" applyFill="1" applyBorder="1" applyAlignment="1">
      <alignment horizontal="center" vertical="center"/>
    </xf>
    <xf numFmtId="0" fontId="68" fillId="18" borderId="93" xfId="4" applyFont="1" applyFill="1" applyBorder="1" applyAlignment="1">
      <alignment vertical="center"/>
    </xf>
    <xf numFmtId="0" fontId="68" fillId="18" borderId="99" xfId="4" applyFont="1" applyFill="1" applyBorder="1" applyAlignment="1">
      <alignment vertical="center"/>
    </xf>
    <xf numFmtId="0" fontId="68" fillId="18" borderId="106" xfId="4" applyFont="1" applyFill="1" applyBorder="1" applyAlignment="1">
      <alignment vertical="center"/>
    </xf>
    <xf numFmtId="0" fontId="68" fillId="19" borderId="18" xfId="4" applyFont="1" applyFill="1" applyBorder="1" applyAlignment="1">
      <alignment vertical="center"/>
    </xf>
    <xf numFmtId="0" fontId="68" fillId="0" borderId="62" xfId="4" applyFont="1" applyBorder="1" applyAlignment="1">
      <alignment horizontal="center" vertical="center"/>
    </xf>
    <xf numFmtId="0" fontId="68" fillId="0" borderId="107" xfId="4" applyFont="1" applyBorder="1" applyAlignment="1">
      <alignment horizontal="center" vertical="center"/>
    </xf>
    <xf numFmtId="0" fontId="68" fillId="19" borderId="20" xfId="4" applyFont="1" applyFill="1" applyBorder="1" applyAlignment="1">
      <alignment vertical="center"/>
    </xf>
    <xf numFmtId="0" fontId="68" fillId="19" borderId="21" xfId="4" applyFont="1" applyFill="1" applyBorder="1" applyAlignment="1">
      <alignment vertical="center"/>
    </xf>
    <xf numFmtId="0" fontId="45" fillId="19" borderId="21" xfId="4" applyFill="1" applyBorder="1" applyAlignment="1">
      <alignment vertical="center"/>
    </xf>
    <xf numFmtId="0" fontId="45" fillId="19" borderId="22" xfId="4" applyFill="1" applyBorder="1" applyAlignment="1">
      <alignment vertical="center"/>
    </xf>
    <xf numFmtId="0" fontId="68" fillId="0" borderId="120" xfId="4" applyFont="1" applyBorder="1" applyAlignment="1">
      <alignment vertical="center"/>
    </xf>
    <xf numFmtId="0" fontId="1" fillId="2" borderId="0" xfId="0" applyFont="1" applyFill="1" applyAlignment="1">
      <alignment horizontal="left"/>
    </xf>
    <xf numFmtId="0" fontId="1" fillId="2" borderId="3" xfId="0" applyFont="1" applyFill="1" applyBorder="1"/>
    <xf numFmtId="0" fontId="1" fillId="2" borderId="0" xfId="0" applyFont="1" applyFill="1" applyAlignment="1">
      <alignment horizontal="right"/>
    </xf>
    <xf numFmtId="0" fontId="1" fillId="10" borderId="3" xfId="0" applyFont="1" applyFill="1" applyBorder="1"/>
    <xf numFmtId="0" fontId="3" fillId="2" borderId="3" xfId="0" applyFont="1" applyFill="1" applyBorder="1" applyAlignment="1">
      <alignment horizontal="left"/>
    </xf>
    <xf numFmtId="0" fontId="1" fillId="2" borderId="10" xfId="0" applyFont="1" applyFill="1" applyBorder="1" applyAlignment="1">
      <alignment horizontal="left"/>
    </xf>
    <xf numFmtId="0" fontId="1" fillId="2" borderId="10" xfId="0" applyFont="1" applyFill="1" applyBorder="1" applyAlignment="1">
      <alignment horizontal="center"/>
    </xf>
    <xf numFmtId="1" fontId="1" fillId="10" borderId="3" xfId="0" applyNumberFormat="1" applyFont="1" applyFill="1" applyBorder="1" applyAlignment="1">
      <alignment horizontal="center"/>
    </xf>
    <xf numFmtId="0" fontId="45" fillId="12" borderId="123" xfId="0" applyFont="1" applyFill="1" applyBorder="1" applyAlignment="1">
      <alignment horizontal="left"/>
    </xf>
    <xf numFmtId="0" fontId="45" fillId="12" borderId="124" xfId="0" applyFont="1" applyFill="1" applyBorder="1" applyAlignment="1">
      <alignment horizontal="left"/>
    </xf>
    <xf numFmtId="0" fontId="3" fillId="2" borderId="3" xfId="0" applyFont="1" applyFill="1" applyBorder="1"/>
    <xf numFmtId="1" fontId="1" fillId="2" borderId="0" xfId="0" applyNumberFormat="1" applyFont="1" applyFill="1" applyAlignment="1">
      <alignment horizontal="center"/>
    </xf>
    <xf numFmtId="0" fontId="54" fillId="12" borderId="54" xfId="0" applyFont="1" applyFill="1" applyBorder="1" applyAlignment="1">
      <alignment horizontal="center"/>
    </xf>
    <xf numFmtId="0" fontId="45" fillId="12" borderId="0" xfId="0" applyFont="1" applyFill="1"/>
    <xf numFmtId="2" fontId="24" fillId="2" borderId="0" xfId="0" applyNumberFormat="1" applyFont="1" applyFill="1"/>
    <xf numFmtId="0" fontId="3" fillId="2" borderId="3" xfId="0" applyFont="1" applyFill="1" applyBorder="1" applyAlignment="1">
      <alignment horizontal="center" vertical="center"/>
    </xf>
    <xf numFmtId="0" fontId="45" fillId="0" borderId="0" xfId="4"/>
    <xf numFmtId="0" fontId="68" fillId="18" borderId="125" xfId="4" applyFont="1" applyFill="1" applyBorder="1" applyAlignment="1">
      <alignment vertical="center"/>
    </xf>
    <xf numFmtId="0" fontId="45" fillId="0" borderId="126" xfId="4" applyBorder="1"/>
    <xf numFmtId="0" fontId="45" fillId="0" borderId="18" xfId="4" applyBorder="1"/>
    <xf numFmtId="0" fontId="45" fillId="0" borderId="128" xfId="4" applyBorder="1"/>
    <xf numFmtId="171" fontId="45" fillId="0" borderId="0" xfId="4" applyNumberFormat="1" applyAlignment="1">
      <alignment horizontal="left" indent="1"/>
    </xf>
    <xf numFmtId="0" fontId="68" fillId="18" borderId="129" xfId="4" applyFont="1" applyFill="1" applyBorder="1" applyAlignment="1">
      <alignment vertical="center"/>
    </xf>
    <xf numFmtId="0" fontId="68" fillId="18" borderId="130" xfId="4" applyFont="1" applyFill="1" applyBorder="1" applyAlignment="1">
      <alignment vertical="center"/>
    </xf>
    <xf numFmtId="0" fontId="68" fillId="18" borderId="56" xfId="4" applyFont="1" applyFill="1" applyBorder="1" applyAlignment="1">
      <alignment vertical="center"/>
    </xf>
    <xf numFmtId="0" fontId="68" fillId="18" borderId="57" xfId="4" applyFont="1" applyFill="1" applyBorder="1" applyAlignment="1">
      <alignment vertical="center"/>
    </xf>
    <xf numFmtId="0" fontId="45" fillId="0" borderId="131" xfId="4" applyBorder="1"/>
    <xf numFmtId="0" fontId="68" fillId="18" borderId="58" xfId="4" applyFont="1" applyFill="1" applyBorder="1" applyAlignment="1">
      <alignment vertical="center"/>
    </xf>
    <xf numFmtId="0" fontId="68" fillId="18" borderId="74" xfId="4" applyFont="1" applyFill="1" applyBorder="1" applyAlignment="1">
      <alignment vertical="center"/>
    </xf>
    <xf numFmtId="171" fontId="45" fillId="0" borderId="0" xfId="4" applyNumberFormat="1" applyAlignment="1">
      <alignment horizontal="left"/>
    </xf>
    <xf numFmtId="0" fontId="45" fillId="0" borderId="126" xfId="4" applyBorder="1" applyAlignment="1">
      <alignment horizontal="left"/>
    </xf>
    <xf numFmtId="0" fontId="45" fillId="0" borderId="132" xfId="4" applyBorder="1"/>
    <xf numFmtId="0" fontId="45" fillId="0" borderId="132" xfId="4" applyBorder="1" applyAlignment="1">
      <alignment horizontal="left"/>
    </xf>
    <xf numFmtId="0" fontId="45" fillId="0" borderId="135" xfId="4" applyBorder="1"/>
    <xf numFmtId="0" fontId="68" fillId="0" borderId="0" xfId="4" applyFont="1" applyAlignment="1" applyProtection="1">
      <alignment horizontal="center" vertical="center"/>
      <protection locked="0"/>
    </xf>
    <xf numFmtId="0" fontId="73" fillId="0" borderId="54" xfId="4" applyFont="1" applyBorder="1" applyAlignment="1" applyProtection="1">
      <alignment horizontal="center" vertical="center"/>
      <protection locked="0"/>
    </xf>
    <xf numFmtId="0" fontId="68" fillId="18" borderId="17" xfId="4" applyFont="1" applyFill="1" applyBorder="1" applyAlignment="1">
      <alignment horizontal="center" vertical="center"/>
    </xf>
    <xf numFmtId="0" fontId="68" fillId="18" borderId="111" xfId="4" applyFont="1" applyFill="1" applyBorder="1" applyAlignment="1">
      <alignment horizontal="center" vertical="center"/>
    </xf>
    <xf numFmtId="0" fontId="68" fillId="18" borderId="20" xfId="4" applyFont="1" applyFill="1" applyBorder="1" applyAlignment="1">
      <alignment horizontal="center" vertical="center"/>
    </xf>
    <xf numFmtId="0" fontId="68" fillId="18" borderId="117" xfId="4" applyFont="1" applyFill="1" applyBorder="1" applyAlignment="1">
      <alignment horizontal="center" vertical="center"/>
    </xf>
    <xf numFmtId="0" fontId="68" fillId="0" borderId="112" xfId="4" applyFont="1" applyBorder="1" applyAlignment="1" applyProtection="1">
      <alignment horizontal="center" vertical="center"/>
      <protection locked="0"/>
    </xf>
    <xf numFmtId="0" fontId="68" fillId="0" borderId="118" xfId="4" applyFont="1" applyBorder="1" applyAlignment="1" applyProtection="1">
      <alignment horizontal="center" vertical="center"/>
      <protection locked="0"/>
    </xf>
    <xf numFmtId="0" fontId="68" fillId="0" borderId="113" xfId="4" applyFont="1" applyBorder="1" applyAlignment="1" applyProtection="1">
      <alignment horizontal="center" vertical="center"/>
      <protection locked="0"/>
    </xf>
    <xf numFmtId="0" fontId="68" fillId="0" borderId="119" xfId="4" applyFont="1" applyBorder="1" applyAlignment="1" applyProtection="1">
      <alignment horizontal="center" vertical="center"/>
      <protection locked="0"/>
    </xf>
    <xf numFmtId="14" fontId="76" fillId="0" borderId="114" xfId="4" applyNumberFormat="1" applyFont="1" applyBorder="1" applyAlignment="1" applyProtection="1">
      <alignment horizontal="center" vertical="center"/>
      <protection locked="0"/>
    </xf>
    <xf numFmtId="14" fontId="76" fillId="0" borderId="115" xfId="4" applyNumberFormat="1" applyFont="1" applyBorder="1" applyAlignment="1" applyProtection="1">
      <alignment horizontal="center" vertical="center"/>
      <protection locked="0"/>
    </xf>
    <xf numFmtId="14" fontId="76" fillId="0" borderId="116" xfId="4" applyNumberFormat="1" applyFont="1" applyBorder="1" applyAlignment="1" applyProtection="1">
      <alignment horizontal="center" vertical="center"/>
      <protection locked="0"/>
    </xf>
    <xf numFmtId="14" fontId="76" fillId="0" borderId="20" xfId="4" applyNumberFormat="1" applyFont="1" applyBorder="1" applyAlignment="1" applyProtection="1">
      <alignment horizontal="center" vertical="center"/>
      <protection locked="0"/>
    </xf>
    <xf numFmtId="14" fontId="76" fillId="0" borderId="21" xfId="4" applyNumberFormat="1" applyFont="1" applyBorder="1" applyAlignment="1" applyProtection="1">
      <alignment horizontal="center" vertical="center"/>
      <protection locked="0"/>
    </xf>
    <xf numFmtId="14" fontId="76" fillId="0" borderId="22" xfId="4" applyNumberFormat="1" applyFont="1" applyBorder="1" applyAlignment="1" applyProtection="1">
      <alignment horizontal="center" vertical="center"/>
      <protection locked="0"/>
    </xf>
    <xf numFmtId="0" fontId="68" fillId="0" borderId="96" xfId="4" applyFont="1" applyBorder="1" applyAlignment="1" applyProtection="1">
      <alignment horizontal="center" vertical="center"/>
      <protection locked="0"/>
    </xf>
    <xf numFmtId="0" fontId="68" fillId="0" borderId="61" xfId="4" applyFont="1" applyBorder="1" applyAlignment="1" applyProtection="1">
      <alignment horizontal="center" vertical="center"/>
      <protection locked="0"/>
    </xf>
    <xf numFmtId="0" fontId="68" fillId="0" borderId="102" xfId="4" applyFont="1" applyBorder="1" applyAlignment="1" applyProtection="1">
      <alignment horizontal="center" vertical="center"/>
      <protection locked="0"/>
    </xf>
    <xf numFmtId="0" fontId="68" fillId="0" borderId="103" xfId="4" applyFont="1" applyBorder="1" applyAlignment="1" applyProtection="1">
      <alignment horizontal="center" vertical="center"/>
      <protection locked="0"/>
    </xf>
    <xf numFmtId="0" fontId="68" fillId="0" borderId="82" xfId="4" applyFont="1" applyBorder="1" applyAlignment="1" applyProtection="1">
      <alignment horizontal="center" vertical="center"/>
      <protection locked="0"/>
    </xf>
    <xf numFmtId="0" fontId="68" fillId="0" borderId="64" xfId="4" applyFont="1" applyBorder="1" applyAlignment="1" applyProtection="1">
      <alignment horizontal="center" vertical="center"/>
      <protection locked="0"/>
    </xf>
    <xf numFmtId="0" fontId="68" fillId="0" borderId="83" xfId="4" applyFont="1" applyBorder="1" applyAlignment="1" applyProtection="1">
      <alignment horizontal="center" vertical="center"/>
      <protection locked="0"/>
    </xf>
    <xf numFmtId="0" fontId="68" fillId="0" borderId="71" xfId="4" applyFont="1" applyBorder="1" applyAlignment="1" applyProtection="1">
      <alignment horizontal="center" vertical="center"/>
      <protection locked="0"/>
    </xf>
    <xf numFmtId="0" fontId="68" fillId="0" borderId="59" xfId="4" applyFont="1" applyBorder="1" applyAlignment="1" applyProtection="1">
      <alignment horizontal="center" vertical="center"/>
      <protection locked="0"/>
    </xf>
    <xf numFmtId="0" fontId="74" fillId="16" borderId="14" xfId="4" applyFont="1" applyFill="1" applyBorder="1" applyAlignment="1">
      <alignment horizontal="center" vertical="center"/>
    </xf>
    <xf numFmtId="0" fontId="74" fillId="16" borderId="15" xfId="4" applyFont="1" applyFill="1" applyBorder="1" applyAlignment="1">
      <alignment horizontal="center" vertical="center"/>
    </xf>
    <xf numFmtId="0" fontId="73" fillId="0" borderId="108" xfId="4" applyFont="1" applyBorder="1" applyAlignment="1">
      <alignment horizontal="center" vertical="center"/>
    </xf>
    <xf numFmtId="0" fontId="73" fillId="0" borderId="109" xfId="4" applyFont="1" applyBorder="1" applyAlignment="1">
      <alignment horizontal="center" vertical="center"/>
    </xf>
    <xf numFmtId="0" fontId="73" fillId="0" borderId="110" xfId="4" applyFont="1" applyBorder="1" applyAlignment="1">
      <alignment horizontal="center" vertical="center"/>
    </xf>
    <xf numFmtId="171" fontId="68" fillId="0" borderId="82" xfId="4" applyNumberFormat="1" applyFont="1" applyBorder="1" applyAlignment="1" applyProtection="1">
      <alignment horizontal="center" vertical="center"/>
      <protection locked="0"/>
    </xf>
    <xf numFmtId="171" fontId="68" fillId="0" borderId="64" xfId="4" applyNumberFormat="1" applyFont="1" applyBorder="1" applyAlignment="1" applyProtection="1">
      <alignment horizontal="center" vertical="center"/>
      <protection locked="0"/>
    </xf>
    <xf numFmtId="171" fontId="68" fillId="0" borderId="83" xfId="4" applyNumberFormat="1" applyFont="1" applyBorder="1" applyAlignment="1" applyProtection="1">
      <alignment horizontal="center" vertical="center"/>
      <protection locked="0"/>
    </xf>
    <xf numFmtId="0" fontId="68" fillId="0" borderId="55" xfId="4" applyFont="1" applyBorder="1" applyAlignment="1" applyProtection="1">
      <alignment horizontal="center" vertical="center"/>
      <protection locked="0"/>
    </xf>
    <xf numFmtId="0" fontId="68" fillId="0" borderId="68" xfId="4" applyFont="1" applyBorder="1" applyAlignment="1" applyProtection="1">
      <alignment horizontal="center" vertical="center"/>
      <protection locked="0"/>
    </xf>
    <xf numFmtId="0" fontId="74" fillId="16" borderId="86" xfId="4" applyFont="1" applyFill="1" applyBorder="1" applyAlignment="1">
      <alignment horizontal="center" vertical="center"/>
    </xf>
    <xf numFmtId="0" fontId="74" fillId="16" borderId="87" xfId="4" applyFont="1" applyFill="1" applyBorder="1" applyAlignment="1">
      <alignment horizontal="center" vertical="center"/>
    </xf>
    <xf numFmtId="0" fontId="74" fillId="16" borderId="73" xfId="4" applyFont="1" applyFill="1" applyBorder="1" applyAlignment="1">
      <alignment horizontal="center" vertical="center"/>
    </xf>
    <xf numFmtId="0" fontId="68" fillId="18" borderId="90" xfId="4" applyFont="1" applyFill="1" applyBorder="1" applyAlignment="1">
      <alignment horizontal="center" vertical="center"/>
    </xf>
    <xf numFmtId="0" fontId="68" fillId="18" borderId="91" xfId="4" applyFont="1" applyFill="1" applyBorder="1" applyAlignment="1">
      <alignment horizontal="center" vertical="center"/>
    </xf>
    <xf numFmtId="0" fontId="73" fillId="0" borderId="54" xfId="4" applyFont="1" applyBorder="1" applyAlignment="1" applyProtection="1">
      <alignment horizontal="center" vertical="center"/>
      <protection locked="0"/>
    </xf>
    <xf numFmtId="0" fontId="73" fillId="0" borderId="65" xfId="4" applyFont="1" applyBorder="1" applyAlignment="1" applyProtection="1">
      <alignment horizontal="center" vertical="center"/>
      <protection locked="0"/>
    </xf>
    <xf numFmtId="0" fontId="45" fillId="0" borderId="21" xfId="4" applyBorder="1" applyAlignment="1" applyProtection="1">
      <alignment horizontal="center" vertical="center"/>
      <protection locked="0"/>
    </xf>
    <xf numFmtId="0" fontId="45" fillId="0" borderId="22" xfId="4" applyBorder="1" applyAlignment="1" applyProtection="1">
      <alignment horizontal="center" vertical="center"/>
      <protection locked="0"/>
    </xf>
    <xf numFmtId="0" fontId="9" fillId="16" borderId="56" xfId="4" applyFont="1" applyFill="1" applyBorder="1" applyAlignment="1">
      <alignment horizontal="center" vertical="center"/>
    </xf>
    <xf numFmtId="0" fontId="74" fillId="16" borderId="16" xfId="4" applyFont="1" applyFill="1" applyBorder="1" applyAlignment="1">
      <alignment horizontal="center" vertical="center"/>
    </xf>
    <xf numFmtId="0" fontId="45" fillId="0" borderId="14" xfId="4" applyBorder="1" applyAlignment="1" applyProtection="1">
      <alignment horizontal="center" vertical="center" wrapText="1"/>
      <protection locked="0"/>
    </xf>
    <xf numFmtId="0" fontId="45" fillId="0" borderId="15" xfId="4" applyBorder="1" applyAlignment="1" applyProtection="1">
      <alignment horizontal="center" vertical="center" wrapText="1"/>
      <protection locked="0"/>
    </xf>
    <xf numFmtId="0" fontId="45" fillId="0" borderId="16" xfId="4" applyBorder="1" applyAlignment="1" applyProtection="1">
      <alignment horizontal="center" vertical="center" wrapText="1"/>
      <protection locked="0"/>
    </xf>
    <xf numFmtId="0" fontId="45" fillId="0" borderId="17" xfId="4" applyBorder="1" applyAlignment="1" applyProtection="1">
      <alignment horizontal="center" vertical="center" wrapText="1"/>
      <protection locked="0"/>
    </xf>
    <xf numFmtId="0" fontId="45" fillId="0" borderId="0" xfId="4" applyAlignment="1" applyProtection="1">
      <alignment horizontal="center" vertical="center" wrapText="1"/>
      <protection locked="0"/>
    </xf>
    <xf numFmtId="0" fontId="45" fillId="0" borderId="18" xfId="4" applyBorder="1" applyAlignment="1" applyProtection="1">
      <alignment horizontal="center" vertical="center" wrapText="1"/>
      <protection locked="0"/>
    </xf>
    <xf numFmtId="0" fontId="45" fillId="0" borderId="20" xfId="4" applyBorder="1" applyAlignment="1" applyProtection="1">
      <alignment horizontal="center" vertical="center" wrapText="1"/>
      <protection locked="0"/>
    </xf>
    <xf numFmtId="0" fontId="45" fillId="0" borderId="21" xfId="4" applyBorder="1" applyAlignment="1" applyProtection="1">
      <alignment horizontal="center" vertical="center" wrapText="1"/>
      <protection locked="0"/>
    </xf>
    <xf numFmtId="0" fontId="45" fillId="0" borderId="22" xfId="4" applyBorder="1" applyAlignment="1" applyProtection="1">
      <alignment horizontal="center" vertical="center" wrapText="1"/>
      <protection locked="0"/>
    </xf>
    <xf numFmtId="0" fontId="74" fillId="16" borderId="66" xfId="4" applyFont="1" applyFill="1" applyBorder="1" applyAlignment="1">
      <alignment horizontal="center" vertical="center"/>
    </xf>
    <xf numFmtId="0" fontId="74" fillId="16" borderId="67" xfId="4" applyFont="1" applyFill="1" applyBorder="1" applyAlignment="1">
      <alignment horizontal="center" vertical="center"/>
    </xf>
    <xf numFmtId="0" fontId="74" fillId="16" borderId="0" xfId="4" applyFont="1" applyFill="1" applyAlignment="1">
      <alignment horizontal="center" vertical="center"/>
    </xf>
    <xf numFmtId="0" fontId="74" fillId="16" borderId="18" xfId="4" applyFont="1" applyFill="1" applyBorder="1" applyAlignment="1">
      <alignment horizontal="center" vertical="center"/>
    </xf>
    <xf numFmtId="0" fontId="68" fillId="0" borderId="56" xfId="4" applyFont="1" applyBorder="1" applyAlignment="1" applyProtection="1">
      <alignment horizontal="center" vertical="center"/>
      <protection locked="0"/>
    </xf>
    <xf numFmtId="171" fontId="68" fillId="0" borderId="55" xfId="4" applyNumberFormat="1" applyFont="1" applyBorder="1" applyAlignment="1" applyProtection="1">
      <alignment horizontal="center" vertical="center"/>
      <protection locked="0"/>
    </xf>
    <xf numFmtId="171" fontId="68" fillId="0" borderId="56" xfId="4" applyNumberFormat="1" applyFont="1" applyBorder="1" applyAlignment="1" applyProtection="1">
      <alignment horizontal="center" vertical="center"/>
      <protection locked="0"/>
    </xf>
    <xf numFmtId="171" fontId="68" fillId="0" borderId="68" xfId="4" applyNumberFormat="1" applyFont="1" applyBorder="1" applyAlignment="1" applyProtection="1">
      <alignment horizontal="center" vertical="center"/>
      <protection locked="0"/>
    </xf>
    <xf numFmtId="0" fontId="68" fillId="0" borderId="72" xfId="4" applyFont="1" applyBorder="1" applyAlignment="1" applyProtection="1">
      <alignment horizontal="center" vertical="center"/>
      <protection locked="0"/>
    </xf>
    <xf numFmtId="0" fontId="68" fillId="0" borderId="78" xfId="4" applyFont="1" applyBorder="1" applyAlignment="1" applyProtection="1">
      <alignment horizontal="center" vertical="center"/>
      <protection locked="0"/>
    </xf>
    <xf numFmtId="0" fontId="68" fillId="0" borderId="79" xfId="4" applyFont="1" applyBorder="1" applyAlignment="1" applyProtection="1">
      <alignment horizontal="center" vertical="center"/>
      <protection locked="0"/>
    </xf>
    <xf numFmtId="0" fontId="68" fillId="0" borderId="80" xfId="4" applyFont="1" applyBorder="1" applyAlignment="1" applyProtection="1">
      <alignment horizontal="center" vertical="center"/>
      <protection locked="0"/>
    </xf>
    <xf numFmtId="0" fontId="68" fillId="0" borderId="58" xfId="4" applyFont="1" applyBorder="1" applyAlignment="1" applyProtection="1">
      <alignment horizontal="center" vertical="center"/>
      <protection locked="0"/>
    </xf>
    <xf numFmtId="0" fontId="78" fillId="12" borderId="54" xfId="4" applyFont="1" applyFill="1" applyBorder="1" applyAlignment="1">
      <alignment horizontal="left" vertical="center"/>
    </xf>
    <xf numFmtId="0" fontId="67" fillId="12" borderId="55" xfId="4" applyFont="1" applyFill="1" applyBorder="1" applyAlignment="1" applyProtection="1">
      <alignment horizontal="center" vertical="center" wrapText="1"/>
      <protection locked="0"/>
    </xf>
    <xf numFmtId="0" fontId="67" fillId="12" borderId="56" xfId="4" applyFont="1" applyFill="1" applyBorder="1" applyAlignment="1" applyProtection="1">
      <alignment horizontal="center" vertical="center" wrapText="1"/>
      <protection locked="0"/>
    </xf>
    <xf numFmtId="0" fontId="67" fillId="12" borderId="57" xfId="4" applyFont="1" applyFill="1" applyBorder="1" applyAlignment="1" applyProtection="1">
      <alignment horizontal="center" vertical="center" wrapText="1"/>
      <protection locked="0"/>
    </xf>
    <xf numFmtId="0" fontId="78" fillId="12" borderId="58" xfId="4" applyFont="1" applyFill="1" applyBorder="1" applyAlignment="1">
      <alignment vertical="center"/>
    </xf>
    <xf numFmtId="0" fontId="79" fillId="0" borderId="59" xfId="4" applyFont="1" applyBorder="1" applyAlignment="1">
      <alignment vertical="center"/>
    </xf>
    <xf numFmtId="0" fontId="83" fillId="12" borderId="55" xfId="4" applyFont="1" applyFill="1" applyBorder="1" applyAlignment="1" applyProtection="1">
      <alignment horizontal="center" vertical="center"/>
      <protection locked="0"/>
    </xf>
    <xf numFmtId="0" fontId="83" fillId="12" borderId="56" xfId="4" applyFont="1" applyFill="1" applyBorder="1" applyAlignment="1" applyProtection="1">
      <alignment horizontal="center" vertical="center"/>
      <protection locked="0"/>
    </xf>
    <xf numFmtId="0" fontId="83" fillId="12" borderId="57" xfId="4" applyFont="1" applyFill="1" applyBorder="1" applyAlignment="1" applyProtection="1">
      <alignment horizontal="center" vertical="center"/>
      <protection locked="0"/>
    </xf>
    <xf numFmtId="0" fontId="74" fillId="14" borderId="60" xfId="4" applyFont="1" applyFill="1" applyBorder="1" applyAlignment="1">
      <alignment horizontal="center" vertical="center"/>
    </xf>
    <xf numFmtId="0" fontId="74" fillId="14" borderId="61" xfId="4" applyFont="1" applyFill="1" applyBorder="1" applyAlignment="1">
      <alignment horizontal="center" vertical="center"/>
    </xf>
    <xf numFmtId="0" fontId="68" fillId="15" borderId="121" xfId="4" applyFont="1" applyFill="1" applyBorder="1" applyAlignment="1">
      <alignment horizontal="center" vertical="center"/>
    </xf>
    <xf numFmtId="0" fontId="68" fillId="15" borderId="122" xfId="4" applyFont="1" applyFill="1" applyBorder="1" applyAlignment="1">
      <alignment horizontal="center" vertical="center"/>
    </xf>
    <xf numFmtId="0" fontId="45" fillId="0" borderId="15" xfId="4" applyBorder="1" applyAlignment="1" applyProtection="1">
      <alignment horizontal="center" vertical="center"/>
      <protection locked="0"/>
    </xf>
    <xf numFmtId="0" fontId="45" fillId="0" borderId="16" xfId="4" applyBorder="1" applyAlignment="1" applyProtection="1">
      <alignment horizontal="center" vertical="center"/>
      <protection locked="0"/>
    </xf>
    <xf numFmtId="14" fontId="67" fillId="13" borderId="54" xfId="4" applyNumberFormat="1" applyFont="1" applyFill="1" applyBorder="1" applyAlignment="1" applyProtection="1">
      <alignment horizontal="center" vertical="center"/>
      <protection locked="0"/>
    </xf>
    <xf numFmtId="0" fontId="67" fillId="12" borderId="54" xfId="4" applyFont="1" applyFill="1" applyBorder="1" applyAlignment="1" applyProtection="1">
      <alignment horizontal="center" vertical="center"/>
      <protection locked="0"/>
    </xf>
    <xf numFmtId="0" fontId="67" fillId="13" borderId="54" xfId="4" applyFont="1" applyFill="1" applyBorder="1" applyAlignment="1" applyProtection="1">
      <alignment horizontal="center" vertical="center"/>
      <protection locked="0"/>
    </xf>
    <xf numFmtId="0" fontId="67" fillId="12" borderId="54" xfId="4" applyFont="1" applyFill="1" applyBorder="1" applyAlignment="1" applyProtection="1">
      <alignment horizontal="left" vertical="center"/>
      <protection locked="0"/>
    </xf>
    <xf numFmtId="0" fontId="67" fillId="12" borderId="55" xfId="4" applyFont="1" applyFill="1" applyBorder="1" applyAlignment="1" applyProtection="1">
      <alignment horizontal="left" vertical="center"/>
      <protection locked="0"/>
    </xf>
    <xf numFmtId="0" fontId="67" fillId="12" borderId="57" xfId="4" applyFont="1" applyFill="1" applyBorder="1" applyAlignment="1" applyProtection="1">
      <alignment horizontal="left" vertical="center"/>
      <protection locked="0"/>
    </xf>
    <xf numFmtId="0" fontId="1" fillId="0" borderId="10" xfId="2" applyBorder="1" applyAlignment="1">
      <alignment horizontal="center"/>
    </xf>
    <xf numFmtId="0" fontId="11" fillId="0" borderId="0" xfId="2" applyFont="1" applyAlignment="1">
      <alignment horizontal="left"/>
    </xf>
    <xf numFmtId="0" fontId="16" fillId="6" borderId="0" xfId="2" applyFont="1" applyFill="1" applyAlignment="1">
      <alignment horizontal="center"/>
    </xf>
    <xf numFmtId="0" fontId="16" fillId="6" borderId="0" xfId="2" applyFont="1" applyFill="1" applyAlignment="1">
      <alignment horizontal="left"/>
    </xf>
    <xf numFmtId="165" fontId="16" fillId="6" borderId="0" xfId="2" applyNumberFormat="1" applyFont="1" applyFill="1" applyAlignment="1">
      <alignment horizontal="center"/>
    </xf>
    <xf numFmtId="0" fontId="13" fillId="0" borderId="27" xfId="2" applyFont="1" applyBorder="1" applyAlignment="1">
      <alignment horizontal="left"/>
    </xf>
    <xf numFmtId="0" fontId="20" fillId="0" borderId="28" xfId="2" applyFont="1" applyBorder="1" applyAlignment="1">
      <alignment horizontal="left"/>
    </xf>
    <xf numFmtId="0" fontId="13" fillId="0" borderId="28" xfId="2" applyFont="1" applyBorder="1" applyAlignment="1">
      <alignment horizontal="left"/>
    </xf>
    <xf numFmtId="0" fontId="13" fillId="0" borderId="29" xfId="2" applyFont="1" applyBorder="1" applyAlignment="1">
      <alignment horizontal="left"/>
    </xf>
    <xf numFmtId="0" fontId="15" fillId="8" borderId="17" xfId="2" applyFont="1" applyFill="1" applyBorder="1" applyAlignment="1">
      <alignment horizontal="left"/>
    </xf>
    <xf numFmtId="0" fontId="15" fillId="8" borderId="0" xfId="2" applyFont="1" applyFill="1" applyAlignment="1">
      <alignment horizontal="left"/>
    </xf>
    <xf numFmtId="164" fontId="13" fillId="2" borderId="30" xfId="2" applyNumberFormat="1" applyFont="1" applyFill="1" applyBorder="1" applyAlignment="1">
      <alignment horizontal="center"/>
    </xf>
    <xf numFmtId="0" fontId="13" fillId="2" borderId="31" xfId="2" applyFont="1" applyFill="1" applyBorder="1" applyAlignment="1">
      <alignment horizontal="left"/>
    </xf>
    <xf numFmtId="164" fontId="13" fillId="2" borderId="33" xfId="2" applyNumberFormat="1" applyFont="1" applyFill="1" applyBorder="1" applyAlignment="1">
      <alignment horizontal="center"/>
    </xf>
    <xf numFmtId="0" fontId="13" fillId="2" borderId="34" xfId="2" applyFont="1" applyFill="1" applyBorder="1" applyAlignment="1">
      <alignment horizontal="left"/>
    </xf>
    <xf numFmtId="164" fontId="13" fillId="2" borderId="36" xfId="2" applyNumberFormat="1" applyFont="1" applyFill="1" applyBorder="1" applyAlignment="1">
      <alignment horizontal="center"/>
    </xf>
    <xf numFmtId="0" fontId="13" fillId="2" borderId="37" xfId="2" applyFont="1" applyFill="1" applyBorder="1" applyAlignment="1">
      <alignment horizontal="left"/>
    </xf>
    <xf numFmtId="0" fontId="19" fillId="8" borderId="39" xfId="2" applyFont="1" applyFill="1" applyBorder="1" applyAlignment="1">
      <alignment horizontal="center"/>
    </xf>
    <xf numFmtId="0" fontId="13" fillId="0" borderId="17" xfId="2" applyFont="1" applyBorder="1" applyAlignment="1">
      <alignment horizontal="left"/>
    </xf>
    <xf numFmtId="0" fontId="15" fillId="8" borderId="0" xfId="2" applyFont="1" applyFill="1" applyAlignment="1">
      <alignment horizontal="center"/>
    </xf>
    <xf numFmtId="166" fontId="13" fillId="2" borderId="31" xfId="2" applyNumberFormat="1" applyFont="1" applyFill="1" applyBorder="1" applyAlignment="1">
      <alignment horizontal="center"/>
    </xf>
    <xf numFmtId="166" fontId="13" fillId="2" borderId="34" xfId="2" applyNumberFormat="1" applyFont="1" applyFill="1" applyBorder="1" applyAlignment="1">
      <alignment horizontal="center"/>
    </xf>
    <xf numFmtId="0" fontId="13" fillId="2" borderId="34" xfId="2" applyFont="1" applyFill="1" applyBorder="1" applyAlignment="1">
      <alignment horizontal="center"/>
    </xf>
    <xf numFmtId="0" fontId="13" fillId="2" borderId="37" xfId="2" applyFont="1" applyFill="1" applyBorder="1" applyAlignment="1">
      <alignment horizontal="center"/>
    </xf>
    <xf numFmtId="167" fontId="13" fillId="2" borderId="31" xfId="2" applyNumberFormat="1" applyFont="1" applyFill="1" applyBorder="1" applyAlignment="1">
      <alignment horizontal="center"/>
    </xf>
    <xf numFmtId="167" fontId="13" fillId="2" borderId="34" xfId="2" applyNumberFormat="1" applyFont="1" applyFill="1" applyBorder="1" applyAlignment="1">
      <alignment horizontal="center"/>
    </xf>
    <xf numFmtId="167" fontId="13" fillId="2" borderId="37" xfId="2" applyNumberFormat="1" applyFont="1" applyFill="1" applyBorder="1" applyAlignment="1">
      <alignment horizontal="center"/>
    </xf>
    <xf numFmtId="0" fontId="1" fillId="2" borderId="3" xfId="0" applyFont="1" applyFill="1" applyBorder="1" applyAlignment="1">
      <alignment horizontal="center" vertical="center"/>
    </xf>
    <xf numFmtId="49" fontId="1" fillId="2" borderId="3" xfId="0" applyNumberFormat="1" applyFont="1" applyFill="1" applyBorder="1" applyAlignment="1">
      <alignment horizontal="center" vertical="center"/>
    </xf>
    <xf numFmtId="170" fontId="1" fillId="10" borderId="1" xfId="0" applyNumberFormat="1" applyFont="1" applyFill="1" applyBorder="1" applyAlignment="1">
      <alignment horizontal="center" vertical="center"/>
    </xf>
    <xf numFmtId="170" fontId="1" fillId="10" borderId="19" xfId="0" applyNumberFormat="1" applyFont="1" applyFill="1" applyBorder="1" applyAlignment="1">
      <alignment horizontal="center" vertical="center"/>
    </xf>
    <xf numFmtId="170" fontId="1" fillId="10" borderId="2" xfId="0" applyNumberFormat="1" applyFont="1" applyFill="1" applyBorder="1" applyAlignment="1">
      <alignment horizontal="center" vertical="center"/>
    </xf>
    <xf numFmtId="170" fontId="1" fillId="2" borderId="1" xfId="0" applyNumberFormat="1" applyFont="1" applyFill="1" applyBorder="1" applyAlignment="1">
      <alignment horizontal="left" vertical="center"/>
    </xf>
    <xf numFmtId="170" fontId="1" fillId="2" borderId="2" xfId="0" applyNumberFormat="1" applyFont="1" applyFill="1" applyBorder="1" applyAlignment="1">
      <alignment horizontal="left" vertical="center"/>
    </xf>
    <xf numFmtId="168" fontId="1" fillId="10" borderId="3" xfId="0" applyNumberFormat="1" applyFont="1" applyFill="1" applyBorder="1" applyAlignment="1">
      <alignment horizontal="center" vertical="center"/>
    </xf>
    <xf numFmtId="0" fontId="1" fillId="10" borderId="3" xfId="0" applyFont="1" applyFill="1" applyBorder="1" applyAlignment="1" applyProtection="1">
      <alignment horizontal="center" vertical="center"/>
      <protection locked="0"/>
    </xf>
    <xf numFmtId="0" fontId="3" fillId="2" borderId="3" xfId="0" applyFont="1" applyFill="1" applyBorder="1" applyAlignment="1">
      <alignment horizontal="center"/>
    </xf>
    <xf numFmtId="10" fontId="1" fillId="2" borderId="3" xfId="0" applyNumberFormat="1" applyFont="1" applyFill="1" applyBorder="1" applyAlignment="1">
      <alignment horizontal="center" vertical="center"/>
    </xf>
    <xf numFmtId="0" fontId="8" fillId="18" borderId="87" xfId="4" applyFont="1" applyFill="1" applyBorder="1" applyAlignment="1">
      <alignment horizontal="center" vertical="center"/>
    </xf>
    <xf numFmtId="0" fontId="8" fillId="18" borderId="134" xfId="4" applyFont="1" applyFill="1" applyBorder="1" applyAlignment="1">
      <alignment horizontal="center" vertical="center"/>
    </xf>
    <xf numFmtId="0" fontId="0" fillId="20" borderId="86" xfId="0" applyFill="1" applyBorder="1" applyAlignment="1" applyProtection="1">
      <alignment horizontal="center"/>
      <protection locked="0"/>
    </xf>
    <xf numFmtId="0" fontId="0" fillId="20" borderId="73" xfId="0" applyFill="1" applyBorder="1" applyAlignment="1" applyProtection="1">
      <alignment horizontal="center"/>
      <protection locked="0"/>
    </xf>
    <xf numFmtId="171" fontId="81" fillId="20" borderId="136" xfId="4" applyNumberFormat="1" applyFont="1" applyFill="1" applyBorder="1" applyAlignment="1" applyProtection="1">
      <alignment horizontal="center" vertical="center"/>
      <protection locked="0"/>
    </xf>
    <xf numFmtId="171" fontId="81" fillId="20" borderId="137" xfId="4" applyNumberFormat="1" applyFont="1" applyFill="1" applyBorder="1" applyAlignment="1" applyProtection="1">
      <alignment horizontal="center" vertical="center"/>
      <protection locked="0"/>
    </xf>
    <xf numFmtId="0" fontId="8" fillId="18" borderId="109" xfId="4" applyFont="1" applyFill="1" applyBorder="1" applyAlignment="1">
      <alignment horizontal="center" vertical="center"/>
    </xf>
    <xf numFmtId="0" fontId="8" fillId="18" borderId="133" xfId="4" applyFont="1" applyFill="1" applyBorder="1" applyAlignment="1">
      <alignment horizontal="center" vertical="center"/>
    </xf>
    <xf numFmtId="171" fontId="81" fillId="20" borderId="127" xfId="4" applyNumberFormat="1" applyFont="1" applyFill="1" applyBorder="1" applyAlignment="1" applyProtection="1">
      <alignment horizontal="center" vertical="center"/>
      <protection locked="0"/>
    </xf>
    <xf numFmtId="171" fontId="81" fillId="20" borderId="57" xfId="4" applyNumberFormat="1" applyFont="1" applyFill="1" applyBorder="1" applyAlignment="1" applyProtection="1">
      <alignment horizontal="center" vertical="center"/>
      <protection locked="0"/>
    </xf>
    <xf numFmtId="0" fontId="8" fillId="18" borderId="15" xfId="4" applyFont="1" applyFill="1" applyBorder="1" applyAlignment="1">
      <alignment horizontal="center" vertical="center"/>
    </xf>
    <xf numFmtId="0" fontId="8" fillId="18" borderId="86" xfId="4" applyFont="1" applyFill="1" applyBorder="1" applyAlignment="1">
      <alignment horizontal="center" vertical="center"/>
    </xf>
    <xf numFmtId="0" fontId="78" fillId="12" borderId="86" xfId="4" applyFont="1" applyFill="1" applyBorder="1" applyAlignment="1">
      <alignment horizontal="center" vertical="center"/>
    </xf>
    <xf numFmtId="0" fontId="78" fillId="12" borderId="87" xfId="4" applyFont="1" applyFill="1" applyBorder="1" applyAlignment="1">
      <alignment horizontal="center" vertical="center"/>
    </xf>
    <xf numFmtId="0" fontId="78" fillId="12" borderId="73" xfId="4" applyFont="1" applyFill="1" applyBorder="1" applyAlignment="1">
      <alignment horizontal="center" vertical="center"/>
    </xf>
    <xf numFmtId="0" fontId="9" fillId="16" borderId="0" xfId="4" applyFont="1" applyFill="1" applyAlignment="1">
      <alignment horizontal="center" vertical="center"/>
    </xf>
    <xf numFmtId="0" fontId="31" fillId="2" borderId="0" xfId="0" applyFont="1" applyFill="1" applyAlignment="1">
      <alignment horizontal="center"/>
    </xf>
    <xf numFmtId="0" fontId="33" fillId="2" borderId="0" xfId="0" applyFont="1" applyFill="1" applyAlignment="1">
      <alignment horizontal="center" vertical="center" wrapText="1"/>
    </xf>
    <xf numFmtId="0" fontId="34" fillId="2" borderId="24" xfId="0" applyFont="1" applyFill="1" applyBorder="1" applyAlignment="1">
      <alignment horizontal="center" vertical="center"/>
    </xf>
    <xf numFmtId="1" fontId="34" fillId="2" borderId="24" xfId="0" applyNumberFormat="1" applyFont="1" applyFill="1" applyBorder="1" applyAlignment="1">
      <alignment horizontal="center" vertical="center"/>
    </xf>
    <xf numFmtId="0" fontId="37" fillId="0" borderId="3" xfId="0" applyFont="1" applyBorder="1" applyAlignment="1">
      <alignment horizontal="center" vertical="center" wrapText="1"/>
    </xf>
    <xf numFmtId="1" fontId="38" fillId="2" borderId="3" xfId="0" applyNumberFormat="1" applyFont="1" applyFill="1" applyBorder="1" applyAlignment="1">
      <alignment horizontal="center" vertical="center" wrapText="1"/>
    </xf>
    <xf numFmtId="1" fontId="38" fillId="0" borderId="3" xfId="0" applyNumberFormat="1" applyFont="1" applyBorder="1" applyAlignment="1">
      <alignment horizontal="center" vertical="center" wrapText="1"/>
    </xf>
    <xf numFmtId="0" fontId="33" fillId="2" borderId="3" xfId="0" applyFont="1" applyFill="1" applyBorder="1" applyAlignment="1">
      <alignment horizontal="center" vertical="center" wrapText="1"/>
    </xf>
    <xf numFmtId="0" fontId="36" fillId="2" borderId="3" xfId="0" applyFont="1" applyFill="1" applyBorder="1" applyAlignment="1">
      <alignment horizontal="center" vertical="center" wrapText="1"/>
    </xf>
    <xf numFmtId="1" fontId="38" fillId="2" borderId="3" xfId="0" applyNumberFormat="1" applyFont="1" applyFill="1" applyBorder="1" applyAlignment="1">
      <alignment horizontal="center" vertical="center"/>
    </xf>
    <xf numFmtId="2" fontId="38" fillId="0" borderId="3" xfId="0" applyNumberFormat="1" applyFont="1" applyBorder="1" applyAlignment="1">
      <alignment horizontal="center" vertical="center" wrapText="1"/>
    </xf>
    <xf numFmtId="164" fontId="38" fillId="2" borderId="3" xfId="0" applyNumberFormat="1" applyFont="1" applyFill="1" applyBorder="1" applyAlignment="1">
      <alignment horizontal="center" vertical="center" wrapText="1"/>
    </xf>
    <xf numFmtId="0" fontId="4" fillId="2" borderId="0" xfId="0" applyFont="1" applyFill="1" applyAlignment="1">
      <alignment horizontal="center" wrapText="1"/>
    </xf>
    <xf numFmtId="0" fontId="42" fillId="2" borderId="3" xfId="0" applyFont="1" applyFill="1" applyBorder="1" applyAlignment="1">
      <alignment horizontal="center" vertical="center"/>
    </xf>
    <xf numFmtId="49" fontId="26" fillId="0" borderId="3" xfId="0" applyNumberFormat="1" applyFont="1" applyBorder="1" applyAlignment="1" applyProtection="1">
      <alignment horizontal="center" vertical="center" wrapText="1"/>
      <protection locked="0"/>
    </xf>
    <xf numFmtId="0" fontId="28" fillId="2" borderId="3" xfId="0" applyFont="1" applyFill="1" applyBorder="1" applyAlignment="1">
      <alignment horizontal="center" vertical="center"/>
    </xf>
    <xf numFmtId="0" fontId="35" fillId="2" borderId="3" xfId="0" applyFont="1" applyFill="1" applyBorder="1" applyAlignment="1">
      <alignment horizontal="center" vertical="center"/>
    </xf>
    <xf numFmtId="0" fontId="65" fillId="12" borderId="7" xfId="0" applyFont="1" applyFill="1" applyBorder="1" applyAlignment="1">
      <alignment horizontal="center" vertical="center"/>
    </xf>
    <xf numFmtId="0" fontId="65" fillId="12" borderId="12" xfId="0" applyFont="1" applyFill="1" applyBorder="1" applyAlignment="1">
      <alignment horizontal="center" vertical="center"/>
    </xf>
    <xf numFmtId="0" fontId="65" fillId="12" borderId="8" xfId="0" applyFont="1" applyFill="1" applyBorder="1" applyAlignment="1">
      <alignment horizontal="center" vertical="center"/>
    </xf>
    <xf numFmtId="0" fontId="65" fillId="12" borderId="4" xfId="0" applyFont="1" applyFill="1" applyBorder="1" applyAlignment="1">
      <alignment horizontal="center" vertical="center"/>
    </xf>
    <xf numFmtId="0" fontId="65" fillId="12" borderId="0" xfId="0" applyFont="1" applyFill="1" applyAlignment="1">
      <alignment horizontal="center" vertical="center"/>
    </xf>
    <xf numFmtId="0" fontId="65" fillId="12" borderId="5" xfId="0" applyFont="1" applyFill="1" applyBorder="1" applyAlignment="1">
      <alignment horizontal="center" vertical="center"/>
    </xf>
    <xf numFmtId="0" fontId="65" fillId="12" borderId="9" xfId="0" applyFont="1" applyFill="1" applyBorder="1" applyAlignment="1">
      <alignment horizontal="center" vertical="center"/>
    </xf>
    <xf numFmtId="0" fontId="65" fillId="12" borderId="10" xfId="0" applyFont="1" applyFill="1" applyBorder="1" applyAlignment="1">
      <alignment horizontal="center" vertical="center"/>
    </xf>
    <xf numFmtId="0" fontId="65" fillId="12" borderId="11" xfId="0" applyFont="1" applyFill="1" applyBorder="1" applyAlignment="1">
      <alignment horizontal="center" vertical="center"/>
    </xf>
    <xf numFmtId="49" fontId="47" fillId="12" borderId="1" xfId="0" applyNumberFormat="1" applyFont="1" applyFill="1" applyBorder="1" applyAlignment="1" applyProtection="1">
      <alignment horizontal="center" vertical="center" wrapText="1"/>
      <protection locked="0"/>
    </xf>
    <xf numFmtId="49" fontId="47" fillId="12" borderId="19" xfId="0" applyNumberFormat="1" applyFont="1" applyFill="1" applyBorder="1" applyAlignment="1" applyProtection="1">
      <alignment horizontal="center" vertical="center" wrapText="1"/>
      <protection locked="0"/>
    </xf>
    <xf numFmtId="49" fontId="47" fillId="12" borderId="2" xfId="0" applyNumberFormat="1" applyFont="1" applyFill="1" applyBorder="1" applyAlignment="1" applyProtection="1">
      <alignment horizontal="center" vertical="center" wrapText="1"/>
      <protection locked="0"/>
    </xf>
    <xf numFmtId="0" fontId="49" fillId="12" borderId="1" xfId="0" applyFont="1" applyFill="1" applyBorder="1" applyAlignment="1">
      <alignment horizontal="center" vertical="center"/>
    </xf>
    <xf numFmtId="0" fontId="49" fillId="12" borderId="19" xfId="0" applyFont="1" applyFill="1" applyBorder="1" applyAlignment="1">
      <alignment horizontal="center" vertical="center"/>
    </xf>
    <xf numFmtId="0" fontId="49" fillId="12" borderId="2" xfId="0" applyFont="1" applyFill="1" applyBorder="1" applyAlignment="1">
      <alignment horizontal="center" vertical="center"/>
    </xf>
    <xf numFmtId="0" fontId="56" fillId="12" borderId="1" xfId="0" applyFont="1" applyFill="1" applyBorder="1" applyAlignment="1">
      <alignment horizontal="center" vertical="center"/>
    </xf>
    <xf numFmtId="0" fontId="56" fillId="12" borderId="19" xfId="0" applyFont="1" applyFill="1" applyBorder="1" applyAlignment="1">
      <alignment horizontal="center" vertical="center"/>
    </xf>
    <xf numFmtId="0" fontId="56" fillId="12" borderId="2" xfId="0" applyFont="1" applyFill="1" applyBorder="1" applyAlignment="1">
      <alignment horizontal="center" vertical="center"/>
    </xf>
    <xf numFmtId="0" fontId="64" fillId="12" borderId="0" xfId="0" applyFont="1" applyFill="1" applyAlignment="1">
      <alignment horizontal="center" wrapText="1"/>
    </xf>
    <xf numFmtId="0" fontId="53" fillId="12" borderId="54" xfId="0" applyFont="1" applyFill="1" applyBorder="1" applyAlignment="1">
      <alignment horizontal="center" vertical="center" wrapText="1"/>
    </xf>
    <xf numFmtId="0" fontId="58" fillId="12" borderId="54" xfId="0" applyFont="1" applyFill="1" applyBorder="1" applyAlignment="1">
      <alignment horizontal="center" vertical="center" wrapText="1"/>
    </xf>
    <xf numFmtId="2" fontId="60" fillId="12" borderId="54" xfId="0" applyNumberFormat="1" applyFont="1" applyFill="1" applyBorder="1" applyAlignment="1">
      <alignment horizontal="center" vertical="center" wrapText="1"/>
    </xf>
    <xf numFmtId="164" fontId="60" fillId="12" borderId="54" xfId="0" applyNumberFormat="1" applyFont="1" applyFill="1" applyBorder="1" applyAlignment="1">
      <alignment horizontal="center" vertical="center" wrapText="1"/>
    </xf>
    <xf numFmtId="0" fontId="59" fillId="12" borderId="54" xfId="0" applyFont="1" applyFill="1" applyBorder="1" applyAlignment="1">
      <alignment horizontal="center" vertical="center" wrapText="1"/>
    </xf>
    <xf numFmtId="1" fontId="60" fillId="12" borderId="54" xfId="0" applyNumberFormat="1" applyFont="1" applyFill="1" applyBorder="1" applyAlignment="1">
      <alignment horizontal="center" vertical="center" wrapText="1"/>
    </xf>
    <xf numFmtId="1" fontId="60" fillId="12" borderId="3" xfId="0" applyNumberFormat="1" applyFont="1" applyFill="1" applyBorder="1" applyAlignment="1">
      <alignment horizontal="center" vertical="center" wrapText="1"/>
    </xf>
    <xf numFmtId="0" fontId="60" fillId="12" borderId="3" xfId="0" applyFont="1" applyFill="1" applyBorder="1" applyAlignment="1">
      <alignment horizontal="center" vertical="center" wrapText="1"/>
    </xf>
    <xf numFmtId="0" fontId="59" fillId="12" borderId="3" xfId="0" applyFont="1" applyFill="1" applyBorder="1" applyAlignment="1">
      <alignment horizontal="center" vertical="center" wrapText="1"/>
    </xf>
    <xf numFmtId="0" fontId="53" fillId="12" borderId="3" xfId="0" applyFont="1" applyFill="1" applyBorder="1" applyAlignment="1">
      <alignment horizontal="center" vertical="center" wrapText="1"/>
    </xf>
    <xf numFmtId="0" fontId="58" fillId="12" borderId="3" xfId="0" applyFont="1" applyFill="1" applyBorder="1" applyAlignment="1">
      <alignment horizontal="center" vertical="center" wrapText="1"/>
    </xf>
    <xf numFmtId="169" fontId="55" fillId="12" borderId="19" xfId="0" applyNumberFormat="1" applyFont="1" applyFill="1" applyBorder="1" applyAlignment="1">
      <alignment horizontal="left" vertical="center"/>
    </xf>
    <xf numFmtId="169" fontId="55" fillId="12" borderId="2" xfId="0" applyNumberFormat="1" applyFont="1" applyFill="1" applyBorder="1" applyAlignment="1">
      <alignment horizontal="left" vertical="center"/>
    </xf>
    <xf numFmtId="0" fontId="51" fillId="12" borderId="0" xfId="0" applyFont="1" applyFill="1" applyAlignment="1">
      <alignment horizontal="center"/>
    </xf>
    <xf numFmtId="0" fontId="53" fillId="13" borderId="0" xfId="0" applyFont="1" applyFill="1" applyAlignment="1">
      <alignment horizontal="center" vertical="center" wrapText="1"/>
    </xf>
    <xf numFmtId="0" fontId="55" fillId="12" borderId="24" xfId="0" applyFont="1" applyFill="1" applyBorder="1" applyAlignment="1">
      <alignment horizontal="center" vertical="center"/>
    </xf>
    <xf numFmtId="1" fontId="34" fillId="2" borderId="3" xfId="0" applyNumberFormat="1" applyFont="1" applyFill="1" applyBorder="1" applyAlignment="1">
      <alignment horizontal="center" vertical="center"/>
    </xf>
    <xf numFmtId="0" fontId="33" fillId="2" borderId="3" xfId="0" applyFont="1" applyFill="1" applyBorder="1" applyAlignment="1">
      <alignment horizontal="left" vertical="center"/>
    </xf>
    <xf numFmtId="0" fontId="44" fillId="2" borderId="3" xfId="0" applyFont="1" applyFill="1" applyBorder="1" applyAlignment="1">
      <alignment horizontal="center" vertical="center"/>
    </xf>
    <xf numFmtId="0" fontId="4" fillId="2" borderId="52" xfId="0" applyFont="1" applyFill="1" applyBorder="1" applyAlignment="1">
      <alignment horizontal="center"/>
    </xf>
    <xf numFmtId="169" fontId="34" fillId="2" borderId="19" xfId="0" applyNumberFormat="1" applyFont="1" applyFill="1" applyBorder="1" applyAlignment="1">
      <alignment vertical="center"/>
    </xf>
    <xf numFmtId="169" fontId="34" fillId="2" borderId="2" xfId="0" applyNumberFormat="1" applyFont="1" applyFill="1" applyBorder="1" applyAlignment="1">
      <alignment vertical="center"/>
    </xf>
  </cellXfs>
  <cellStyles count="5">
    <cellStyle name="Hyperlink" xfId="1" builtinId="8"/>
    <cellStyle name="Normal" xfId="0" builtinId="0"/>
    <cellStyle name="Normal 2" xfId="2" xr:uid="{00000000-0005-0000-0000-000006000000}"/>
    <cellStyle name="Normal 2 2" xfId="4" xr:uid="{0F7BA690-F4F9-4CBA-AA65-AE62FBA4DF1B}"/>
    <cellStyle name="Normal 3" xfId="3" xr:uid="{050794B0-1BEC-4AB1-A8D8-96083A71737F}"/>
  </cellStyles>
  <dxfs count="98">
    <dxf>
      <fill>
        <patternFill>
          <bgColor rgb="FF99CCFF"/>
        </patternFill>
      </fill>
    </dxf>
    <dxf>
      <fill>
        <patternFill>
          <bgColor rgb="FF00FF00"/>
        </patternFill>
      </fill>
    </dxf>
    <dxf>
      <fill>
        <patternFill>
          <bgColor rgb="FFFF0000"/>
        </patternFill>
      </fill>
    </dxf>
    <dxf>
      <fill>
        <patternFill>
          <bgColor rgb="FFFF0000"/>
        </patternFill>
      </fill>
    </dxf>
    <dxf>
      <font>
        <color rgb="FF00FF00"/>
      </font>
    </dxf>
    <dxf>
      <font>
        <color rgb="FFFF0000"/>
      </font>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99CCFF"/>
        </patternFill>
      </fill>
    </dxf>
    <dxf>
      <fill>
        <patternFill>
          <bgColor rgb="FF00FF00"/>
        </patternFill>
      </fill>
    </dxf>
    <dxf>
      <font>
        <color rgb="FF00FF00"/>
      </font>
    </dxf>
    <dxf>
      <font>
        <color rgb="FFFF0000"/>
      </font>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99CCFF"/>
        </patternFill>
      </fill>
    </dxf>
    <dxf>
      <fill>
        <patternFill>
          <bgColor rgb="FF00FF00"/>
        </patternFill>
      </fill>
    </dxf>
    <dxf>
      <font>
        <color rgb="FF00FF00"/>
      </font>
    </dxf>
    <dxf>
      <font>
        <color rgb="FFFF0000"/>
      </font>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99CCFF"/>
        </patternFill>
      </fill>
    </dxf>
    <dxf>
      <fill>
        <patternFill>
          <bgColor rgb="FF00FF00"/>
        </patternFill>
      </fill>
    </dxf>
    <dxf>
      <font>
        <color rgb="FF00FF00"/>
      </font>
    </dxf>
    <dxf>
      <font>
        <color rgb="FFFF0000"/>
      </font>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99CCFF"/>
        </patternFill>
      </fill>
    </dxf>
    <dxf>
      <fill>
        <patternFill>
          <bgColor rgb="FF00FF00"/>
        </patternFill>
      </fill>
    </dxf>
    <dxf>
      <font>
        <color rgb="FF00FF00"/>
      </font>
    </dxf>
    <dxf>
      <font>
        <color rgb="FFFF0000"/>
      </font>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99CCFF"/>
        </patternFill>
      </fill>
    </dxf>
    <dxf>
      <fill>
        <patternFill>
          <bgColor rgb="FF00FF00"/>
        </patternFill>
      </fill>
    </dxf>
    <dxf>
      <font>
        <color rgb="FF00FF00"/>
      </font>
    </dxf>
    <dxf>
      <font>
        <color rgb="FFFF0000"/>
      </font>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99CCFF"/>
        </patternFill>
      </fill>
    </dxf>
    <dxf>
      <fill>
        <patternFill>
          <bgColor rgb="FF00FF00"/>
        </patternFill>
      </fill>
    </dxf>
    <dxf>
      <font>
        <color rgb="FF00FF00"/>
      </font>
    </dxf>
    <dxf>
      <font>
        <color rgb="FFFF0000"/>
      </font>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indexed="44"/>
        </patternFill>
      </fill>
    </dxf>
    <dxf>
      <fill>
        <patternFill>
          <bgColor rgb="FF00FF00"/>
        </patternFill>
      </fill>
    </dxf>
    <dxf>
      <font>
        <color rgb="FF00FF00"/>
      </font>
    </dxf>
    <dxf>
      <font>
        <color rgb="FFFF0000"/>
      </font>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99CCFF"/>
        </patternFill>
      </fill>
    </dxf>
    <dxf>
      <fill>
        <patternFill>
          <bgColor rgb="FF00FF00"/>
        </patternFill>
      </fill>
    </dxf>
    <dxf>
      <fill>
        <patternFill>
          <bgColor rgb="FFFF0000"/>
        </patternFill>
      </fill>
    </dxf>
    <dxf>
      <fill>
        <patternFill>
          <bgColor rgb="FFFF0000"/>
        </patternFill>
      </fill>
    </dxf>
    <dxf>
      <font>
        <color rgb="FF00FF00"/>
      </font>
    </dxf>
    <dxf>
      <font>
        <color rgb="FFFF0000"/>
      </font>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rgb="FFFFFFFF"/>
      </font>
      <fill>
        <patternFill>
          <bgColor rgb="FF00FF00"/>
        </patternFill>
      </fill>
    </dxf>
    <dxf>
      <font>
        <color rgb="FFFFFFFF"/>
      </font>
      <fill>
        <patternFill>
          <bgColor rgb="FFFF0000"/>
        </patternFill>
      </fill>
    </dxf>
    <dxf>
      <fill>
        <patternFill>
          <bgColor rgb="FFFF0000"/>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ill>
        <patternFill>
          <bgColor rgb="FFFF0000"/>
        </patternFill>
      </fill>
    </dxf>
    <dxf>
      <fill>
        <patternFill>
          <bgColor theme="0"/>
        </patternFill>
      </fill>
    </dxf>
    <dxf>
      <fill>
        <patternFill>
          <bgColor rgb="FFFF0000"/>
        </patternFill>
      </fill>
    </dxf>
    <dxf>
      <fill>
        <patternFill patternType="solid">
          <fgColor theme="0"/>
          <bgColor theme="0"/>
        </patternFill>
      </fill>
    </dxf>
    <dxf>
      <fill>
        <patternFill>
          <bgColor rgb="FFFF0000"/>
        </patternFill>
      </fill>
    </dxf>
    <dxf>
      <fill>
        <patternFill patternType="darkUp">
          <fgColor rgb="FFFF0000"/>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A6A6A6"/>
      <rgbColor rgb="FF993366"/>
      <rgbColor rgb="FFFFFFCC"/>
      <rgbColor rgb="FFDBEEF4"/>
      <rgbColor rgb="FF660066"/>
      <rgbColor rgb="FFFF8080"/>
      <rgbColor rgb="FF0066CC"/>
      <rgbColor rgb="FFC6D9F1"/>
      <rgbColor rgb="FF002060"/>
      <rgbColor rgb="FFFF00FF"/>
      <rgbColor rgb="FFFFFF00"/>
      <rgbColor rgb="FF00FFFF"/>
      <rgbColor rgb="FF800080"/>
      <rgbColor rgb="FF800000"/>
      <rgbColor rgb="FF008080"/>
      <rgbColor rgb="FF0000FF"/>
      <rgbColor rgb="FF00CCFF"/>
      <rgbColor rgb="FFDCE6F2"/>
      <rgbColor rgb="FFD9D9D9"/>
      <rgbColor rgb="FFFFFF99"/>
      <rgbColor rgb="FF99CCFF"/>
      <rgbColor rgb="FFFF99CC"/>
      <rgbColor rgb="FFBFBFBF"/>
      <rgbColor rgb="FFFFCC99"/>
      <rgbColor rgb="FF3366FF"/>
      <rgbColor rgb="FF33CCCC"/>
      <rgbColor rgb="FF92D050"/>
      <rgbColor rgb="FFFFC000"/>
      <rgbColor rgb="FFFF9900"/>
      <rgbColor rgb="FFFF6600"/>
      <rgbColor rgb="FF666699"/>
      <rgbColor rgb="FF969696"/>
      <rgbColor rgb="FF17375E"/>
      <rgbColor rgb="FF339966"/>
      <rgbColor rgb="FF003300"/>
      <rgbColor rgb="FF333300"/>
      <rgbColor rgb="FF993300"/>
      <rgbColor rgb="FF993366"/>
      <rgbColor rgb="FF254061"/>
      <rgbColor rgb="FF333333"/>
      <rgbColor rgb="00003366"/>
      <rgbColor rgb="00339966"/>
      <rgbColor rgb="00003300"/>
      <rgbColor rgb="00333300"/>
      <rgbColor rgb="00993300"/>
      <rgbColor rgb="00993366"/>
      <rgbColor rgb="00333399"/>
      <rgbColor rgb="00333333"/>
    </indexedColors>
    <mruColors>
      <color rgb="FF000080"/>
      <color rgb="FFC5D9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7.8778472251352802E-2"/>
          <c:y val="3.2543241511851402E-2"/>
          <c:w val="0.79575485548890501"/>
          <c:h val="0.90698270339525899"/>
        </c:manualLayout>
      </c:layout>
      <c:scatterChart>
        <c:scatterStyle val="lineMarker"/>
        <c:varyColors val="0"/>
        <c:ser>
          <c:idx val="0"/>
          <c:order val="0"/>
          <c:tx>
            <c:strRef>
              <c:f>mtd!$F$3</c:f>
              <c:strCache>
                <c:ptCount val="1"/>
                <c:pt idx="0">
                  <c:v>ln(n/mg/ml)</c:v>
                </c:pt>
              </c:strCache>
            </c:strRef>
          </c:tx>
          <c:spPr>
            <a:ln w="28440">
              <a:noFill/>
            </a:ln>
          </c:spPr>
          <c:marker>
            <c:symbol val="square"/>
            <c:size val="5"/>
            <c:spPr>
              <a:solidFill>
                <a:srgbClr val="FF00FF"/>
              </a:solidFill>
            </c:spPr>
          </c:marker>
          <c:dLbls>
            <c:spPr>
              <a:noFill/>
              <a:ln>
                <a:noFill/>
              </a:ln>
              <a:effectLst/>
            </c:spPr>
            <c:txPr>
              <a:bodyPr/>
              <a:lstStyle/>
              <a:p>
                <a:pPr>
                  <a:defRPr sz="800" b="0" strike="noStrike" spc="-1">
                    <a:solidFill>
                      <a:srgbClr val="000000"/>
                    </a:solidFill>
                    <a:latin typeface="Arial"/>
                    <a:ea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A6B0-4DB1-BCBD-3410739CF148}"/>
            </c:ext>
          </c:extLst>
        </c:ser>
        <c:ser>
          <c:idx val="1"/>
          <c:order val="1"/>
          <c:tx>
            <c:strRef>
              <c:f>mtd!$L$3</c:f>
              <c:strCache>
                <c:ptCount val="1"/>
                <c:pt idx="0">
                  <c:v>y</c:v>
                </c:pt>
              </c:strCache>
            </c:strRef>
          </c:tx>
          <c:spPr>
            <a:ln w="12600">
              <a:solidFill>
                <a:srgbClr val="00FFFF"/>
              </a:solidFill>
              <a:round/>
            </a:ln>
          </c:spPr>
          <c:marker>
            <c:symbol val="x"/>
            <c:size val="5"/>
            <c:spPr>
              <a:solidFill>
                <a:srgbClr val="00FFFF"/>
              </a:solidFill>
            </c:spPr>
          </c:marker>
          <c:dLbls>
            <c:spPr>
              <a:noFill/>
              <a:ln>
                <a:noFill/>
              </a:ln>
              <a:effectLst/>
            </c:spPr>
            <c:txPr>
              <a:bodyPr/>
              <a:lstStyle/>
              <a:p>
                <a:pPr>
                  <a:defRPr sz="800" b="0" strike="noStrike" spc="-1">
                    <a:solidFill>
                      <a:srgbClr val="000000"/>
                    </a:solidFill>
                    <a:latin typeface="Arial"/>
                    <a:ea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1-A6B0-4DB1-BCBD-3410739CF148}"/>
            </c:ext>
          </c:extLst>
        </c:ser>
        <c:dLbls>
          <c:showLegendKey val="0"/>
          <c:showVal val="0"/>
          <c:showCatName val="0"/>
          <c:showSerName val="0"/>
          <c:showPercent val="0"/>
          <c:showBubbleSize val="0"/>
        </c:dLbls>
        <c:axId val="42166008"/>
        <c:axId val="54377041"/>
      </c:scatterChart>
      <c:valAx>
        <c:axId val="42166008"/>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800" b="0" strike="noStrike" spc="-1">
                <a:solidFill>
                  <a:srgbClr val="000000"/>
                </a:solidFill>
                <a:latin typeface="Arial"/>
                <a:ea typeface="Arial"/>
              </a:defRPr>
            </a:pPr>
            <a:endParaRPr lang="en-US"/>
          </a:p>
        </c:txPr>
        <c:crossAx val="54377041"/>
        <c:crosses val="autoZero"/>
        <c:crossBetween val="midCat"/>
      </c:valAx>
      <c:valAx>
        <c:axId val="54377041"/>
        <c:scaling>
          <c:logBase val="10"/>
          <c:orientation val="minMax"/>
        </c:scaling>
        <c:delete val="0"/>
        <c:axPos val="l"/>
        <c:majorGridlines>
          <c:spPr>
            <a:ln w="3240">
              <a:solidFill>
                <a:srgbClr val="000000"/>
              </a:solidFill>
              <a:round/>
            </a:ln>
          </c:spPr>
        </c:majorGridlines>
        <c:numFmt formatCode="0.00" sourceLinked="0"/>
        <c:majorTickMark val="out"/>
        <c:minorTickMark val="none"/>
        <c:tickLblPos val="nextTo"/>
        <c:spPr>
          <a:ln w="3240">
            <a:solidFill>
              <a:srgbClr val="000000"/>
            </a:solidFill>
            <a:round/>
          </a:ln>
        </c:spPr>
        <c:txPr>
          <a:bodyPr/>
          <a:lstStyle/>
          <a:p>
            <a:pPr>
              <a:defRPr sz="800" b="0" strike="noStrike" spc="-1">
                <a:solidFill>
                  <a:srgbClr val="000000"/>
                </a:solidFill>
                <a:latin typeface="Arial"/>
                <a:ea typeface="Arial"/>
              </a:defRPr>
            </a:pPr>
            <a:endParaRPr lang="en-US"/>
          </a:p>
        </c:txPr>
        <c:crossAx val="42166008"/>
        <c:crosses val="autoZero"/>
        <c:crossBetween val="midCat"/>
      </c:valAx>
      <c:spPr>
        <a:solidFill>
          <a:srgbClr val="C0C0C0"/>
        </a:solidFill>
        <a:ln w="12600">
          <a:solidFill>
            <a:srgbClr val="808080"/>
          </a:solidFill>
          <a:round/>
        </a:ln>
      </c:spPr>
    </c:plotArea>
    <c:legend>
      <c:legendPos val="r"/>
      <c:layout>
        <c:manualLayout>
          <c:xMode val="edge"/>
          <c:yMode val="edge"/>
          <c:x val="0.89563320609085995"/>
          <c:y val="0.45509288917360702"/>
          <c:w val="9.9882540481584001E-2"/>
          <c:h val="6.3617143955410294E-2"/>
        </c:manualLayout>
      </c:layout>
      <c:overlay val="1"/>
      <c:spPr>
        <a:solidFill>
          <a:srgbClr val="FFFFFF"/>
        </a:solidFill>
        <a:ln w="3240">
          <a:solidFill>
            <a:srgbClr val="000000"/>
          </a:solidFill>
          <a:round/>
        </a:ln>
      </c:spPr>
      <c:txPr>
        <a:bodyPr/>
        <a:lstStyle/>
        <a:p>
          <a:pPr>
            <a:defRPr sz="570" b="0" strike="noStrike" spc="-1">
              <a:solidFill>
                <a:srgbClr val="000000"/>
              </a:solidFill>
              <a:latin typeface="Arial"/>
              <a:ea typeface="Arial"/>
            </a:defRPr>
          </a:pPr>
          <a:endParaRPr lang="en-US"/>
        </a:p>
      </c:txPr>
    </c:legend>
    <c:plotVisOnly val="1"/>
    <c:dispBlanksAs val="gap"/>
    <c:showDLblsOverMax val="1"/>
  </c:chart>
  <c:spPr>
    <a:noFill/>
    <a:ln w="936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25" b="1" strike="noStrike" spc="-1">
                <a:solidFill>
                  <a:srgbClr val="000000"/>
                </a:solidFill>
                <a:latin typeface="Arial"/>
                <a:ea typeface="Arial"/>
              </a:defRPr>
            </a:pPr>
            <a:r>
              <a:rPr sz="1125" b="1" strike="noStrike" spc="-1">
                <a:solidFill>
                  <a:srgbClr val="000000"/>
                </a:solidFill>
                <a:latin typeface="Arial"/>
                <a:ea typeface="Arial"/>
              </a:rPr>
              <a:t>MTD - up to 70 micron</a:t>
            </a:r>
          </a:p>
        </c:rich>
      </c:tx>
      <c:layout>
        <c:manualLayout>
          <c:xMode val="edge"/>
          <c:yMode val="edge"/>
          <c:x val="0.411762238348924"/>
          <c:y val="1.96028187059577E-2"/>
        </c:manualLayout>
      </c:layout>
      <c:overlay val="0"/>
      <c:spPr>
        <a:noFill/>
        <a:ln w="25560">
          <a:noFill/>
        </a:ln>
      </c:spPr>
    </c:title>
    <c:autoTitleDeleted val="0"/>
    <c:plotArea>
      <c:layout>
        <c:manualLayout>
          <c:layoutTarget val="inner"/>
          <c:xMode val="edge"/>
          <c:yMode val="edge"/>
          <c:x val="0.115441083938085"/>
          <c:y val="0.12069186418962199"/>
          <c:w val="0.78686186501111599"/>
          <c:h val="0.80743113388853305"/>
        </c:manualLayout>
      </c:layout>
      <c:scatterChart>
        <c:scatterStyle val="lineMarker"/>
        <c:varyColors val="0"/>
        <c:ser>
          <c:idx val="0"/>
          <c:order val="0"/>
          <c:tx>
            <c:strRef>
              <c:f>mtd!$N$3</c:f>
              <c:strCache>
                <c:ptCount val="1"/>
                <c:pt idx="0">
                  <c:v>y</c:v>
                </c:pt>
              </c:strCache>
            </c:strRef>
          </c:tx>
          <c:spPr>
            <a:ln w="12600">
              <a:solidFill>
                <a:srgbClr val="000080"/>
              </a:solidFill>
              <a:round/>
            </a:ln>
          </c:spPr>
          <c:marker>
            <c:symbol val="diamond"/>
            <c:size val="5"/>
            <c:spPr>
              <a:solidFill>
                <a:srgbClr val="000080"/>
              </a:solidFill>
            </c:spPr>
          </c:marker>
          <c:dLbls>
            <c:spPr>
              <a:noFill/>
              <a:ln>
                <a:noFill/>
              </a:ln>
              <a:effectLst/>
            </c:spPr>
            <c:txPr>
              <a:bodyPr/>
              <a:lstStyle/>
              <a:p>
                <a:pPr>
                  <a:defRPr sz="925" b="0" strike="noStrike" spc="-1">
                    <a:solidFill>
                      <a:srgbClr val="000000"/>
                    </a:solidFill>
                    <a:latin typeface="Arial"/>
                    <a:ea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EFE8-469D-91BE-560B4A2B136E}"/>
            </c:ext>
          </c:extLst>
        </c:ser>
        <c:ser>
          <c:idx val="1"/>
          <c:order val="1"/>
          <c:tx>
            <c:v>srm</c:v>
          </c:tx>
          <c:spPr>
            <a:ln w="12600">
              <a:solidFill>
                <a:srgbClr val="FF00FF"/>
              </a:solidFill>
              <a:round/>
            </a:ln>
          </c:spPr>
          <c:marker>
            <c:symbol val="square"/>
            <c:size val="5"/>
            <c:spPr>
              <a:solidFill>
                <a:srgbClr val="FF00FF"/>
              </a:solidFill>
            </c:spPr>
          </c:marker>
          <c:dLbls>
            <c:spPr>
              <a:noFill/>
              <a:ln>
                <a:noFill/>
              </a:ln>
              <a:effectLst/>
            </c:spPr>
            <c:txPr>
              <a:bodyPr/>
              <a:lstStyle/>
              <a:p>
                <a:pPr>
                  <a:defRPr sz="925" b="0" strike="noStrike" spc="-1">
                    <a:solidFill>
                      <a:srgbClr val="000000"/>
                    </a:solidFill>
                    <a:latin typeface="Arial"/>
                    <a:ea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EFE8-469D-91BE-560B4A2B136E}"/>
            </c:ext>
          </c:extLst>
        </c:ser>
        <c:dLbls>
          <c:showLegendKey val="0"/>
          <c:showVal val="0"/>
          <c:showCatName val="0"/>
          <c:showSerName val="0"/>
          <c:showPercent val="0"/>
          <c:showBubbleSize val="0"/>
        </c:dLbls>
        <c:axId val="41964277"/>
        <c:axId val="11523341"/>
      </c:scatterChart>
      <c:valAx>
        <c:axId val="41964277"/>
        <c:scaling>
          <c:orientation val="minMax"/>
        </c:scaling>
        <c:delete val="0"/>
        <c:axPos val="b"/>
        <c:title>
          <c:tx>
            <c:rich>
              <a:bodyPr rot="0"/>
              <a:lstStyle/>
              <a:p>
                <a:pPr>
                  <a:defRPr sz="925" b="1" strike="noStrike" spc="-1">
                    <a:solidFill>
                      <a:srgbClr val="000000"/>
                    </a:solidFill>
                    <a:latin typeface="Arial"/>
                    <a:ea typeface="Arial"/>
                  </a:defRPr>
                </a:pPr>
                <a:r>
                  <a:rPr sz="925" b="1" strike="noStrike" spc="-1">
                    <a:solidFill>
                      <a:srgbClr val="000000"/>
                    </a:solidFill>
                    <a:latin typeface="Arial"/>
                    <a:ea typeface="Arial"/>
                  </a:rPr>
                  <a:t>µm</a:t>
                </a:r>
              </a:p>
            </c:rich>
          </c:tx>
          <c:layout>
            <c:manualLayout>
              <c:xMode val="edge"/>
              <c:yMode val="edge"/>
              <c:x val="0.49616175175133198"/>
              <c:y val="0.94612427930813603"/>
            </c:manualLayout>
          </c:layout>
          <c:overlay val="0"/>
          <c:spPr>
            <a:noFill/>
            <a:ln w="25560">
              <a:noFill/>
            </a:ln>
          </c:spPr>
        </c:title>
        <c:numFmt formatCode="General" sourceLinked="0"/>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en-US"/>
          </a:p>
        </c:txPr>
        <c:crossAx val="11523341"/>
        <c:crosses val="autoZero"/>
        <c:crossBetween val="midCat"/>
      </c:valAx>
      <c:valAx>
        <c:axId val="11523341"/>
        <c:scaling>
          <c:logBase val="10"/>
          <c:orientation val="minMax"/>
        </c:scaling>
        <c:delete val="0"/>
        <c:axPos val="l"/>
        <c:majorGridlines>
          <c:spPr>
            <a:ln w="3240">
              <a:solidFill>
                <a:srgbClr val="000000"/>
              </a:solidFill>
              <a:round/>
            </a:ln>
          </c:spPr>
        </c:majorGridlines>
        <c:title>
          <c:tx>
            <c:rich>
              <a:bodyPr rot="-5400000"/>
              <a:lstStyle/>
              <a:p>
                <a:pPr>
                  <a:defRPr sz="925" b="1" strike="noStrike" spc="-1">
                    <a:solidFill>
                      <a:srgbClr val="000000"/>
                    </a:solidFill>
                    <a:latin typeface="Arial"/>
                    <a:ea typeface="Arial"/>
                  </a:defRPr>
                </a:pPr>
                <a:r>
                  <a:rPr sz="925" b="1" strike="noStrike" spc="-1">
                    <a:solidFill>
                      <a:srgbClr val="000000"/>
                    </a:solidFill>
                    <a:latin typeface="Arial"/>
                    <a:ea typeface="Arial"/>
                  </a:rPr>
                  <a:t>n/mg/ml</a:t>
                </a:r>
              </a:p>
            </c:rich>
          </c:tx>
          <c:layout>
            <c:manualLayout>
              <c:xMode val="edge"/>
              <c:yMode val="edge"/>
              <c:x val="1.22068878728135E-2"/>
              <c:y val="0.48449711723254302"/>
            </c:manualLayout>
          </c:layout>
          <c:overlay val="0"/>
          <c:spPr>
            <a:noFill/>
            <a:ln w="25560">
              <a:noFill/>
            </a:ln>
          </c:spPr>
        </c:title>
        <c:numFmt formatCode="0.00" sourceLinked="0"/>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en-US"/>
          </a:p>
        </c:txPr>
        <c:crossAx val="41964277"/>
        <c:crosses val="autoZero"/>
        <c:crossBetween val="midCat"/>
      </c:valAx>
      <c:spPr>
        <a:solidFill>
          <a:srgbClr val="C0C0C0"/>
        </a:solidFill>
        <a:ln w="12600">
          <a:solidFill>
            <a:srgbClr val="808080"/>
          </a:solidFill>
          <a:round/>
        </a:ln>
      </c:spPr>
    </c:plotArea>
    <c:legend>
      <c:legendPos val="r"/>
      <c:layout>
        <c:manualLayout>
          <c:xMode val="edge"/>
          <c:yMode val="edge"/>
          <c:x val="0.92784932253869701"/>
          <c:y val="0.49096732863548997"/>
          <c:w val="6.7665072573202506E-2"/>
          <c:h val="6.6884489717470699E-2"/>
        </c:manualLayout>
      </c:layout>
      <c:overlay val="1"/>
      <c:spPr>
        <a:solidFill>
          <a:srgbClr val="FFFFFF"/>
        </a:solidFill>
        <a:ln w="3240">
          <a:solidFill>
            <a:srgbClr val="000000"/>
          </a:solidFill>
          <a:round/>
        </a:ln>
      </c:spPr>
      <c:txPr>
        <a:bodyPr/>
        <a:lstStyle/>
        <a:p>
          <a:pPr>
            <a:defRPr sz="655" b="0" strike="noStrike" spc="-1">
              <a:solidFill>
                <a:srgbClr val="000000"/>
              </a:solidFill>
              <a:latin typeface="Arial"/>
              <a:ea typeface="Arial"/>
            </a:defRPr>
          </a:pPr>
          <a:endParaRPr lang="en-US"/>
        </a:p>
      </c:txPr>
    </c:legend>
    <c:plotVisOnly val="1"/>
    <c:dispBlanksAs val="gap"/>
    <c:showDLblsOverMax val="1"/>
  </c:chart>
  <c:spPr>
    <a:noFill/>
    <a:ln w="936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525" b="1" strike="noStrike" spc="-1">
                <a:solidFill>
                  <a:srgbClr val="000000"/>
                </a:solidFill>
                <a:latin typeface="Arial"/>
                <a:ea typeface="Arial"/>
              </a:defRPr>
            </a:pPr>
            <a:r>
              <a:rPr lang="en-GB" sz="1525" b="1" strike="noStrike" spc="-1">
                <a:solidFill>
                  <a:srgbClr val="000000"/>
                </a:solidFill>
                <a:latin typeface="Arial"/>
                <a:ea typeface="Arial"/>
              </a:rPr>
              <a:t>Actual versus target calibration level</a:t>
            </a:r>
          </a:p>
        </c:rich>
      </c:tx>
      <c:layout>
        <c:manualLayout>
          <c:xMode val="edge"/>
          <c:yMode val="edge"/>
          <c:x val="0.31915924060441703"/>
          <c:y val="3.4186565882150799E-2"/>
        </c:manualLayout>
      </c:layout>
      <c:overlay val="0"/>
      <c:spPr>
        <a:noFill/>
        <a:ln w="25560">
          <a:noFill/>
        </a:ln>
      </c:spPr>
    </c:title>
    <c:autoTitleDeleted val="0"/>
    <c:plotArea>
      <c:layout>
        <c:manualLayout>
          <c:layoutTarget val="inner"/>
          <c:xMode val="edge"/>
          <c:yMode val="edge"/>
          <c:x val="0.16069352963967501"/>
          <c:y val="0.20365916509190901"/>
          <c:w val="0.73365459124370402"/>
          <c:h val="0.50137433430681999"/>
        </c:manualLayout>
      </c:layout>
      <c:barChart>
        <c:barDir val="col"/>
        <c:grouping val="clustered"/>
        <c:varyColors val="0"/>
        <c:ser>
          <c:idx val="0"/>
          <c:order val="0"/>
          <c:tx>
            <c:v>Target Particle Count</c:v>
          </c:tx>
          <c:spPr>
            <a:solidFill>
              <a:srgbClr val="808080"/>
            </a:solidFill>
            <a:ln w="12600">
              <a:solidFill>
                <a:srgbClr val="000000"/>
              </a:solidFill>
              <a:round/>
            </a:ln>
          </c:spPr>
          <c:invertIfNegative val="0"/>
          <c:dLbls>
            <c:spPr>
              <a:noFill/>
              <a:ln>
                <a:noFill/>
              </a:ln>
              <a:effectLst/>
            </c:spPr>
            <c:txPr>
              <a:bodyPr/>
              <a:lstStyle/>
              <a:p>
                <a:pPr>
                  <a:defRPr sz="12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'Calibration record'!$B$22:$B$29</c:f>
              <c:numCache>
                <c:formatCode>0</c:formatCode>
                <c:ptCount val="8"/>
                <c:pt idx="0">
                  <c:v>3481812.2857142859</c:v>
                </c:pt>
                <c:pt idx="1">
                  <c:v>1368160.8571428573</c:v>
                </c:pt>
                <c:pt idx="2">
                  <c:v>97342.21714285716</c:v>
                </c:pt>
                <c:pt idx="3">
                  <c:v>24221.302857142859</c:v>
                </c:pt>
                <c:pt idx="4">
                  <c:v>11396.58</c:v>
                </c:pt>
                <c:pt idx="5">
                  <c:v>1788.6061142857141</c:v>
                </c:pt>
                <c:pt idx="6">
                  <c:v>690.6498857142858</c:v>
                </c:pt>
                <c:pt idx="7">
                  <c:v>159.952</c:v>
                </c:pt>
              </c:numCache>
            </c:numRef>
          </c:val>
          <c:extLst>
            <c:ext xmlns:c16="http://schemas.microsoft.com/office/drawing/2014/chart" uri="{C3380CC4-5D6E-409C-BE32-E72D297353CC}">
              <c16:uniqueId val="{00000000-EDF0-4C15-BC29-9C2B928AEC12}"/>
            </c:ext>
          </c:extLst>
        </c:ser>
        <c:ser>
          <c:idx val="1"/>
          <c:order val="1"/>
          <c:tx>
            <c:v>Actual Particle Count</c:v>
          </c:tx>
          <c:spPr>
            <a:solidFill>
              <a:srgbClr val="C0C0C0"/>
            </a:solidFill>
            <a:ln w="12600">
              <a:solidFill>
                <a:srgbClr val="000000"/>
              </a:solidFill>
              <a:round/>
            </a:ln>
          </c:spPr>
          <c:invertIfNegative val="0"/>
          <c:dLbls>
            <c:spPr>
              <a:noFill/>
              <a:ln>
                <a:noFill/>
              </a:ln>
              <a:effectLst/>
            </c:spPr>
            <c:txPr>
              <a:bodyPr/>
              <a:lstStyle/>
              <a:p>
                <a:pPr>
                  <a:defRPr sz="12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'Calibration record'!$I$22:$I$29</c:f>
              <c:numCache>
                <c:formatCode>0</c:formatCode>
                <c:ptCount val="8"/>
                <c:pt idx="0">
                  <c:v>3515052.3333333335</c:v>
                </c:pt>
                <c:pt idx="1">
                  <c:v>1388815.3333333333</c:v>
                </c:pt>
                <c:pt idx="2">
                  <c:v>98910</c:v>
                </c:pt>
                <c:pt idx="3">
                  <c:v>24523</c:v>
                </c:pt>
                <c:pt idx="4">
                  <c:v>11296</c:v>
                </c:pt>
                <c:pt idx="5">
                  <c:v>1652</c:v>
                </c:pt>
                <c:pt idx="6">
                  <c:v>484.66666666666669</c:v>
                </c:pt>
                <c:pt idx="7">
                  <c:v>59</c:v>
                </c:pt>
              </c:numCache>
            </c:numRef>
          </c:val>
          <c:extLst>
            <c:ext xmlns:c16="http://schemas.microsoft.com/office/drawing/2014/chart" uri="{C3380CC4-5D6E-409C-BE32-E72D297353CC}">
              <c16:uniqueId val="{00000001-EDF0-4C15-BC29-9C2B928AEC12}"/>
            </c:ext>
          </c:extLst>
        </c:ser>
        <c:dLbls>
          <c:showLegendKey val="0"/>
          <c:showVal val="0"/>
          <c:showCatName val="0"/>
          <c:showSerName val="0"/>
          <c:showPercent val="0"/>
          <c:showBubbleSize val="0"/>
        </c:dLbls>
        <c:gapWidth val="150"/>
        <c:axId val="33387099"/>
        <c:axId val="38290485"/>
      </c:barChart>
      <c:catAx>
        <c:axId val="33387099"/>
        <c:scaling>
          <c:orientation val="minMax"/>
        </c:scaling>
        <c:delete val="0"/>
        <c:axPos val="b"/>
        <c:title>
          <c:tx>
            <c:rich>
              <a:bodyPr rot="0"/>
              <a:lstStyle/>
              <a:p>
                <a:pPr>
                  <a:defRPr sz="925" b="1" strike="noStrike" spc="-1">
                    <a:solidFill>
                      <a:srgbClr val="000000"/>
                    </a:solidFill>
                    <a:latin typeface="Arial"/>
                    <a:ea typeface="Arial"/>
                  </a:defRPr>
                </a:pPr>
                <a:r>
                  <a:rPr lang="en-GB" sz="925" b="1" strike="noStrike" spc="-1">
                    <a:solidFill>
                      <a:srgbClr val="000000"/>
                    </a:solidFill>
                    <a:latin typeface="Arial"/>
                    <a:ea typeface="Arial"/>
                  </a:rPr>
                  <a:t>Channel Sizes (microns)</a:t>
                </a:r>
              </a:p>
            </c:rich>
          </c:tx>
          <c:layout>
            <c:manualLayout>
              <c:xMode val="edge"/>
              <c:yMode val="edge"/>
              <c:x val="0.45803467648198398"/>
              <c:y val="0.79762927332073497"/>
            </c:manualLayout>
          </c:layout>
          <c:overlay val="0"/>
          <c:spPr>
            <a:noFill/>
            <a:ln w="25560">
              <a:noFill/>
            </a:ln>
          </c:spPr>
        </c:title>
        <c:numFmt formatCode="General" sourceLinked="1"/>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en-US"/>
          </a:p>
        </c:txPr>
        <c:crossAx val="38290485"/>
        <c:crosses val="autoZero"/>
        <c:auto val="1"/>
        <c:lblAlgn val="ctr"/>
        <c:lblOffset val="100"/>
        <c:noMultiLvlLbl val="1"/>
      </c:catAx>
      <c:valAx>
        <c:axId val="38290485"/>
        <c:scaling>
          <c:logBase val="10"/>
          <c:orientation val="minMax"/>
          <c:min val="100"/>
        </c:scaling>
        <c:delete val="0"/>
        <c:axPos val="l"/>
        <c:majorGridlines>
          <c:spPr>
            <a:ln w="3240">
              <a:solidFill>
                <a:srgbClr val="969696"/>
              </a:solidFill>
              <a:prstDash val="sysDash"/>
              <a:round/>
            </a:ln>
          </c:spPr>
        </c:majorGridlines>
        <c:title>
          <c:tx>
            <c:rich>
              <a:bodyPr rot="-5400000"/>
              <a:lstStyle/>
              <a:p>
                <a:pPr>
                  <a:defRPr sz="925" b="1" strike="noStrike" spc="-1">
                    <a:solidFill>
                      <a:srgbClr val="000000"/>
                    </a:solidFill>
                    <a:latin typeface="Arial"/>
                    <a:ea typeface="Arial"/>
                  </a:defRPr>
                </a:pPr>
                <a:r>
                  <a:rPr lang="en-GB" sz="925" b="1" strike="noStrike" spc="-1">
                    <a:solidFill>
                      <a:srgbClr val="000000"/>
                    </a:solidFill>
                    <a:latin typeface="Arial"/>
                    <a:ea typeface="Arial"/>
                  </a:rPr>
                  <a:t>Counts (n)</a:t>
                </a:r>
              </a:p>
            </c:rich>
          </c:tx>
          <c:layout>
            <c:manualLayout>
              <c:xMode val="edge"/>
              <c:yMode val="edge"/>
              <c:x val="7.1508136381247603E-2"/>
              <c:y val="0.37321766019584302"/>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en-US"/>
          </a:p>
        </c:txPr>
        <c:crossAx val="33387099"/>
        <c:crosses val="autoZero"/>
        <c:crossBetween val="between"/>
      </c:valAx>
      <c:spPr>
        <a:solidFill>
          <a:srgbClr val="FFFFFF"/>
        </a:solidFill>
        <a:ln w="12600">
          <a:solidFill>
            <a:srgbClr val="FFFFFF"/>
          </a:solidFill>
          <a:round/>
        </a:ln>
      </c:spPr>
    </c:plotArea>
    <c:legend>
      <c:legendPos val="r"/>
      <c:layout>
        <c:manualLayout>
          <c:xMode val="edge"/>
          <c:yMode val="edge"/>
          <c:x val="0.36683938815548101"/>
          <c:y val="0.89743832020997405"/>
          <c:w val="0.29430054531502298"/>
          <c:h val="8.5470532092579404E-2"/>
        </c:manualLayout>
      </c:layout>
      <c:overlay val="1"/>
      <c:spPr>
        <a:solidFill>
          <a:srgbClr val="FFFFFF"/>
        </a:solidFill>
        <a:ln w="3240">
          <a:solidFill>
            <a:srgbClr val="FFFFFF"/>
          </a:solidFill>
          <a:round/>
        </a:ln>
      </c:spPr>
      <c:txPr>
        <a:bodyPr/>
        <a:lstStyle/>
        <a:p>
          <a:pPr>
            <a:defRPr sz="710" b="0" strike="noStrike" spc="-1">
              <a:solidFill>
                <a:srgbClr val="000000"/>
              </a:solidFill>
              <a:latin typeface="Arial"/>
              <a:ea typeface="Arial"/>
            </a:defRPr>
          </a:pPr>
          <a:endParaRPr lang="en-US"/>
        </a:p>
      </c:txPr>
    </c:legend>
    <c:plotVisOnly val="1"/>
    <c:dispBlanksAs val="gap"/>
    <c:showDLblsOverMax val="1"/>
  </c:chart>
  <c:spPr>
    <a:solidFill>
      <a:srgbClr val="FFFFFF"/>
    </a:solidFill>
    <a:ln w="12600">
      <a:solidFill>
        <a:srgbClr val="FFFFFF"/>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525" b="1" i="0" u="none" strike="noStrike" baseline="0">
                <a:solidFill>
                  <a:srgbClr val="000000"/>
                </a:solidFill>
                <a:latin typeface="Arial"/>
                <a:ea typeface="Arial"/>
                <a:cs typeface="Arial"/>
              </a:defRPr>
            </a:pPr>
            <a:r>
              <a:rPr lang="en-GB"/>
              <a:t>Actual versus target calibration level</a:t>
            </a:r>
          </a:p>
        </c:rich>
      </c:tx>
      <c:layout>
        <c:manualLayout>
          <c:xMode val="edge"/>
          <c:yMode val="edge"/>
          <c:x val="0.31917095103152621"/>
          <c:y val="3.4187783345263664E-2"/>
        </c:manualLayout>
      </c:layout>
      <c:overlay val="0"/>
      <c:spPr>
        <a:noFill/>
        <a:ln w="25400">
          <a:noFill/>
        </a:ln>
      </c:spPr>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rgbClr val="808080"/>
            </a:solidFill>
            <a:ln w="12700">
              <a:solidFill>
                <a:srgbClr val="000000"/>
              </a:solidFill>
              <a:prstDash val="solid"/>
            </a:ln>
          </c:spPr>
          <c:invertIfNegative val="0"/>
          <c:cat>
            <c:strRef>
              <c:f>'[1]RMF Certificate'!$D$28:$D$35</c:f>
              <c:strCache>
                <c:ptCount val="8"/>
                <c:pt idx="0">
                  <c:v>&gt;4</c:v>
                </c:pt>
                <c:pt idx="1">
                  <c:v>&gt;6</c:v>
                </c:pt>
                <c:pt idx="2">
                  <c:v>&gt;14</c:v>
                </c:pt>
                <c:pt idx="3">
                  <c:v>&gt;21</c:v>
                </c:pt>
                <c:pt idx="4">
                  <c:v>&gt;25</c:v>
                </c:pt>
                <c:pt idx="5">
                  <c:v>&gt;38</c:v>
                </c:pt>
                <c:pt idx="6">
                  <c:v>&gt;**50</c:v>
                </c:pt>
                <c:pt idx="7">
                  <c:v>&gt;**70</c:v>
                </c:pt>
              </c:strCache>
            </c:strRef>
          </c:cat>
          <c:val>
            <c:numRef>
              <c:f>'[1]Calibration record'!$B$50:$B$57</c:f>
              <c:numCache>
                <c:formatCode>General</c:formatCode>
                <c:ptCount val="8"/>
                <c:pt idx="0">
                  <c:v>3485033.9285714291</c:v>
                </c:pt>
                <c:pt idx="1">
                  <c:v>1369426.7857142859</c:v>
                </c:pt>
                <c:pt idx="2">
                  <c:v>97432.285714285725</c:v>
                </c:pt>
                <c:pt idx="3">
                  <c:v>24243.71428571429</c:v>
                </c:pt>
                <c:pt idx="4">
                  <c:v>11407.125</c:v>
                </c:pt>
                <c:pt idx="5">
                  <c:v>1790.2610714285715</c:v>
                </c:pt>
                <c:pt idx="6">
                  <c:v>691.28892857142864</c:v>
                </c:pt>
                <c:pt idx="7">
                  <c:v>160.10000000000002</c:v>
                </c:pt>
              </c:numCache>
            </c:numRef>
          </c:val>
          <c:extLst>
            <c:ext xmlns:c16="http://schemas.microsoft.com/office/drawing/2014/chart" uri="{C3380CC4-5D6E-409C-BE32-E72D297353CC}">
              <c16:uniqueId val="{00000000-DE40-4468-853E-54F8A2710AAD}"/>
            </c:ext>
          </c:extLst>
        </c:ser>
        <c:ser>
          <c:idx val="1"/>
          <c:order val="1"/>
          <c:tx>
            <c:v>Actual Particle Count</c:v>
          </c:tx>
          <c:spPr>
            <a:solidFill>
              <a:srgbClr val="C0C0C0"/>
            </a:solidFill>
            <a:ln w="12700">
              <a:solidFill>
                <a:srgbClr val="000000"/>
              </a:solidFill>
              <a:prstDash val="solid"/>
            </a:ln>
          </c:spPr>
          <c:invertIfNegative val="0"/>
          <c:cat>
            <c:strRef>
              <c:f>'[1]RMF Certificate'!$D$28:$D$35</c:f>
              <c:strCache>
                <c:ptCount val="8"/>
                <c:pt idx="0">
                  <c:v>&gt;4</c:v>
                </c:pt>
                <c:pt idx="1">
                  <c:v>&gt;6</c:v>
                </c:pt>
                <c:pt idx="2">
                  <c:v>&gt;14</c:v>
                </c:pt>
                <c:pt idx="3">
                  <c:v>&gt;21</c:v>
                </c:pt>
                <c:pt idx="4">
                  <c:v>&gt;25</c:v>
                </c:pt>
                <c:pt idx="5">
                  <c:v>&gt;38</c:v>
                </c:pt>
                <c:pt idx="6">
                  <c:v>&gt;**50</c:v>
                </c:pt>
                <c:pt idx="7">
                  <c:v>&gt;**70</c:v>
                </c:pt>
              </c:strCache>
            </c:strRef>
          </c:cat>
          <c:val>
            <c:numRef>
              <c:f>'[1]Calibration record'!$I$50:$I$57</c:f>
              <c:numCache>
                <c:formatCode>General</c:formatCode>
                <c:ptCount val="8"/>
                <c:pt idx="0">
                  <c:v>3467000</c:v>
                </c:pt>
                <c:pt idx="1">
                  <c:v>1402000</c:v>
                </c:pt>
                <c:pt idx="2">
                  <c:v>96900</c:v>
                </c:pt>
                <c:pt idx="3">
                  <c:v>0</c:v>
                </c:pt>
                <c:pt idx="4">
                  <c:v>0</c:v>
                </c:pt>
                <c:pt idx="5">
                  <c:v>0</c:v>
                </c:pt>
                <c:pt idx="6">
                  <c:v>0</c:v>
                </c:pt>
                <c:pt idx="7">
                  <c:v>0</c:v>
                </c:pt>
              </c:numCache>
            </c:numRef>
          </c:val>
          <c:extLst>
            <c:ext xmlns:c16="http://schemas.microsoft.com/office/drawing/2014/chart" uri="{C3380CC4-5D6E-409C-BE32-E72D297353CC}">
              <c16:uniqueId val="{00000001-DE40-4468-853E-54F8A2710AAD}"/>
            </c:ext>
          </c:extLst>
        </c:ser>
        <c:dLbls>
          <c:showLegendKey val="0"/>
          <c:showVal val="0"/>
          <c:showCatName val="0"/>
          <c:showSerName val="0"/>
          <c:showPercent val="0"/>
          <c:showBubbleSize val="0"/>
        </c:dLbls>
        <c:gapWidth val="150"/>
        <c:axId val="195275008"/>
        <c:axId val="198050176"/>
      </c:barChart>
      <c:catAx>
        <c:axId val="195275008"/>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Channel Sizes (microns)</a:t>
                </a:r>
              </a:p>
            </c:rich>
          </c:tx>
          <c:layout>
            <c:manualLayout>
              <c:xMode val="edge"/>
              <c:yMode val="edge"/>
              <c:x val="0.45803108845020302"/>
              <c:y val="0.7977232164161297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198050176"/>
        <c:crosses val="autoZero"/>
        <c:auto val="1"/>
        <c:lblAlgn val="ctr"/>
        <c:lblOffset val="100"/>
        <c:tickLblSkip val="1"/>
        <c:tickMarkSkip val="1"/>
        <c:noMultiLvlLbl val="0"/>
      </c:catAx>
      <c:valAx>
        <c:axId val="198050176"/>
        <c:scaling>
          <c:logBase val="10"/>
          <c:orientation val="minMax"/>
          <c:min val="100"/>
        </c:scaling>
        <c:delete val="0"/>
        <c:axPos val="l"/>
        <c:majorGridlines>
          <c:spPr>
            <a:ln w="3175">
              <a:solidFill>
                <a:srgbClr val="969696"/>
              </a:solidFill>
              <a:prstDash val="sysDash"/>
            </a:ln>
          </c:spPr>
        </c:majorGridlines>
        <c:title>
          <c:tx>
            <c:rich>
              <a:bodyPr/>
              <a:lstStyle/>
              <a:p>
                <a:pPr>
                  <a:defRPr sz="925" b="1" i="0" u="none" strike="noStrike" baseline="0">
                    <a:solidFill>
                      <a:srgbClr val="000000"/>
                    </a:solidFill>
                    <a:latin typeface="Arial"/>
                    <a:ea typeface="Arial"/>
                    <a:cs typeface="Arial"/>
                  </a:defRPr>
                </a:pPr>
                <a:r>
                  <a:rPr lang="en-GB"/>
                  <a:t>Counts (n)</a:t>
                </a:r>
              </a:p>
            </c:rich>
          </c:tx>
          <c:layout>
            <c:manualLayout>
              <c:xMode val="edge"/>
              <c:yMode val="edge"/>
              <c:x val="7.1502584796751853E-2"/>
              <c:y val="0.3732202338344070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195275008"/>
        <c:crosses val="autoZero"/>
        <c:crossBetween val="between"/>
      </c:valAx>
      <c:spPr>
        <a:solidFill>
          <a:srgbClr val="FFFFFF"/>
        </a:solidFill>
        <a:ln w="12700">
          <a:solidFill>
            <a:srgbClr val="FFFFFF"/>
          </a:solidFill>
          <a:prstDash val="solid"/>
        </a:ln>
      </c:spPr>
    </c:plotArea>
    <c:legend>
      <c:legendPos val="b"/>
      <c:layout>
        <c:manualLayout>
          <c:xMode val="edge"/>
          <c:yMode val="edge"/>
          <c:x val="0.36683938815548123"/>
          <c:y val="0.89743832020997372"/>
          <c:w val="0.2943005453150227"/>
          <c:h val="8.5470532092579377E-2"/>
        </c:manualLayout>
      </c:layout>
      <c:overlay val="0"/>
      <c:spPr>
        <a:solidFill>
          <a:srgbClr val="FFFFFF"/>
        </a:solidFill>
        <a:ln w="3175">
          <a:solidFill>
            <a:srgbClr val="FFFFFF"/>
          </a:solidFill>
          <a:prstDash val="solid"/>
        </a:ln>
      </c:spPr>
      <c:txPr>
        <a:bodyPr/>
        <a:lstStyle/>
        <a:p>
          <a:pPr>
            <a:defRPr sz="7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12700">
      <a:solidFill>
        <a:srgbClr val="FFFFFF"/>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525" b="1" strike="noStrike" spc="-1">
                <a:solidFill>
                  <a:srgbClr val="000000"/>
                </a:solidFill>
                <a:latin typeface="Arial"/>
                <a:ea typeface="Arial"/>
              </a:defRPr>
            </a:pPr>
            <a:r>
              <a:rPr sz="1525" b="1" strike="noStrike" spc="-1">
                <a:solidFill>
                  <a:srgbClr val="000000"/>
                </a:solidFill>
                <a:latin typeface="Arial"/>
                <a:ea typeface="Arial"/>
              </a:rPr>
              <a:t>Actual versus target calibration level</a:t>
            </a:r>
          </a:p>
        </c:rich>
      </c:tx>
      <c:layout>
        <c:manualLayout>
          <c:xMode val="edge"/>
          <c:yMode val="edge"/>
          <c:x val="0.31915924060441703"/>
          <c:y val="3.4186565882150799E-2"/>
        </c:manualLayout>
      </c:layout>
      <c:overlay val="0"/>
      <c:spPr>
        <a:noFill/>
        <a:ln w="25560">
          <a:noFill/>
        </a:ln>
      </c:spPr>
    </c:title>
    <c:autoTitleDeleted val="0"/>
    <c:plotArea>
      <c:layout>
        <c:manualLayout>
          <c:layoutTarget val="inner"/>
          <c:xMode val="edge"/>
          <c:yMode val="edge"/>
          <c:x val="0.16069352963967501"/>
          <c:y val="0.20365916509190901"/>
          <c:w val="0.73365459124370402"/>
          <c:h val="0.50137433430681999"/>
        </c:manualLayout>
      </c:layout>
      <c:barChart>
        <c:barDir val="col"/>
        <c:grouping val="clustered"/>
        <c:varyColors val="0"/>
        <c:ser>
          <c:idx val="0"/>
          <c:order val="0"/>
          <c:tx>
            <c:v>Target Particle Count</c:v>
          </c:tx>
          <c:spPr>
            <a:solidFill>
              <a:srgbClr val="808080"/>
            </a:solidFill>
            <a:ln w="12600">
              <a:solidFill>
                <a:srgbClr val="000000"/>
              </a:solidFill>
              <a:round/>
            </a:ln>
          </c:spPr>
          <c:invertIfNegative val="0"/>
          <c:dLbls>
            <c:spPr>
              <a:noFill/>
              <a:ln>
                <a:noFill/>
              </a:ln>
              <a:effectLst/>
            </c:spPr>
            <c:txPr>
              <a:bodyPr/>
              <a:lstStyle/>
              <a:p>
                <a:pPr>
                  <a:defRPr sz="12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'LPM Certificate'!$D$28:$D$35</c:f>
              <c:strCache>
                <c:ptCount val="8"/>
                <c:pt idx="0">
                  <c:v>&gt;4</c:v>
                </c:pt>
                <c:pt idx="1">
                  <c:v>&gt;6</c:v>
                </c:pt>
                <c:pt idx="2">
                  <c:v>&gt;14</c:v>
                </c:pt>
                <c:pt idx="3">
                  <c:v>&gt;21</c:v>
                </c:pt>
                <c:pt idx="4">
                  <c:v>&gt;25</c:v>
                </c:pt>
                <c:pt idx="5">
                  <c:v>&gt;38</c:v>
                </c:pt>
                <c:pt idx="6">
                  <c:v>&gt;**50</c:v>
                </c:pt>
                <c:pt idx="7">
                  <c:v>&gt;**70</c:v>
                </c:pt>
              </c:strCache>
            </c:strRef>
          </c:cat>
          <c:val>
            <c:numRef>
              <c:f>'Calibration record'!$B$22:$B$29</c:f>
              <c:numCache>
                <c:formatCode>0</c:formatCode>
                <c:ptCount val="8"/>
                <c:pt idx="0">
                  <c:v>3481812.2857142859</c:v>
                </c:pt>
                <c:pt idx="1">
                  <c:v>1368160.8571428573</c:v>
                </c:pt>
                <c:pt idx="2">
                  <c:v>97342.21714285716</c:v>
                </c:pt>
                <c:pt idx="3">
                  <c:v>24221.302857142859</c:v>
                </c:pt>
                <c:pt idx="4">
                  <c:v>11396.58</c:v>
                </c:pt>
                <c:pt idx="5">
                  <c:v>1788.6061142857141</c:v>
                </c:pt>
                <c:pt idx="6">
                  <c:v>690.6498857142858</c:v>
                </c:pt>
                <c:pt idx="7">
                  <c:v>159.952</c:v>
                </c:pt>
              </c:numCache>
            </c:numRef>
          </c:val>
          <c:extLst>
            <c:ext xmlns:c16="http://schemas.microsoft.com/office/drawing/2014/chart" uri="{C3380CC4-5D6E-409C-BE32-E72D297353CC}">
              <c16:uniqueId val="{00000000-D51B-4E6B-8C26-80B21DCAE8D3}"/>
            </c:ext>
          </c:extLst>
        </c:ser>
        <c:ser>
          <c:idx val="1"/>
          <c:order val="1"/>
          <c:tx>
            <c:v>Actual Particle Count</c:v>
          </c:tx>
          <c:spPr>
            <a:solidFill>
              <a:srgbClr val="C0C0C0"/>
            </a:solidFill>
            <a:ln w="12600">
              <a:solidFill>
                <a:srgbClr val="000000"/>
              </a:solidFill>
              <a:round/>
            </a:ln>
          </c:spPr>
          <c:invertIfNegative val="0"/>
          <c:dLbls>
            <c:spPr>
              <a:noFill/>
              <a:ln>
                <a:noFill/>
              </a:ln>
              <a:effectLst/>
            </c:spPr>
            <c:txPr>
              <a:bodyPr/>
              <a:lstStyle/>
              <a:p>
                <a:pPr>
                  <a:defRPr sz="12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'LPM Certificate'!$D$28:$D$35</c:f>
              <c:strCache>
                <c:ptCount val="8"/>
                <c:pt idx="0">
                  <c:v>&gt;4</c:v>
                </c:pt>
                <c:pt idx="1">
                  <c:v>&gt;6</c:v>
                </c:pt>
                <c:pt idx="2">
                  <c:v>&gt;14</c:v>
                </c:pt>
                <c:pt idx="3">
                  <c:v>&gt;21</c:v>
                </c:pt>
                <c:pt idx="4">
                  <c:v>&gt;25</c:v>
                </c:pt>
                <c:pt idx="5">
                  <c:v>&gt;38</c:v>
                </c:pt>
                <c:pt idx="6">
                  <c:v>&gt;**50</c:v>
                </c:pt>
                <c:pt idx="7">
                  <c:v>&gt;**70</c:v>
                </c:pt>
              </c:strCache>
            </c:strRef>
          </c:cat>
          <c:val>
            <c:numRef>
              <c:f>'Calibration record'!$I$22:$I$29</c:f>
              <c:numCache>
                <c:formatCode>0</c:formatCode>
                <c:ptCount val="8"/>
                <c:pt idx="0">
                  <c:v>3515052.3333333335</c:v>
                </c:pt>
                <c:pt idx="1">
                  <c:v>1388815.3333333333</c:v>
                </c:pt>
                <c:pt idx="2">
                  <c:v>98910</c:v>
                </c:pt>
                <c:pt idx="3">
                  <c:v>24523</c:v>
                </c:pt>
                <c:pt idx="4">
                  <c:v>11296</c:v>
                </c:pt>
                <c:pt idx="5">
                  <c:v>1652</c:v>
                </c:pt>
                <c:pt idx="6">
                  <c:v>484.66666666666669</c:v>
                </c:pt>
                <c:pt idx="7">
                  <c:v>59</c:v>
                </c:pt>
              </c:numCache>
            </c:numRef>
          </c:val>
          <c:extLst>
            <c:ext xmlns:c16="http://schemas.microsoft.com/office/drawing/2014/chart" uri="{C3380CC4-5D6E-409C-BE32-E72D297353CC}">
              <c16:uniqueId val="{00000001-D51B-4E6B-8C26-80B21DCAE8D3}"/>
            </c:ext>
          </c:extLst>
        </c:ser>
        <c:dLbls>
          <c:showLegendKey val="0"/>
          <c:showVal val="0"/>
          <c:showCatName val="0"/>
          <c:showSerName val="0"/>
          <c:showPercent val="0"/>
          <c:showBubbleSize val="0"/>
        </c:dLbls>
        <c:gapWidth val="150"/>
        <c:axId val="63654636"/>
        <c:axId val="32428478"/>
      </c:barChart>
      <c:catAx>
        <c:axId val="63654636"/>
        <c:scaling>
          <c:orientation val="minMax"/>
        </c:scaling>
        <c:delete val="0"/>
        <c:axPos val="b"/>
        <c:title>
          <c:tx>
            <c:rich>
              <a:bodyPr rot="0"/>
              <a:lstStyle/>
              <a:p>
                <a:pPr>
                  <a:defRPr sz="925" b="1" strike="noStrike" spc="-1">
                    <a:solidFill>
                      <a:srgbClr val="000000"/>
                    </a:solidFill>
                    <a:latin typeface="Arial"/>
                    <a:ea typeface="Arial"/>
                  </a:defRPr>
                </a:pPr>
                <a:r>
                  <a:rPr sz="925" b="1" strike="noStrike" spc="-1">
                    <a:solidFill>
                      <a:srgbClr val="000000"/>
                    </a:solidFill>
                    <a:latin typeface="Arial"/>
                    <a:ea typeface="Arial"/>
                  </a:rPr>
                  <a:t>Channel Sizes (microns)</a:t>
                </a:r>
              </a:p>
            </c:rich>
          </c:tx>
          <c:layout>
            <c:manualLayout>
              <c:xMode val="edge"/>
              <c:yMode val="edge"/>
              <c:x val="0.45805889190236299"/>
              <c:y val="0.79762927332073497"/>
            </c:manualLayout>
          </c:layout>
          <c:overlay val="0"/>
          <c:spPr>
            <a:noFill/>
            <a:ln w="25560">
              <a:noFill/>
            </a:ln>
          </c:spPr>
        </c:title>
        <c:numFmt formatCode="General" sourceLinked="1"/>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en-US"/>
          </a:p>
        </c:txPr>
        <c:crossAx val="32428478"/>
        <c:crosses val="autoZero"/>
        <c:auto val="1"/>
        <c:lblAlgn val="ctr"/>
        <c:lblOffset val="100"/>
        <c:noMultiLvlLbl val="1"/>
      </c:catAx>
      <c:valAx>
        <c:axId val="32428478"/>
        <c:scaling>
          <c:logBase val="10"/>
          <c:orientation val="minMax"/>
          <c:min val="100"/>
        </c:scaling>
        <c:delete val="0"/>
        <c:axPos val="l"/>
        <c:majorGridlines>
          <c:spPr>
            <a:ln w="3240">
              <a:solidFill>
                <a:srgbClr val="969696"/>
              </a:solidFill>
              <a:prstDash val="sysDash"/>
              <a:round/>
            </a:ln>
          </c:spPr>
        </c:majorGridlines>
        <c:title>
          <c:tx>
            <c:rich>
              <a:bodyPr rot="-5400000"/>
              <a:lstStyle/>
              <a:p>
                <a:pPr>
                  <a:defRPr sz="925" b="1" strike="noStrike" spc="-1">
                    <a:solidFill>
                      <a:srgbClr val="000000"/>
                    </a:solidFill>
                    <a:latin typeface="Arial"/>
                    <a:ea typeface="Arial"/>
                  </a:defRPr>
                </a:pPr>
                <a:r>
                  <a:rPr sz="925" b="1" strike="noStrike" spc="-1">
                    <a:solidFill>
                      <a:srgbClr val="000000"/>
                    </a:solidFill>
                    <a:latin typeface="Arial"/>
                    <a:ea typeface="Arial"/>
                  </a:rPr>
                  <a:t>Counts (n)</a:t>
                </a:r>
              </a:p>
            </c:rich>
          </c:tx>
          <c:layout>
            <c:manualLayout>
              <c:xMode val="edge"/>
              <c:yMode val="edge"/>
              <c:x val="7.1508136381247603E-2"/>
              <c:y val="0.37321766019584302"/>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en-US"/>
          </a:p>
        </c:txPr>
        <c:crossAx val="63654636"/>
        <c:crosses val="autoZero"/>
        <c:crossBetween val="between"/>
      </c:valAx>
      <c:spPr>
        <a:solidFill>
          <a:srgbClr val="FFFFFF"/>
        </a:solidFill>
        <a:ln w="12600">
          <a:solidFill>
            <a:srgbClr val="FFFFFF"/>
          </a:solidFill>
          <a:round/>
        </a:ln>
      </c:spPr>
    </c:plotArea>
    <c:legend>
      <c:legendPos val="r"/>
      <c:layout>
        <c:manualLayout>
          <c:xMode val="edge"/>
          <c:yMode val="edge"/>
          <c:x val="0.36681518791166201"/>
          <c:y val="0.89735440645937103"/>
          <c:w val="0.29429713040319599"/>
          <c:h val="8.5473756550124597E-2"/>
        </c:manualLayout>
      </c:layout>
      <c:overlay val="1"/>
      <c:spPr>
        <a:solidFill>
          <a:srgbClr val="FFFFFF"/>
        </a:solidFill>
        <a:ln w="3240">
          <a:solidFill>
            <a:srgbClr val="FFFFFF"/>
          </a:solidFill>
          <a:round/>
        </a:ln>
      </c:spPr>
      <c:txPr>
        <a:bodyPr/>
        <a:lstStyle/>
        <a:p>
          <a:pPr>
            <a:defRPr sz="710" b="0" strike="noStrike" spc="-1">
              <a:solidFill>
                <a:srgbClr val="000000"/>
              </a:solidFill>
              <a:latin typeface="Arial"/>
              <a:ea typeface="Arial"/>
            </a:defRPr>
          </a:pPr>
          <a:endParaRPr lang="en-US"/>
        </a:p>
      </c:txPr>
    </c:legend>
    <c:plotVisOnly val="1"/>
    <c:dispBlanksAs val="gap"/>
    <c:showDLblsOverMax val="1"/>
  </c:chart>
  <c:spPr>
    <a:solidFill>
      <a:srgbClr val="FFFFFF"/>
    </a:solidFill>
    <a:ln w="12600">
      <a:solidFill>
        <a:srgbClr val="FFFFFF"/>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525" b="1" strike="noStrike" spc="-1">
                <a:solidFill>
                  <a:srgbClr val="000000"/>
                </a:solidFill>
                <a:latin typeface="Arial"/>
                <a:ea typeface="Arial"/>
              </a:defRPr>
            </a:pPr>
            <a:r>
              <a:rPr sz="1525" b="1" strike="noStrike" spc="-1">
                <a:solidFill>
                  <a:srgbClr val="000000"/>
                </a:solidFill>
                <a:latin typeface="Arial"/>
                <a:ea typeface="Arial"/>
              </a:rPr>
              <a:t>Actual versus target calibration level</a:t>
            </a:r>
          </a:p>
        </c:rich>
      </c:tx>
      <c:layout>
        <c:manualLayout>
          <c:xMode val="edge"/>
          <c:yMode val="edge"/>
          <c:x val="0.31915924060441703"/>
          <c:y val="3.4186565882150799E-2"/>
        </c:manualLayout>
      </c:layout>
      <c:overlay val="0"/>
      <c:spPr>
        <a:noFill/>
        <a:ln w="25560">
          <a:noFill/>
        </a:ln>
      </c:spPr>
    </c:title>
    <c:autoTitleDeleted val="0"/>
    <c:plotArea>
      <c:layout>
        <c:manualLayout>
          <c:layoutTarget val="inner"/>
          <c:xMode val="edge"/>
          <c:yMode val="edge"/>
          <c:x val="0.16069352963967501"/>
          <c:y val="0.20365916509190901"/>
          <c:w val="0.73365459124370402"/>
          <c:h val="0.50137433430681999"/>
        </c:manualLayout>
      </c:layout>
      <c:barChart>
        <c:barDir val="col"/>
        <c:grouping val="clustered"/>
        <c:varyColors val="0"/>
        <c:ser>
          <c:idx val="0"/>
          <c:order val="0"/>
          <c:tx>
            <c:v>Target Particle Count</c:v>
          </c:tx>
          <c:spPr>
            <a:solidFill>
              <a:srgbClr val="808080"/>
            </a:solidFill>
            <a:ln w="12600">
              <a:solidFill>
                <a:srgbClr val="000000"/>
              </a:solidFill>
              <a:round/>
            </a:ln>
          </c:spPr>
          <c:invertIfNegative val="0"/>
          <c:dLbls>
            <c:spPr>
              <a:noFill/>
              <a:ln>
                <a:noFill/>
              </a:ln>
              <a:effectLst/>
            </c:spPr>
            <c:txPr>
              <a:bodyPr/>
              <a:lstStyle/>
              <a:p>
                <a:pPr>
                  <a:defRPr sz="12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'Solge Certificate'!$D$28:$D$35</c:f>
              <c:strCache>
                <c:ptCount val="8"/>
                <c:pt idx="0">
                  <c:v>&gt;4</c:v>
                </c:pt>
                <c:pt idx="1">
                  <c:v>&gt;6</c:v>
                </c:pt>
                <c:pt idx="2">
                  <c:v>&gt;14</c:v>
                </c:pt>
                <c:pt idx="3">
                  <c:v>&gt;21</c:v>
                </c:pt>
                <c:pt idx="4">
                  <c:v>&gt;25</c:v>
                </c:pt>
                <c:pt idx="5">
                  <c:v>&gt;38</c:v>
                </c:pt>
                <c:pt idx="6">
                  <c:v>&gt;**50</c:v>
                </c:pt>
                <c:pt idx="7">
                  <c:v>&gt;**70</c:v>
                </c:pt>
              </c:strCache>
            </c:strRef>
          </c:cat>
          <c:val>
            <c:numRef>
              <c:f>'Calibration record'!$B$22:$B$29</c:f>
              <c:numCache>
                <c:formatCode>0</c:formatCode>
                <c:ptCount val="8"/>
                <c:pt idx="0">
                  <c:v>3481812.2857142859</c:v>
                </c:pt>
                <c:pt idx="1">
                  <c:v>1368160.8571428573</c:v>
                </c:pt>
                <c:pt idx="2">
                  <c:v>97342.21714285716</c:v>
                </c:pt>
                <c:pt idx="3">
                  <c:v>24221.302857142859</c:v>
                </c:pt>
                <c:pt idx="4">
                  <c:v>11396.58</c:v>
                </c:pt>
                <c:pt idx="5">
                  <c:v>1788.6061142857141</c:v>
                </c:pt>
                <c:pt idx="6">
                  <c:v>690.6498857142858</c:v>
                </c:pt>
                <c:pt idx="7">
                  <c:v>159.952</c:v>
                </c:pt>
              </c:numCache>
            </c:numRef>
          </c:val>
          <c:extLst>
            <c:ext xmlns:c16="http://schemas.microsoft.com/office/drawing/2014/chart" uri="{C3380CC4-5D6E-409C-BE32-E72D297353CC}">
              <c16:uniqueId val="{00000000-46F0-43F8-ABEC-FEDC0072EB68}"/>
            </c:ext>
          </c:extLst>
        </c:ser>
        <c:ser>
          <c:idx val="1"/>
          <c:order val="1"/>
          <c:tx>
            <c:v>Actual Particle Count</c:v>
          </c:tx>
          <c:spPr>
            <a:solidFill>
              <a:srgbClr val="C0C0C0"/>
            </a:solidFill>
            <a:ln w="12600">
              <a:solidFill>
                <a:srgbClr val="000000"/>
              </a:solidFill>
              <a:round/>
            </a:ln>
          </c:spPr>
          <c:invertIfNegative val="0"/>
          <c:dLbls>
            <c:spPr>
              <a:noFill/>
              <a:ln>
                <a:noFill/>
              </a:ln>
              <a:effectLst/>
            </c:spPr>
            <c:txPr>
              <a:bodyPr/>
              <a:lstStyle/>
              <a:p>
                <a:pPr>
                  <a:defRPr sz="12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'Solge Certificate'!$D$28:$D$35</c:f>
              <c:strCache>
                <c:ptCount val="8"/>
                <c:pt idx="0">
                  <c:v>&gt;4</c:v>
                </c:pt>
                <c:pt idx="1">
                  <c:v>&gt;6</c:v>
                </c:pt>
                <c:pt idx="2">
                  <c:v>&gt;14</c:v>
                </c:pt>
                <c:pt idx="3">
                  <c:v>&gt;21</c:v>
                </c:pt>
                <c:pt idx="4">
                  <c:v>&gt;25</c:v>
                </c:pt>
                <c:pt idx="5">
                  <c:v>&gt;38</c:v>
                </c:pt>
                <c:pt idx="6">
                  <c:v>&gt;**50</c:v>
                </c:pt>
                <c:pt idx="7">
                  <c:v>&gt;**70</c:v>
                </c:pt>
              </c:strCache>
            </c:strRef>
          </c:cat>
          <c:val>
            <c:numRef>
              <c:f>'Calibration record'!$I$22:$I$29</c:f>
              <c:numCache>
                <c:formatCode>0</c:formatCode>
                <c:ptCount val="8"/>
                <c:pt idx="0">
                  <c:v>3515052.3333333335</c:v>
                </c:pt>
                <c:pt idx="1">
                  <c:v>1388815.3333333333</c:v>
                </c:pt>
                <c:pt idx="2">
                  <c:v>98910</c:v>
                </c:pt>
                <c:pt idx="3">
                  <c:v>24523</c:v>
                </c:pt>
                <c:pt idx="4">
                  <c:v>11296</c:v>
                </c:pt>
                <c:pt idx="5">
                  <c:v>1652</c:v>
                </c:pt>
                <c:pt idx="6">
                  <c:v>484.66666666666669</c:v>
                </c:pt>
                <c:pt idx="7">
                  <c:v>59</c:v>
                </c:pt>
              </c:numCache>
            </c:numRef>
          </c:val>
          <c:extLst>
            <c:ext xmlns:c16="http://schemas.microsoft.com/office/drawing/2014/chart" uri="{C3380CC4-5D6E-409C-BE32-E72D297353CC}">
              <c16:uniqueId val="{00000001-46F0-43F8-ABEC-FEDC0072EB68}"/>
            </c:ext>
          </c:extLst>
        </c:ser>
        <c:dLbls>
          <c:showLegendKey val="0"/>
          <c:showVal val="0"/>
          <c:showCatName val="0"/>
          <c:showSerName val="0"/>
          <c:showPercent val="0"/>
          <c:showBubbleSize val="0"/>
        </c:dLbls>
        <c:gapWidth val="150"/>
        <c:axId val="94395385"/>
        <c:axId val="50140572"/>
      </c:barChart>
      <c:catAx>
        <c:axId val="94395385"/>
        <c:scaling>
          <c:orientation val="minMax"/>
        </c:scaling>
        <c:delete val="0"/>
        <c:axPos val="b"/>
        <c:title>
          <c:tx>
            <c:rich>
              <a:bodyPr rot="0"/>
              <a:lstStyle/>
              <a:p>
                <a:pPr>
                  <a:defRPr sz="925" b="1" strike="noStrike" spc="-1">
                    <a:solidFill>
                      <a:srgbClr val="000000"/>
                    </a:solidFill>
                    <a:latin typeface="Arial"/>
                    <a:ea typeface="Arial"/>
                  </a:defRPr>
                </a:pPr>
                <a:r>
                  <a:rPr sz="925" b="1" strike="noStrike" spc="-1">
                    <a:solidFill>
                      <a:srgbClr val="000000"/>
                    </a:solidFill>
                    <a:latin typeface="Arial"/>
                    <a:ea typeface="Arial"/>
                  </a:rPr>
                  <a:t>Channel Sizes (microns)</a:t>
                </a:r>
              </a:p>
            </c:rich>
          </c:tx>
          <c:layout>
            <c:manualLayout>
              <c:xMode val="edge"/>
              <c:yMode val="edge"/>
              <c:x val="0.45805889190236299"/>
              <c:y val="0.79762927332073497"/>
            </c:manualLayout>
          </c:layout>
          <c:overlay val="0"/>
          <c:spPr>
            <a:noFill/>
            <a:ln w="25560">
              <a:noFill/>
            </a:ln>
          </c:spPr>
        </c:title>
        <c:numFmt formatCode="General" sourceLinked="1"/>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en-US"/>
          </a:p>
        </c:txPr>
        <c:crossAx val="50140572"/>
        <c:crosses val="autoZero"/>
        <c:auto val="1"/>
        <c:lblAlgn val="ctr"/>
        <c:lblOffset val="100"/>
        <c:noMultiLvlLbl val="1"/>
      </c:catAx>
      <c:valAx>
        <c:axId val="50140572"/>
        <c:scaling>
          <c:logBase val="10"/>
          <c:orientation val="minMax"/>
          <c:min val="100"/>
        </c:scaling>
        <c:delete val="0"/>
        <c:axPos val="l"/>
        <c:majorGridlines>
          <c:spPr>
            <a:ln w="3240">
              <a:solidFill>
                <a:srgbClr val="969696"/>
              </a:solidFill>
              <a:prstDash val="sysDash"/>
              <a:round/>
            </a:ln>
          </c:spPr>
        </c:majorGridlines>
        <c:title>
          <c:tx>
            <c:rich>
              <a:bodyPr rot="-5400000"/>
              <a:lstStyle/>
              <a:p>
                <a:pPr>
                  <a:defRPr sz="925" b="1" strike="noStrike" spc="-1">
                    <a:solidFill>
                      <a:srgbClr val="000000"/>
                    </a:solidFill>
                    <a:latin typeface="Arial"/>
                    <a:ea typeface="Arial"/>
                  </a:defRPr>
                </a:pPr>
                <a:r>
                  <a:rPr sz="925" b="1" strike="noStrike" spc="-1">
                    <a:solidFill>
                      <a:srgbClr val="000000"/>
                    </a:solidFill>
                    <a:latin typeface="Arial"/>
                    <a:ea typeface="Arial"/>
                  </a:rPr>
                  <a:t>Counts (n)</a:t>
                </a:r>
              </a:p>
            </c:rich>
          </c:tx>
          <c:layout>
            <c:manualLayout>
              <c:xMode val="edge"/>
              <c:yMode val="edge"/>
              <c:x val="7.1508136381247603E-2"/>
              <c:y val="0.37321766019584302"/>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en-US"/>
          </a:p>
        </c:txPr>
        <c:crossAx val="94395385"/>
        <c:crosses val="autoZero"/>
        <c:crossBetween val="between"/>
      </c:valAx>
      <c:spPr>
        <a:solidFill>
          <a:srgbClr val="FFFFFF"/>
        </a:solidFill>
        <a:ln w="12600">
          <a:solidFill>
            <a:srgbClr val="FFFFFF"/>
          </a:solidFill>
          <a:round/>
        </a:ln>
      </c:spPr>
    </c:plotArea>
    <c:legend>
      <c:legendPos val="r"/>
      <c:layout>
        <c:manualLayout>
          <c:xMode val="edge"/>
          <c:yMode val="edge"/>
          <c:x val="0.36681518791166201"/>
          <c:y val="0.89735440645937103"/>
          <c:w val="0.29429713040319599"/>
          <c:h val="8.5473756550124597E-2"/>
        </c:manualLayout>
      </c:layout>
      <c:overlay val="1"/>
      <c:spPr>
        <a:solidFill>
          <a:srgbClr val="FFFFFF"/>
        </a:solidFill>
        <a:ln w="3240">
          <a:solidFill>
            <a:srgbClr val="FFFFFF"/>
          </a:solidFill>
          <a:round/>
        </a:ln>
      </c:spPr>
      <c:txPr>
        <a:bodyPr/>
        <a:lstStyle/>
        <a:p>
          <a:pPr>
            <a:defRPr sz="710" b="0" strike="noStrike" spc="-1">
              <a:solidFill>
                <a:srgbClr val="000000"/>
              </a:solidFill>
              <a:latin typeface="Arial"/>
              <a:ea typeface="Arial"/>
            </a:defRPr>
          </a:pPr>
          <a:endParaRPr lang="en-US"/>
        </a:p>
      </c:txPr>
    </c:legend>
    <c:plotVisOnly val="1"/>
    <c:dispBlanksAs val="gap"/>
    <c:showDLblsOverMax val="1"/>
  </c:chart>
  <c:spPr>
    <a:solidFill>
      <a:srgbClr val="FFFFFF"/>
    </a:solidFill>
    <a:ln w="12600">
      <a:solidFill>
        <a:srgbClr val="FFFFFF"/>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525" b="1" strike="noStrike" spc="-1">
                <a:solidFill>
                  <a:srgbClr val="000000"/>
                </a:solidFill>
                <a:latin typeface="Arial"/>
                <a:ea typeface="Arial"/>
              </a:defRPr>
            </a:pPr>
            <a:r>
              <a:rPr sz="1525" b="1" strike="noStrike" spc="-1">
                <a:solidFill>
                  <a:srgbClr val="000000"/>
                </a:solidFill>
                <a:latin typeface="Arial"/>
                <a:ea typeface="Arial"/>
              </a:rPr>
              <a:t>Actual versus target calibration level</a:t>
            </a:r>
          </a:p>
        </c:rich>
      </c:tx>
      <c:layout>
        <c:manualLayout>
          <c:xMode val="edge"/>
          <c:yMode val="edge"/>
          <c:x val="0.31915924060441703"/>
          <c:y val="3.4186565882150799E-2"/>
        </c:manualLayout>
      </c:layout>
      <c:overlay val="0"/>
      <c:spPr>
        <a:noFill/>
        <a:ln w="25560">
          <a:noFill/>
        </a:ln>
      </c:spPr>
    </c:title>
    <c:autoTitleDeleted val="0"/>
    <c:plotArea>
      <c:layout>
        <c:manualLayout>
          <c:layoutTarget val="inner"/>
          <c:xMode val="edge"/>
          <c:yMode val="edge"/>
          <c:x val="0.16069352963967501"/>
          <c:y val="0.20365916509190901"/>
          <c:w val="0.73365459124370402"/>
          <c:h val="0.50137433430681999"/>
        </c:manualLayout>
      </c:layout>
      <c:barChart>
        <c:barDir val="col"/>
        <c:grouping val="clustered"/>
        <c:varyColors val="0"/>
        <c:ser>
          <c:idx val="0"/>
          <c:order val="0"/>
          <c:tx>
            <c:v>Target Particle Count</c:v>
          </c:tx>
          <c:spPr>
            <a:solidFill>
              <a:srgbClr val="808080"/>
            </a:solidFill>
            <a:ln w="12600">
              <a:solidFill>
                <a:srgbClr val="000000"/>
              </a:solidFill>
              <a:round/>
            </a:ln>
          </c:spPr>
          <c:invertIfNegative val="0"/>
          <c:dLbls>
            <c:spPr>
              <a:noFill/>
              <a:ln>
                <a:noFill/>
              </a:ln>
              <a:effectLst/>
            </c:spPr>
            <c:txPr>
              <a:bodyPr/>
              <a:lstStyle/>
              <a:p>
                <a:pPr>
                  <a:defRPr sz="12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'RMF Certificate'!$D$28:$D$35</c:f>
              <c:strCache>
                <c:ptCount val="8"/>
                <c:pt idx="0">
                  <c:v>&gt;4</c:v>
                </c:pt>
                <c:pt idx="1">
                  <c:v>&gt;6</c:v>
                </c:pt>
                <c:pt idx="2">
                  <c:v>&gt;14</c:v>
                </c:pt>
                <c:pt idx="3">
                  <c:v>&gt;21</c:v>
                </c:pt>
                <c:pt idx="4">
                  <c:v>&gt;25</c:v>
                </c:pt>
                <c:pt idx="5">
                  <c:v>&gt;38</c:v>
                </c:pt>
                <c:pt idx="6">
                  <c:v>&gt;**50</c:v>
                </c:pt>
                <c:pt idx="7">
                  <c:v>&gt;**70</c:v>
                </c:pt>
              </c:strCache>
            </c:strRef>
          </c:cat>
          <c:val>
            <c:numRef>
              <c:f>'Calibration record'!$B$22:$B$29</c:f>
              <c:numCache>
                <c:formatCode>0</c:formatCode>
                <c:ptCount val="8"/>
                <c:pt idx="0">
                  <c:v>3481812.2857142859</c:v>
                </c:pt>
                <c:pt idx="1">
                  <c:v>1368160.8571428573</c:v>
                </c:pt>
                <c:pt idx="2">
                  <c:v>97342.21714285716</c:v>
                </c:pt>
                <c:pt idx="3">
                  <c:v>24221.302857142859</c:v>
                </c:pt>
                <c:pt idx="4">
                  <c:v>11396.58</c:v>
                </c:pt>
                <c:pt idx="5">
                  <c:v>1788.6061142857141</c:v>
                </c:pt>
                <c:pt idx="6">
                  <c:v>690.6498857142858</c:v>
                </c:pt>
                <c:pt idx="7">
                  <c:v>159.952</c:v>
                </c:pt>
              </c:numCache>
            </c:numRef>
          </c:val>
          <c:extLst>
            <c:ext xmlns:c16="http://schemas.microsoft.com/office/drawing/2014/chart" uri="{C3380CC4-5D6E-409C-BE32-E72D297353CC}">
              <c16:uniqueId val="{00000000-B9E7-4C4C-BE56-1E01E493E7FE}"/>
            </c:ext>
          </c:extLst>
        </c:ser>
        <c:ser>
          <c:idx val="1"/>
          <c:order val="1"/>
          <c:tx>
            <c:v>Actual Particle Count</c:v>
          </c:tx>
          <c:spPr>
            <a:solidFill>
              <a:srgbClr val="C0C0C0"/>
            </a:solidFill>
            <a:ln w="12600">
              <a:solidFill>
                <a:srgbClr val="000000"/>
              </a:solidFill>
              <a:round/>
            </a:ln>
          </c:spPr>
          <c:invertIfNegative val="0"/>
          <c:dLbls>
            <c:spPr>
              <a:noFill/>
              <a:ln>
                <a:noFill/>
              </a:ln>
              <a:effectLst/>
            </c:spPr>
            <c:txPr>
              <a:bodyPr/>
              <a:lstStyle/>
              <a:p>
                <a:pPr>
                  <a:defRPr sz="12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'RMF Certificate'!$D$28:$D$35</c:f>
              <c:strCache>
                <c:ptCount val="8"/>
                <c:pt idx="0">
                  <c:v>&gt;4</c:v>
                </c:pt>
                <c:pt idx="1">
                  <c:v>&gt;6</c:v>
                </c:pt>
                <c:pt idx="2">
                  <c:v>&gt;14</c:v>
                </c:pt>
                <c:pt idx="3">
                  <c:v>&gt;21</c:v>
                </c:pt>
                <c:pt idx="4">
                  <c:v>&gt;25</c:v>
                </c:pt>
                <c:pt idx="5">
                  <c:v>&gt;38</c:v>
                </c:pt>
                <c:pt idx="6">
                  <c:v>&gt;**50</c:v>
                </c:pt>
                <c:pt idx="7">
                  <c:v>&gt;**70</c:v>
                </c:pt>
              </c:strCache>
            </c:strRef>
          </c:cat>
          <c:val>
            <c:numRef>
              <c:f>'Calibration record'!$I$22:$I$29</c:f>
              <c:numCache>
                <c:formatCode>0</c:formatCode>
                <c:ptCount val="8"/>
                <c:pt idx="0">
                  <c:v>3515052.3333333335</c:v>
                </c:pt>
                <c:pt idx="1">
                  <c:v>1388815.3333333333</c:v>
                </c:pt>
                <c:pt idx="2">
                  <c:v>98910</c:v>
                </c:pt>
                <c:pt idx="3">
                  <c:v>24523</c:v>
                </c:pt>
                <c:pt idx="4">
                  <c:v>11296</c:v>
                </c:pt>
                <c:pt idx="5">
                  <c:v>1652</c:v>
                </c:pt>
                <c:pt idx="6">
                  <c:v>484.66666666666669</c:v>
                </c:pt>
                <c:pt idx="7">
                  <c:v>59</c:v>
                </c:pt>
              </c:numCache>
            </c:numRef>
          </c:val>
          <c:extLst>
            <c:ext xmlns:c16="http://schemas.microsoft.com/office/drawing/2014/chart" uri="{C3380CC4-5D6E-409C-BE32-E72D297353CC}">
              <c16:uniqueId val="{00000001-B9E7-4C4C-BE56-1E01E493E7FE}"/>
            </c:ext>
          </c:extLst>
        </c:ser>
        <c:dLbls>
          <c:showLegendKey val="0"/>
          <c:showVal val="0"/>
          <c:showCatName val="0"/>
          <c:showSerName val="0"/>
          <c:showPercent val="0"/>
          <c:showBubbleSize val="0"/>
        </c:dLbls>
        <c:gapWidth val="150"/>
        <c:axId val="41267292"/>
        <c:axId val="74305441"/>
      </c:barChart>
      <c:catAx>
        <c:axId val="41267292"/>
        <c:scaling>
          <c:orientation val="minMax"/>
        </c:scaling>
        <c:delete val="0"/>
        <c:axPos val="b"/>
        <c:title>
          <c:tx>
            <c:rich>
              <a:bodyPr rot="0"/>
              <a:lstStyle/>
              <a:p>
                <a:pPr>
                  <a:defRPr sz="925" b="1" strike="noStrike" spc="-1">
                    <a:solidFill>
                      <a:srgbClr val="000000"/>
                    </a:solidFill>
                    <a:latin typeface="Arial"/>
                    <a:ea typeface="Arial"/>
                  </a:defRPr>
                </a:pPr>
                <a:r>
                  <a:rPr sz="925" b="1" strike="noStrike" spc="-1">
                    <a:solidFill>
                      <a:srgbClr val="000000"/>
                    </a:solidFill>
                    <a:latin typeface="Arial"/>
                    <a:ea typeface="Arial"/>
                  </a:rPr>
                  <a:t>Channel Sizes (microns)</a:t>
                </a:r>
              </a:p>
            </c:rich>
          </c:tx>
          <c:layout>
            <c:manualLayout>
              <c:xMode val="edge"/>
              <c:yMode val="edge"/>
              <c:x val="0.45805889190236299"/>
              <c:y val="0.79762927332073497"/>
            </c:manualLayout>
          </c:layout>
          <c:overlay val="0"/>
          <c:spPr>
            <a:noFill/>
            <a:ln w="25560">
              <a:noFill/>
            </a:ln>
          </c:spPr>
        </c:title>
        <c:numFmt formatCode="General" sourceLinked="1"/>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en-US"/>
          </a:p>
        </c:txPr>
        <c:crossAx val="74305441"/>
        <c:crosses val="autoZero"/>
        <c:auto val="1"/>
        <c:lblAlgn val="ctr"/>
        <c:lblOffset val="100"/>
        <c:noMultiLvlLbl val="1"/>
      </c:catAx>
      <c:valAx>
        <c:axId val="74305441"/>
        <c:scaling>
          <c:logBase val="10"/>
          <c:orientation val="minMax"/>
          <c:min val="100"/>
        </c:scaling>
        <c:delete val="0"/>
        <c:axPos val="l"/>
        <c:majorGridlines>
          <c:spPr>
            <a:ln w="3240">
              <a:solidFill>
                <a:srgbClr val="969696"/>
              </a:solidFill>
              <a:prstDash val="sysDash"/>
              <a:round/>
            </a:ln>
          </c:spPr>
        </c:majorGridlines>
        <c:title>
          <c:tx>
            <c:rich>
              <a:bodyPr rot="-5400000"/>
              <a:lstStyle/>
              <a:p>
                <a:pPr>
                  <a:defRPr sz="925" b="1" strike="noStrike" spc="-1">
                    <a:solidFill>
                      <a:srgbClr val="000000"/>
                    </a:solidFill>
                    <a:latin typeface="Arial"/>
                    <a:ea typeface="Arial"/>
                  </a:defRPr>
                </a:pPr>
                <a:r>
                  <a:rPr sz="925" b="1" strike="noStrike" spc="-1">
                    <a:solidFill>
                      <a:srgbClr val="000000"/>
                    </a:solidFill>
                    <a:latin typeface="Arial"/>
                    <a:ea typeface="Arial"/>
                  </a:rPr>
                  <a:t>Counts (n)</a:t>
                </a:r>
              </a:p>
            </c:rich>
          </c:tx>
          <c:layout>
            <c:manualLayout>
              <c:xMode val="edge"/>
              <c:yMode val="edge"/>
              <c:x val="7.1508136381247603E-2"/>
              <c:y val="0.37321766019584302"/>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en-US"/>
          </a:p>
        </c:txPr>
        <c:crossAx val="41267292"/>
        <c:crosses val="autoZero"/>
        <c:crossBetween val="between"/>
      </c:valAx>
      <c:spPr>
        <a:solidFill>
          <a:srgbClr val="FFFFFF"/>
        </a:solidFill>
        <a:ln w="12600">
          <a:solidFill>
            <a:srgbClr val="FFFFFF"/>
          </a:solidFill>
          <a:round/>
        </a:ln>
      </c:spPr>
    </c:plotArea>
    <c:legend>
      <c:legendPos val="r"/>
      <c:layout>
        <c:manualLayout>
          <c:xMode val="edge"/>
          <c:yMode val="edge"/>
          <c:x val="0.36681518791166201"/>
          <c:y val="0.89735440645937103"/>
          <c:w val="0.29429713040319599"/>
          <c:h val="8.5473756550124597E-2"/>
        </c:manualLayout>
      </c:layout>
      <c:overlay val="1"/>
      <c:spPr>
        <a:solidFill>
          <a:srgbClr val="FFFFFF"/>
        </a:solidFill>
        <a:ln w="3240">
          <a:solidFill>
            <a:srgbClr val="FFFFFF"/>
          </a:solidFill>
          <a:round/>
        </a:ln>
      </c:spPr>
      <c:txPr>
        <a:bodyPr/>
        <a:lstStyle/>
        <a:p>
          <a:pPr>
            <a:defRPr sz="710" b="0" strike="noStrike" spc="-1">
              <a:solidFill>
                <a:srgbClr val="000000"/>
              </a:solidFill>
              <a:latin typeface="Arial"/>
              <a:ea typeface="Arial"/>
            </a:defRPr>
          </a:pPr>
          <a:endParaRPr lang="en-US"/>
        </a:p>
      </c:txPr>
    </c:legend>
    <c:plotVisOnly val="1"/>
    <c:dispBlanksAs val="gap"/>
    <c:showDLblsOverMax val="1"/>
  </c:chart>
  <c:spPr>
    <a:solidFill>
      <a:srgbClr val="FFFFFF"/>
    </a:solidFill>
    <a:ln w="12600">
      <a:solidFill>
        <a:srgbClr val="FFFFFF"/>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525" b="1" strike="noStrike" spc="-1">
                <a:solidFill>
                  <a:srgbClr val="000000"/>
                </a:solidFill>
                <a:latin typeface="Arial"/>
                <a:ea typeface="Arial"/>
              </a:defRPr>
            </a:pPr>
            <a:r>
              <a:rPr lang="en-GB" sz="1525" b="1" strike="noStrike" spc="-1">
                <a:solidFill>
                  <a:srgbClr val="000000"/>
                </a:solidFill>
                <a:latin typeface="Arial"/>
                <a:ea typeface="Arial"/>
              </a:rPr>
              <a:t>Actual versus target calibration level</a:t>
            </a:r>
          </a:p>
        </c:rich>
      </c:tx>
      <c:layout>
        <c:manualLayout>
          <c:xMode val="edge"/>
          <c:yMode val="edge"/>
          <c:x val="0.31915924060441703"/>
          <c:y val="3.4186565882150799E-2"/>
        </c:manualLayout>
      </c:layout>
      <c:overlay val="0"/>
      <c:spPr>
        <a:noFill/>
        <a:ln w="25560">
          <a:noFill/>
        </a:ln>
      </c:spPr>
    </c:title>
    <c:autoTitleDeleted val="0"/>
    <c:plotArea>
      <c:layout>
        <c:manualLayout>
          <c:layoutTarget val="inner"/>
          <c:xMode val="edge"/>
          <c:yMode val="edge"/>
          <c:x val="0.16069352963967501"/>
          <c:y val="0.20365916509190901"/>
          <c:w val="0.73365459124370402"/>
          <c:h val="0.50137433430681999"/>
        </c:manualLayout>
      </c:layout>
      <c:barChart>
        <c:barDir val="col"/>
        <c:grouping val="clustered"/>
        <c:varyColors val="0"/>
        <c:ser>
          <c:idx val="0"/>
          <c:order val="0"/>
          <c:tx>
            <c:v>Target Particle Count</c:v>
          </c:tx>
          <c:spPr>
            <a:solidFill>
              <a:srgbClr val="808080"/>
            </a:solidFill>
            <a:ln w="12600">
              <a:solidFill>
                <a:srgbClr val="000000"/>
              </a:solidFill>
              <a:round/>
            </a:ln>
          </c:spPr>
          <c:invertIfNegative val="0"/>
          <c:dLbls>
            <c:spPr>
              <a:noFill/>
              <a:ln>
                <a:noFill/>
              </a:ln>
              <a:effectLst/>
            </c:spPr>
            <c:txPr>
              <a:bodyPr/>
              <a:lstStyle/>
              <a:p>
                <a:pPr>
                  <a:defRPr sz="12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'CCJ Certificate'!$D$28:$D$35</c:f>
              <c:strCache>
                <c:ptCount val="8"/>
                <c:pt idx="0">
                  <c:v>&gt;4</c:v>
                </c:pt>
                <c:pt idx="1">
                  <c:v>&gt;6</c:v>
                </c:pt>
                <c:pt idx="2">
                  <c:v>&gt;14</c:v>
                </c:pt>
                <c:pt idx="3">
                  <c:v>&gt;21</c:v>
                </c:pt>
                <c:pt idx="4">
                  <c:v>&gt;25</c:v>
                </c:pt>
                <c:pt idx="5">
                  <c:v>&gt;38</c:v>
                </c:pt>
                <c:pt idx="6">
                  <c:v>&gt;**50</c:v>
                </c:pt>
                <c:pt idx="7">
                  <c:v>&gt;**70</c:v>
                </c:pt>
              </c:strCache>
            </c:strRef>
          </c:cat>
          <c:val>
            <c:numRef>
              <c:f>'Calibration record'!$B$22:$B$29</c:f>
              <c:numCache>
                <c:formatCode>0</c:formatCode>
                <c:ptCount val="8"/>
                <c:pt idx="0">
                  <c:v>3481812.2857142859</c:v>
                </c:pt>
                <c:pt idx="1">
                  <c:v>1368160.8571428573</c:v>
                </c:pt>
                <c:pt idx="2">
                  <c:v>97342.21714285716</c:v>
                </c:pt>
                <c:pt idx="3">
                  <c:v>24221.302857142859</c:v>
                </c:pt>
                <c:pt idx="4">
                  <c:v>11396.58</c:v>
                </c:pt>
                <c:pt idx="5">
                  <c:v>1788.6061142857141</c:v>
                </c:pt>
                <c:pt idx="6">
                  <c:v>690.6498857142858</c:v>
                </c:pt>
                <c:pt idx="7">
                  <c:v>159.952</c:v>
                </c:pt>
              </c:numCache>
            </c:numRef>
          </c:val>
          <c:extLst>
            <c:ext xmlns:c16="http://schemas.microsoft.com/office/drawing/2014/chart" uri="{C3380CC4-5D6E-409C-BE32-E72D297353CC}">
              <c16:uniqueId val="{00000000-F807-4314-861E-D7B9738AF6B6}"/>
            </c:ext>
          </c:extLst>
        </c:ser>
        <c:ser>
          <c:idx val="1"/>
          <c:order val="1"/>
          <c:tx>
            <c:v>Actual Particle Count</c:v>
          </c:tx>
          <c:spPr>
            <a:solidFill>
              <a:srgbClr val="C0C0C0"/>
            </a:solidFill>
            <a:ln w="12600">
              <a:solidFill>
                <a:srgbClr val="000000"/>
              </a:solidFill>
              <a:round/>
            </a:ln>
          </c:spPr>
          <c:invertIfNegative val="0"/>
          <c:dLbls>
            <c:spPr>
              <a:noFill/>
              <a:ln>
                <a:noFill/>
              </a:ln>
              <a:effectLst/>
            </c:spPr>
            <c:txPr>
              <a:bodyPr/>
              <a:lstStyle/>
              <a:p>
                <a:pPr>
                  <a:defRPr sz="12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'CCJ Certificate'!$D$28:$D$35</c:f>
              <c:strCache>
                <c:ptCount val="8"/>
                <c:pt idx="0">
                  <c:v>&gt;4</c:v>
                </c:pt>
                <c:pt idx="1">
                  <c:v>&gt;6</c:v>
                </c:pt>
                <c:pt idx="2">
                  <c:v>&gt;14</c:v>
                </c:pt>
                <c:pt idx="3">
                  <c:v>&gt;21</c:v>
                </c:pt>
                <c:pt idx="4">
                  <c:v>&gt;25</c:v>
                </c:pt>
                <c:pt idx="5">
                  <c:v>&gt;38</c:v>
                </c:pt>
                <c:pt idx="6">
                  <c:v>&gt;**50</c:v>
                </c:pt>
                <c:pt idx="7">
                  <c:v>&gt;**70</c:v>
                </c:pt>
              </c:strCache>
            </c:strRef>
          </c:cat>
          <c:val>
            <c:numRef>
              <c:f>'Calibration record'!$I$22:$I$29</c:f>
              <c:numCache>
                <c:formatCode>0</c:formatCode>
                <c:ptCount val="8"/>
                <c:pt idx="0">
                  <c:v>3515052.3333333335</c:v>
                </c:pt>
                <c:pt idx="1">
                  <c:v>1388815.3333333333</c:v>
                </c:pt>
                <c:pt idx="2">
                  <c:v>98910</c:v>
                </c:pt>
                <c:pt idx="3">
                  <c:v>24523</c:v>
                </c:pt>
                <c:pt idx="4">
                  <c:v>11296</c:v>
                </c:pt>
                <c:pt idx="5">
                  <c:v>1652</c:v>
                </c:pt>
                <c:pt idx="6">
                  <c:v>484.66666666666669</c:v>
                </c:pt>
                <c:pt idx="7">
                  <c:v>59</c:v>
                </c:pt>
              </c:numCache>
            </c:numRef>
          </c:val>
          <c:extLst>
            <c:ext xmlns:c16="http://schemas.microsoft.com/office/drawing/2014/chart" uri="{C3380CC4-5D6E-409C-BE32-E72D297353CC}">
              <c16:uniqueId val="{00000001-F807-4314-861E-D7B9738AF6B6}"/>
            </c:ext>
          </c:extLst>
        </c:ser>
        <c:dLbls>
          <c:showLegendKey val="0"/>
          <c:showVal val="0"/>
          <c:showCatName val="0"/>
          <c:showSerName val="0"/>
          <c:showPercent val="0"/>
          <c:showBubbleSize val="0"/>
        </c:dLbls>
        <c:gapWidth val="150"/>
        <c:axId val="93913000"/>
        <c:axId val="97087132"/>
      </c:barChart>
      <c:catAx>
        <c:axId val="93913000"/>
        <c:scaling>
          <c:orientation val="minMax"/>
        </c:scaling>
        <c:delete val="0"/>
        <c:axPos val="b"/>
        <c:title>
          <c:tx>
            <c:rich>
              <a:bodyPr rot="0"/>
              <a:lstStyle/>
              <a:p>
                <a:pPr>
                  <a:defRPr sz="925" b="1" strike="noStrike" spc="-1">
                    <a:solidFill>
                      <a:srgbClr val="000000"/>
                    </a:solidFill>
                    <a:latin typeface="Arial"/>
                    <a:ea typeface="Arial"/>
                  </a:defRPr>
                </a:pPr>
                <a:r>
                  <a:rPr lang="en-GB" sz="925" b="1" strike="noStrike" spc="-1">
                    <a:solidFill>
                      <a:srgbClr val="000000"/>
                    </a:solidFill>
                    <a:latin typeface="Arial"/>
                    <a:ea typeface="Arial"/>
                  </a:rPr>
                  <a:t>Channel Sizes (microns)</a:t>
                </a:r>
              </a:p>
            </c:rich>
          </c:tx>
          <c:layout>
            <c:manualLayout>
              <c:xMode val="edge"/>
              <c:yMode val="edge"/>
              <c:x val="0.45805889190236299"/>
              <c:y val="0.79762927332073497"/>
            </c:manualLayout>
          </c:layout>
          <c:overlay val="0"/>
          <c:spPr>
            <a:noFill/>
            <a:ln w="25560">
              <a:noFill/>
            </a:ln>
          </c:spPr>
        </c:title>
        <c:numFmt formatCode="General" sourceLinked="1"/>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en-US"/>
          </a:p>
        </c:txPr>
        <c:crossAx val="97087132"/>
        <c:crosses val="autoZero"/>
        <c:auto val="1"/>
        <c:lblAlgn val="ctr"/>
        <c:lblOffset val="100"/>
        <c:noMultiLvlLbl val="1"/>
      </c:catAx>
      <c:valAx>
        <c:axId val="97087132"/>
        <c:scaling>
          <c:logBase val="10"/>
          <c:orientation val="minMax"/>
          <c:min val="100"/>
        </c:scaling>
        <c:delete val="0"/>
        <c:axPos val="l"/>
        <c:majorGridlines>
          <c:spPr>
            <a:ln w="3240">
              <a:solidFill>
                <a:srgbClr val="969696"/>
              </a:solidFill>
              <a:prstDash val="sysDash"/>
              <a:round/>
            </a:ln>
          </c:spPr>
        </c:majorGridlines>
        <c:title>
          <c:tx>
            <c:rich>
              <a:bodyPr rot="-5400000"/>
              <a:lstStyle/>
              <a:p>
                <a:pPr>
                  <a:defRPr sz="925" b="1" strike="noStrike" spc="-1">
                    <a:solidFill>
                      <a:srgbClr val="000000"/>
                    </a:solidFill>
                    <a:latin typeface="Arial"/>
                    <a:ea typeface="Arial"/>
                  </a:defRPr>
                </a:pPr>
                <a:r>
                  <a:rPr lang="en-GB" sz="925" b="1" strike="noStrike" spc="-1">
                    <a:solidFill>
                      <a:srgbClr val="000000"/>
                    </a:solidFill>
                    <a:latin typeface="Arial"/>
                    <a:ea typeface="Arial"/>
                  </a:rPr>
                  <a:t>Counts (n)</a:t>
                </a:r>
              </a:p>
            </c:rich>
          </c:tx>
          <c:layout>
            <c:manualLayout>
              <c:xMode val="edge"/>
              <c:yMode val="edge"/>
              <c:x val="7.1508136381247603E-2"/>
              <c:y val="0.37321766019584302"/>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en-US"/>
          </a:p>
        </c:txPr>
        <c:crossAx val="93913000"/>
        <c:crosses val="autoZero"/>
        <c:crossBetween val="between"/>
      </c:valAx>
      <c:spPr>
        <a:solidFill>
          <a:srgbClr val="FFFFFF"/>
        </a:solidFill>
        <a:ln w="12600">
          <a:solidFill>
            <a:srgbClr val="FFFFFF"/>
          </a:solidFill>
          <a:round/>
        </a:ln>
      </c:spPr>
    </c:plotArea>
    <c:legend>
      <c:legendPos val="r"/>
      <c:layout>
        <c:manualLayout>
          <c:xMode val="edge"/>
          <c:yMode val="edge"/>
          <c:x val="0.36681518791166201"/>
          <c:y val="0.89735440645937103"/>
          <c:w val="0.29429713040319599"/>
          <c:h val="8.5473756550124597E-2"/>
        </c:manualLayout>
      </c:layout>
      <c:overlay val="1"/>
      <c:spPr>
        <a:solidFill>
          <a:srgbClr val="FFFFFF"/>
        </a:solidFill>
        <a:ln w="3240">
          <a:solidFill>
            <a:srgbClr val="FFFFFF"/>
          </a:solidFill>
          <a:round/>
        </a:ln>
      </c:spPr>
      <c:txPr>
        <a:bodyPr/>
        <a:lstStyle/>
        <a:p>
          <a:pPr>
            <a:defRPr sz="710" b="0" strike="noStrike" spc="-1">
              <a:solidFill>
                <a:srgbClr val="000000"/>
              </a:solidFill>
              <a:latin typeface="Arial"/>
              <a:ea typeface="Arial"/>
            </a:defRPr>
          </a:pPr>
          <a:endParaRPr lang="en-US"/>
        </a:p>
      </c:txPr>
    </c:legend>
    <c:plotVisOnly val="1"/>
    <c:dispBlanksAs val="gap"/>
    <c:showDLblsOverMax val="1"/>
  </c:chart>
  <c:spPr>
    <a:solidFill>
      <a:srgbClr val="FFFFFF"/>
    </a:solidFill>
    <a:ln w="12600">
      <a:solidFill>
        <a:srgbClr val="FFFFFF"/>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525" b="1" strike="noStrike" spc="-1">
                <a:solidFill>
                  <a:srgbClr val="000000"/>
                </a:solidFill>
                <a:latin typeface="Arial"/>
                <a:ea typeface="Arial"/>
              </a:defRPr>
            </a:pPr>
            <a:r>
              <a:rPr sz="1525" b="1" strike="noStrike" spc="-1">
                <a:solidFill>
                  <a:srgbClr val="000000"/>
                </a:solidFill>
                <a:latin typeface="Arial"/>
                <a:ea typeface="Arial"/>
              </a:rPr>
              <a:t>Actual versus target calibration level</a:t>
            </a:r>
          </a:p>
        </c:rich>
      </c:tx>
      <c:layout>
        <c:manualLayout>
          <c:xMode val="edge"/>
          <c:yMode val="edge"/>
          <c:x val="0.31915924060441703"/>
          <c:y val="3.4186565882150799E-2"/>
        </c:manualLayout>
      </c:layout>
      <c:overlay val="0"/>
      <c:spPr>
        <a:noFill/>
        <a:ln w="25560">
          <a:noFill/>
        </a:ln>
      </c:spPr>
    </c:title>
    <c:autoTitleDeleted val="0"/>
    <c:plotArea>
      <c:layout>
        <c:manualLayout>
          <c:layoutTarget val="inner"/>
          <c:xMode val="edge"/>
          <c:yMode val="edge"/>
          <c:x val="0.16069352963967501"/>
          <c:y val="0.20365916509190901"/>
          <c:w val="0.73365459124370402"/>
          <c:h val="0.50137433430681999"/>
        </c:manualLayout>
      </c:layout>
      <c:barChart>
        <c:barDir val="col"/>
        <c:grouping val="clustered"/>
        <c:varyColors val="0"/>
        <c:ser>
          <c:idx val="0"/>
          <c:order val="0"/>
          <c:tx>
            <c:v>Target Particle Count</c:v>
          </c:tx>
          <c:spPr>
            <a:solidFill>
              <a:srgbClr val="808080"/>
            </a:solidFill>
            <a:ln w="12600">
              <a:solidFill>
                <a:srgbClr val="000000"/>
              </a:solidFill>
              <a:round/>
            </a:ln>
          </c:spPr>
          <c:invertIfNegative val="0"/>
          <c:dLbls>
            <c:spPr>
              <a:noFill/>
              <a:ln>
                <a:noFill/>
              </a:ln>
              <a:effectLst/>
            </c:spPr>
            <c:txPr>
              <a:bodyPr/>
              <a:lstStyle/>
              <a:p>
                <a:pPr>
                  <a:defRPr sz="12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'Hanzaflex Certificate'!$D$28:$D$35</c:f>
              <c:strCache>
                <c:ptCount val="8"/>
                <c:pt idx="0">
                  <c:v>&gt;4</c:v>
                </c:pt>
                <c:pt idx="1">
                  <c:v>&gt;6</c:v>
                </c:pt>
                <c:pt idx="2">
                  <c:v>&gt;14</c:v>
                </c:pt>
                <c:pt idx="3">
                  <c:v>&gt;21</c:v>
                </c:pt>
                <c:pt idx="4">
                  <c:v>&gt;25</c:v>
                </c:pt>
                <c:pt idx="5">
                  <c:v>&gt;38</c:v>
                </c:pt>
                <c:pt idx="6">
                  <c:v>&gt;**50</c:v>
                </c:pt>
                <c:pt idx="7">
                  <c:v>&gt;**70</c:v>
                </c:pt>
              </c:strCache>
            </c:strRef>
          </c:cat>
          <c:val>
            <c:numRef>
              <c:f>'Calibration record'!$B$22:$B$29</c:f>
              <c:numCache>
                <c:formatCode>0</c:formatCode>
                <c:ptCount val="8"/>
                <c:pt idx="0">
                  <c:v>3481812.2857142859</c:v>
                </c:pt>
                <c:pt idx="1">
                  <c:v>1368160.8571428573</c:v>
                </c:pt>
                <c:pt idx="2">
                  <c:v>97342.21714285716</c:v>
                </c:pt>
                <c:pt idx="3">
                  <c:v>24221.302857142859</c:v>
                </c:pt>
                <c:pt idx="4">
                  <c:v>11396.58</c:v>
                </c:pt>
                <c:pt idx="5">
                  <c:v>1788.6061142857141</c:v>
                </c:pt>
                <c:pt idx="6">
                  <c:v>690.6498857142858</c:v>
                </c:pt>
                <c:pt idx="7">
                  <c:v>159.952</c:v>
                </c:pt>
              </c:numCache>
            </c:numRef>
          </c:val>
          <c:extLst>
            <c:ext xmlns:c16="http://schemas.microsoft.com/office/drawing/2014/chart" uri="{C3380CC4-5D6E-409C-BE32-E72D297353CC}">
              <c16:uniqueId val="{00000000-13EC-4365-94B1-F92525937871}"/>
            </c:ext>
          </c:extLst>
        </c:ser>
        <c:ser>
          <c:idx val="1"/>
          <c:order val="1"/>
          <c:tx>
            <c:v>Actual Particle Count</c:v>
          </c:tx>
          <c:spPr>
            <a:solidFill>
              <a:srgbClr val="C0C0C0"/>
            </a:solidFill>
            <a:ln w="12600">
              <a:solidFill>
                <a:srgbClr val="000000"/>
              </a:solidFill>
              <a:round/>
            </a:ln>
          </c:spPr>
          <c:invertIfNegative val="0"/>
          <c:dLbls>
            <c:spPr>
              <a:noFill/>
              <a:ln>
                <a:noFill/>
              </a:ln>
              <a:effectLst/>
            </c:spPr>
            <c:txPr>
              <a:bodyPr/>
              <a:lstStyle/>
              <a:p>
                <a:pPr>
                  <a:defRPr sz="12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'Hanzaflex Certificate'!$D$28:$D$35</c:f>
              <c:strCache>
                <c:ptCount val="8"/>
                <c:pt idx="0">
                  <c:v>&gt;4</c:v>
                </c:pt>
                <c:pt idx="1">
                  <c:v>&gt;6</c:v>
                </c:pt>
                <c:pt idx="2">
                  <c:v>&gt;14</c:v>
                </c:pt>
                <c:pt idx="3">
                  <c:v>&gt;21</c:v>
                </c:pt>
                <c:pt idx="4">
                  <c:v>&gt;25</c:v>
                </c:pt>
                <c:pt idx="5">
                  <c:v>&gt;38</c:v>
                </c:pt>
                <c:pt idx="6">
                  <c:v>&gt;**50</c:v>
                </c:pt>
                <c:pt idx="7">
                  <c:v>&gt;**70</c:v>
                </c:pt>
              </c:strCache>
            </c:strRef>
          </c:cat>
          <c:val>
            <c:numRef>
              <c:f>'Calibration record'!$I$22:$I$29</c:f>
              <c:numCache>
                <c:formatCode>0</c:formatCode>
                <c:ptCount val="8"/>
                <c:pt idx="0">
                  <c:v>3515052.3333333335</c:v>
                </c:pt>
                <c:pt idx="1">
                  <c:v>1388815.3333333333</c:v>
                </c:pt>
                <c:pt idx="2">
                  <c:v>98910</c:v>
                </c:pt>
                <c:pt idx="3">
                  <c:v>24523</c:v>
                </c:pt>
                <c:pt idx="4">
                  <c:v>11296</c:v>
                </c:pt>
                <c:pt idx="5">
                  <c:v>1652</c:v>
                </c:pt>
                <c:pt idx="6">
                  <c:v>484.66666666666669</c:v>
                </c:pt>
                <c:pt idx="7">
                  <c:v>59</c:v>
                </c:pt>
              </c:numCache>
            </c:numRef>
          </c:val>
          <c:extLst>
            <c:ext xmlns:c16="http://schemas.microsoft.com/office/drawing/2014/chart" uri="{C3380CC4-5D6E-409C-BE32-E72D297353CC}">
              <c16:uniqueId val="{00000001-13EC-4365-94B1-F92525937871}"/>
            </c:ext>
          </c:extLst>
        </c:ser>
        <c:dLbls>
          <c:showLegendKey val="0"/>
          <c:showVal val="0"/>
          <c:showCatName val="0"/>
          <c:showSerName val="0"/>
          <c:showPercent val="0"/>
          <c:showBubbleSize val="0"/>
        </c:dLbls>
        <c:gapWidth val="150"/>
        <c:axId val="6535068"/>
        <c:axId val="89150175"/>
      </c:barChart>
      <c:catAx>
        <c:axId val="6535068"/>
        <c:scaling>
          <c:orientation val="minMax"/>
        </c:scaling>
        <c:delete val="0"/>
        <c:axPos val="b"/>
        <c:title>
          <c:tx>
            <c:rich>
              <a:bodyPr rot="0"/>
              <a:lstStyle/>
              <a:p>
                <a:pPr>
                  <a:defRPr sz="925" b="1" strike="noStrike" spc="-1">
                    <a:solidFill>
                      <a:srgbClr val="000000"/>
                    </a:solidFill>
                    <a:latin typeface="Arial"/>
                    <a:ea typeface="Arial"/>
                  </a:defRPr>
                </a:pPr>
                <a:r>
                  <a:rPr sz="925" b="1" strike="noStrike" spc="-1">
                    <a:solidFill>
                      <a:srgbClr val="000000"/>
                    </a:solidFill>
                    <a:latin typeface="Arial"/>
                    <a:ea typeface="Arial"/>
                  </a:rPr>
                  <a:t>Channel Sizes (microns)</a:t>
                </a:r>
              </a:p>
            </c:rich>
          </c:tx>
          <c:layout>
            <c:manualLayout>
              <c:xMode val="edge"/>
              <c:yMode val="edge"/>
              <c:x val="0.45805889190236299"/>
              <c:y val="0.79762927332073497"/>
            </c:manualLayout>
          </c:layout>
          <c:overlay val="0"/>
          <c:spPr>
            <a:noFill/>
            <a:ln w="25560">
              <a:noFill/>
            </a:ln>
          </c:spPr>
        </c:title>
        <c:numFmt formatCode="General" sourceLinked="1"/>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en-US"/>
          </a:p>
        </c:txPr>
        <c:crossAx val="89150175"/>
        <c:crosses val="autoZero"/>
        <c:auto val="1"/>
        <c:lblAlgn val="ctr"/>
        <c:lblOffset val="100"/>
        <c:noMultiLvlLbl val="1"/>
      </c:catAx>
      <c:valAx>
        <c:axId val="89150175"/>
        <c:scaling>
          <c:logBase val="10"/>
          <c:orientation val="minMax"/>
          <c:min val="100"/>
        </c:scaling>
        <c:delete val="0"/>
        <c:axPos val="l"/>
        <c:majorGridlines>
          <c:spPr>
            <a:ln w="3240">
              <a:solidFill>
                <a:srgbClr val="969696"/>
              </a:solidFill>
              <a:prstDash val="sysDash"/>
              <a:round/>
            </a:ln>
          </c:spPr>
        </c:majorGridlines>
        <c:title>
          <c:tx>
            <c:rich>
              <a:bodyPr rot="-5400000"/>
              <a:lstStyle/>
              <a:p>
                <a:pPr>
                  <a:defRPr sz="925" b="1" strike="noStrike" spc="-1">
                    <a:solidFill>
                      <a:srgbClr val="000000"/>
                    </a:solidFill>
                    <a:latin typeface="Arial"/>
                    <a:ea typeface="Arial"/>
                  </a:defRPr>
                </a:pPr>
                <a:r>
                  <a:rPr sz="925" b="1" strike="noStrike" spc="-1">
                    <a:solidFill>
                      <a:srgbClr val="000000"/>
                    </a:solidFill>
                    <a:latin typeface="Arial"/>
                    <a:ea typeface="Arial"/>
                  </a:rPr>
                  <a:t>Counts (n)</a:t>
                </a:r>
              </a:p>
            </c:rich>
          </c:tx>
          <c:layout>
            <c:manualLayout>
              <c:xMode val="edge"/>
              <c:yMode val="edge"/>
              <c:x val="7.1508136381247603E-2"/>
              <c:y val="0.37321766019584302"/>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en-US"/>
          </a:p>
        </c:txPr>
        <c:crossAx val="6535068"/>
        <c:crosses val="autoZero"/>
        <c:crossBetween val="between"/>
      </c:valAx>
      <c:spPr>
        <a:solidFill>
          <a:srgbClr val="FFFFFF"/>
        </a:solidFill>
        <a:ln w="12600">
          <a:solidFill>
            <a:srgbClr val="FFFFFF"/>
          </a:solidFill>
          <a:round/>
        </a:ln>
      </c:spPr>
    </c:plotArea>
    <c:legend>
      <c:legendPos val="r"/>
      <c:layout>
        <c:manualLayout>
          <c:xMode val="edge"/>
          <c:yMode val="edge"/>
          <c:x val="0.36681518791166201"/>
          <c:y val="0.89735440645937103"/>
          <c:w val="0.29429713040319599"/>
          <c:h val="8.5473756550124597E-2"/>
        </c:manualLayout>
      </c:layout>
      <c:overlay val="1"/>
      <c:spPr>
        <a:solidFill>
          <a:srgbClr val="FFFFFF"/>
        </a:solidFill>
        <a:ln w="3240">
          <a:solidFill>
            <a:srgbClr val="FFFFFF"/>
          </a:solidFill>
          <a:round/>
        </a:ln>
      </c:spPr>
      <c:txPr>
        <a:bodyPr/>
        <a:lstStyle/>
        <a:p>
          <a:pPr>
            <a:defRPr sz="710" b="0" strike="noStrike" spc="-1">
              <a:solidFill>
                <a:srgbClr val="000000"/>
              </a:solidFill>
              <a:latin typeface="Arial"/>
              <a:ea typeface="Arial"/>
            </a:defRPr>
          </a:pPr>
          <a:endParaRPr lang="en-US"/>
        </a:p>
      </c:txPr>
    </c:legend>
    <c:plotVisOnly val="1"/>
    <c:dispBlanksAs val="gap"/>
    <c:showDLblsOverMax val="1"/>
  </c:chart>
  <c:spPr>
    <a:solidFill>
      <a:srgbClr val="FFFFFF"/>
    </a:solidFill>
    <a:ln w="12600">
      <a:solidFill>
        <a:srgbClr val="FFFFFF"/>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525" b="1" strike="noStrike" spc="-1">
                <a:solidFill>
                  <a:srgbClr val="000000"/>
                </a:solidFill>
                <a:latin typeface="Arial"/>
                <a:ea typeface="Arial"/>
              </a:defRPr>
            </a:pPr>
            <a:r>
              <a:rPr sz="1525" b="1" strike="noStrike" spc="-1">
                <a:solidFill>
                  <a:srgbClr val="000000"/>
                </a:solidFill>
                <a:latin typeface="Arial"/>
                <a:ea typeface="Arial"/>
              </a:rPr>
              <a:t>Actual versus target calibration level</a:t>
            </a:r>
          </a:p>
        </c:rich>
      </c:tx>
      <c:layout>
        <c:manualLayout>
          <c:xMode val="edge"/>
          <c:yMode val="edge"/>
          <c:x val="0.31915924060441703"/>
          <c:y val="3.4186565882150799E-2"/>
        </c:manualLayout>
      </c:layout>
      <c:overlay val="0"/>
      <c:spPr>
        <a:noFill/>
        <a:ln w="25560">
          <a:noFill/>
        </a:ln>
      </c:spPr>
    </c:title>
    <c:autoTitleDeleted val="0"/>
    <c:plotArea>
      <c:layout>
        <c:manualLayout>
          <c:layoutTarget val="inner"/>
          <c:xMode val="edge"/>
          <c:yMode val="edge"/>
          <c:x val="0.16069352963967501"/>
          <c:y val="0.20365916509190901"/>
          <c:w val="0.73365459124370402"/>
          <c:h val="0.50137433430681999"/>
        </c:manualLayout>
      </c:layout>
      <c:barChart>
        <c:barDir val="col"/>
        <c:grouping val="clustered"/>
        <c:varyColors val="0"/>
        <c:ser>
          <c:idx val="0"/>
          <c:order val="0"/>
          <c:tx>
            <c:v>Target Particle Count</c:v>
          </c:tx>
          <c:spPr>
            <a:solidFill>
              <a:srgbClr val="808080"/>
            </a:solidFill>
            <a:ln w="12600">
              <a:solidFill>
                <a:srgbClr val="000000"/>
              </a:solidFill>
              <a:round/>
            </a:ln>
          </c:spPr>
          <c:invertIfNegative val="0"/>
          <c:dLbls>
            <c:spPr>
              <a:noFill/>
              <a:ln>
                <a:noFill/>
              </a:ln>
              <a:effectLst/>
            </c:spPr>
            <c:txPr>
              <a:bodyPr/>
              <a:lstStyle/>
              <a:p>
                <a:pPr>
                  <a:defRPr sz="12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'ICM SUNHML Certificate'!$D$28:$D$35</c:f>
              <c:strCache>
                <c:ptCount val="8"/>
                <c:pt idx="0">
                  <c:v>&gt;4</c:v>
                </c:pt>
                <c:pt idx="1">
                  <c:v>&gt;6</c:v>
                </c:pt>
                <c:pt idx="2">
                  <c:v>&gt;14</c:v>
                </c:pt>
                <c:pt idx="3">
                  <c:v>&gt;21</c:v>
                </c:pt>
                <c:pt idx="4">
                  <c:v>&gt;25</c:v>
                </c:pt>
                <c:pt idx="5">
                  <c:v>&gt;38</c:v>
                </c:pt>
                <c:pt idx="6">
                  <c:v>&gt;**50</c:v>
                </c:pt>
                <c:pt idx="7">
                  <c:v>&gt;**70</c:v>
                </c:pt>
              </c:strCache>
            </c:strRef>
          </c:cat>
          <c:val>
            <c:numRef>
              <c:f>'Calibration record'!$B$22:$B$29</c:f>
              <c:numCache>
                <c:formatCode>0</c:formatCode>
                <c:ptCount val="8"/>
                <c:pt idx="0">
                  <c:v>3481812.2857142859</c:v>
                </c:pt>
                <c:pt idx="1">
                  <c:v>1368160.8571428573</c:v>
                </c:pt>
                <c:pt idx="2">
                  <c:v>97342.21714285716</c:v>
                </c:pt>
                <c:pt idx="3">
                  <c:v>24221.302857142859</c:v>
                </c:pt>
                <c:pt idx="4">
                  <c:v>11396.58</c:v>
                </c:pt>
                <c:pt idx="5">
                  <c:v>1788.6061142857141</c:v>
                </c:pt>
                <c:pt idx="6">
                  <c:v>690.6498857142858</c:v>
                </c:pt>
                <c:pt idx="7">
                  <c:v>159.952</c:v>
                </c:pt>
              </c:numCache>
            </c:numRef>
          </c:val>
          <c:extLst>
            <c:ext xmlns:c16="http://schemas.microsoft.com/office/drawing/2014/chart" uri="{C3380CC4-5D6E-409C-BE32-E72D297353CC}">
              <c16:uniqueId val="{00000000-0660-4DA8-8514-EE7F2C204C38}"/>
            </c:ext>
          </c:extLst>
        </c:ser>
        <c:ser>
          <c:idx val="1"/>
          <c:order val="1"/>
          <c:tx>
            <c:v>Actual Particle Count</c:v>
          </c:tx>
          <c:spPr>
            <a:solidFill>
              <a:srgbClr val="C0C0C0"/>
            </a:solidFill>
            <a:ln w="12600">
              <a:solidFill>
                <a:srgbClr val="000000"/>
              </a:solidFill>
              <a:round/>
            </a:ln>
          </c:spPr>
          <c:invertIfNegative val="0"/>
          <c:dLbls>
            <c:spPr>
              <a:noFill/>
              <a:ln>
                <a:noFill/>
              </a:ln>
              <a:effectLst/>
            </c:spPr>
            <c:txPr>
              <a:bodyPr/>
              <a:lstStyle/>
              <a:p>
                <a:pPr>
                  <a:defRPr sz="12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'ICM SUNHML Certificate'!$D$28:$D$35</c:f>
              <c:strCache>
                <c:ptCount val="8"/>
                <c:pt idx="0">
                  <c:v>&gt;4</c:v>
                </c:pt>
                <c:pt idx="1">
                  <c:v>&gt;6</c:v>
                </c:pt>
                <c:pt idx="2">
                  <c:v>&gt;14</c:v>
                </c:pt>
                <c:pt idx="3">
                  <c:v>&gt;21</c:v>
                </c:pt>
                <c:pt idx="4">
                  <c:v>&gt;25</c:v>
                </c:pt>
                <c:pt idx="5">
                  <c:v>&gt;38</c:v>
                </c:pt>
                <c:pt idx="6">
                  <c:v>&gt;**50</c:v>
                </c:pt>
                <c:pt idx="7">
                  <c:v>&gt;**70</c:v>
                </c:pt>
              </c:strCache>
            </c:strRef>
          </c:cat>
          <c:val>
            <c:numRef>
              <c:f>'Calibration record'!$I$22:$I$29</c:f>
              <c:numCache>
                <c:formatCode>0</c:formatCode>
                <c:ptCount val="8"/>
                <c:pt idx="0">
                  <c:v>3515052.3333333335</c:v>
                </c:pt>
                <c:pt idx="1">
                  <c:v>1388815.3333333333</c:v>
                </c:pt>
                <c:pt idx="2">
                  <c:v>98910</c:v>
                </c:pt>
                <c:pt idx="3">
                  <c:v>24523</c:v>
                </c:pt>
                <c:pt idx="4">
                  <c:v>11296</c:v>
                </c:pt>
                <c:pt idx="5">
                  <c:v>1652</c:v>
                </c:pt>
                <c:pt idx="6">
                  <c:v>484.66666666666669</c:v>
                </c:pt>
                <c:pt idx="7">
                  <c:v>59</c:v>
                </c:pt>
              </c:numCache>
            </c:numRef>
          </c:val>
          <c:extLst>
            <c:ext xmlns:c16="http://schemas.microsoft.com/office/drawing/2014/chart" uri="{C3380CC4-5D6E-409C-BE32-E72D297353CC}">
              <c16:uniqueId val="{00000001-0660-4DA8-8514-EE7F2C204C38}"/>
            </c:ext>
          </c:extLst>
        </c:ser>
        <c:dLbls>
          <c:showLegendKey val="0"/>
          <c:showVal val="0"/>
          <c:showCatName val="0"/>
          <c:showSerName val="0"/>
          <c:showPercent val="0"/>
          <c:showBubbleSize val="0"/>
        </c:dLbls>
        <c:gapWidth val="150"/>
        <c:axId val="92329810"/>
        <c:axId val="27202353"/>
      </c:barChart>
      <c:catAx>
        <c:axId val="92329810"/>
        <c:scaling>
          <c:orientation val="minMax"/>
        </c:scaling>
        <c:delete val="0"/>
        <c:axPos val="b"/>
        <c:title>
          <c:tx>
            <c:rich>
              <a:bodyPr rot="0"/>
              <a:lstStyle/>
              <a:p>
                <a:pPr>
                  <a:defRPr sz="925" b="1" strike="noStrike" spc="-1">
                    <a:solidFill>
                      <a:srgbClr val="000000"/>
                    </a:solidFill>
                    <a:latin typeface="Arial"/>
                    <a:ea typeface="Arial"/>
                  </a:defRPr>
                </a:pPr>
                <a:r>
                  <a:rPr sz="925" b="1" strike="noStrike" spc="-1">
                    <a:solidFill>
                      <a:srgbClr val="000000"/>
                    </a:solidFill>
                    <a:latin typeface="Arial"/>
                    <a:ea typeface="Arial"/>
                  </a:rPr>
                  <a:t>Channel Sizes (microns)</a:t>
                </a:r>
              </a:p>
            </c:rich>
          </c:tx>
          <c:layout>
            <c:manualLayout>
              <c:xMode val="edge"/>
              <c:yMode val="edge"/>
              <c:x val="0.45805889190236299"/>
              <c:y val="0.79762927332073497"/>
            </c:manualLayout>
          </c:layout>
          <c:overlay val="0"/>
          <c:spPr>
            <a:noFill/>
            <a:ln w="25560">
              <a:noFill/>
            </a:ln>
          </c:spPr>
        </c:title>
        <c:numFmt formatCode="General" sourceLinked="1"/>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en-US"/>
          </a:p>
        </c:txPr>
        <c:crossAx val="27202353"/>
        <c:crosses val="autoZero"/>
        <c:auto val="1"/>
        <c:lblAlgn val="ctr"/>
        <c:lblOffset val="100"/>
        <c:noMultiLvlLbl val="1"/>
      </c:catAx>
      <c:valAx>
        <c:axId val="27202353"/>
        <c:scaling>
          <c:logBase val="10"/>
          <c:orientation val="minMax"/>
          <c:min val="100"/>
        </c:scaling>
        <c:delete val="0"/>
        <c:axPos val="l"/>
        <c:majorGridlines>
          <c:spPr>
            <a:ln w="3240">
              <a:solidFill>
                <a:srgbClr val="969696"/>
              </a:solidFill>
              <a:prstDash val="sysDash"/>
              <a:round/>
            </a:ln>
          </c:spPr>
        </c:majorGridlines>
        <c:title>
          <c:tx>
            <c:rich>
              <a:bodyPr rot="-5400000"/>
              <a:lstStyle/>
              <a:p>
                <a:pPr>
                  <a:defRPr sz="925" b="1" strike="noStrike" spc="-1">
                    <a:solidFill>
                      <a:srgbClr val="000000"/>
                    </a:solidFill>
                    <a:latin typeface="Arial"/>
                    <a:ea typeface="Arial"/>
                  </a:defRPr>
                </a:pPr>
                <a:r>
                  <a:rPr sz="925" b="1" strike="noStrike" spc="-1">
                    <a:solidFill>
                      <a:srgbClr val="000000"/>
                    </a:solidFill>
                    <a:latin typeface="Arial"/>
                    <a:ea typeface="Arial"/>
                  </a:rPr>
                  <a:t>Counts (n)</a:t>
                </a:r>
              </a:p>
            </c:rich>
          </c:tx>
          <c:layout>
            <c:manualLayout>
              <c:xMode val="edge"/>
              <c:yMode val="edge"/>
              <c:x val="7.1508136381247603E-2"/>
              <c:y val="0.37321766019584302"/>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en-US"/>
          </a:p>
        </c:txPr>
        <c:crossAx val="92329810"/>
        <c:crosses val="autoZero"/>
        <c:crossBetween val="between"/>
      </c:valAx>
      <c:spPr>
        <a:solidFill>
          <a:srgbClr val="FFFFFF"/>
        </a:solidFill>
        <a:ln w="12600">
          <a:solidFill>
            <a:srgbClr val="FFFFFF"/>
          </a:solidFill>
          <a:round/>
        </a:ln>
      </c:spPr>
    </c:plotArea>
    <c:legend>
      <c:legendPos val="r"/>
      <c:layout>
        <c:manualLayout>
          <c:xMode val="edge"/>
          <c:yMode val="edge"/>
          <c:x val="0.36681518791166201"/>
          <c:y val="0.89735440645937103"/>
          <c:w val="0.29429713040319599"/>
          <c:h val="8.5473756550124597E-2"/>
        </c:manualLayout>
      </c:layout>
      <c:overlay val="1"/>
      <c:spPr>
        <a:solidFill>
          <a:srgbClr val="FFFFFF"/>
        </a:solidFill>
        <a:ln w="3240">
          <a:solidFill>
            <a:srgbClr val="FFFFFF"/>
          </a:solidFill>
          <a:round/>
        </a:ln>
      </c:spPr>
      <c:txPr>
        <a:bodyPr/>
        <a:lstStyle/>
        <a:p>
          <a:pPr>
            <a:defRPr sz="710" b="0" strike="noStrike" spc="-1">
              <a:solidFill>
                <a:srgbClr val="000000"/>
              </a:solidFill>
              <a:latin typeface="Arial"/>
              <a:ea typeface="Arial"/>
            </a:defRPr>
          </a:pPr>
          <a:endParaRPr lang="en-US"/>
        </a:p>
      </c:txPr>
    </c:legend>
    <c:plotVisOnly val="1"/>
    <c:dispBlanksAs val="gap"/>
    <c:showDLblsOverMax val="1"/>
  </c:chart>
  <c:spPr>
    <a:solidFill>
      <a:srgbClr val="FFFFFF"/>
    </a:solidFill>
    <a:ln w="12600">
      <a:solidFill>
        <a:srgbClr val="FFFFFF"/>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525" b="1" strike="noStrike" spc="-1">
                <a:solidFill>
                  <a:srgbClr val="000000"/>
                </a:solidFill>
                <a:latin typeface="Arial"/>
                <a:ea typeface="Arial"/>
              </a:defRPr>
            </a:pPr>
            <a:r>
              <a:rPr sz="1525" b="1" strike="noStrike" spc="-1">
                <a:solidFill>
                  <a:srgbClr val="000000"/>
                </a:solidFill>
                <a:latin typeface="Arial"/>
                <a:ea typeface="Arial"/>
              </a:rPr>
              <a:t>Actual versus target calibration level</a:t>
            </a:r>
          </a:p>
        </c:rich>
      </c:tx>
      <c:layout>
        <c:manualLayout>
          <c:xMode val="edge"/>
          <c:yMode val="edge"/>
          <c:x val="0.31915924060441703"/>
          <c:y val="3.4186565882150799E-2"/>
        </c:manualLayout>
      </c:layout>
      <c:overlay val="0"/>
      <c:spPr>
        <a:noFill/>
        <a:ln w="25560">
          <a:noFill/>
        </a:ln>
      </c:spPr>
    </c:title>
    <c:autoTitleDeleted val="0"/>
    <c:plotArea>
      <c:layout>
        <c:manualLayout>
          <c:layoutTarget val="inner"/>
          <c:xMode val="edge"/>
          <c:yMode val="edge"/>
          <c:x val="0.16069352963967501"/>
          <c:y val="0.20365916509190901"/>
          <c:w val="0.73365459124370402"/>
          <c:h val="0.50137433430681999"/>
        </c:manualLayout>
      </c:layout>
      <c:barChart>
        <c:barDir val="col"/>
        <c:grouping val="clustered"/>
        <c:varyColors val="0"/>
        <c:ser>
          <c:idx val="0"/>
          <c:order val="0"/>
          <c:tx>
            <c:v>Target Particle Count</c:v>
          </c:tx>
          <c:spPr>
            <a:solidFill>
              <a:srgbClr val="808080"/>
            </a:solidFill>
            <a:ln w="12600">
              <a:solidFill>
                <a:srgbClr val="000000"/>
              </a:solidFill>
              <a:round/>
            </a:ln>
          </c:spPr>
          <c:invertIfNegative val="0"/>
          <c:dLbls>
            <c:spPr>
              <a:noFill/>
              <a:ln>
                <a:noFill/>
              </a:ln>
              <a:effectLst/>
            </c:spPr>
            <c:txPr>
              <a:bodyPr/>
              <a:lstStyle/>
              <a:p>
                <a:pPr>
                  <a:defRPr sz="12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'Calibration record'!$B$22:$B$29</c:f>
              <c:numCache>
                <c:formatCode>0</c:formatCode>
                <c:ptCount val="8"/>
                <c:pt idx="0">
                  <c:v>3481812.2857142859</c:v>
                </c:pt>
                <c:pt idx="1">
                  <c:v>1368160.8571428573</c:v>
                </c:pt>
                <c:pt idx="2">
                  <c:v>97342.21714285716</c:v>
                </c:pt>
                <c:pt idx="3">
                  <c:v>24221.302857142859</c:v>
                </c:pt>
                <c:pt idx="4">
                  <c:v>11396.58</c:v>
                </c:pt>
                <c:pt idx="5">
                  <c:v>1788.6061142857141</c:v>
                </c:pt>
                <c:pt idx="6">
                  <c:v>690.6498857142858</c:v>
                </c:pt>
                <c:pt idx="7">
                  <c:v>159.952</c:v>
                </c:pt>
              </c:numCache>
            </c:numRef>
          </c:val>
          <c:extLst>
            <c:ext xmlns:c16="http://schemas.microsoft.com/office/drawing/2014/chart" uri="{C3380CC4-5D6E-409C-BE32-E72D297353CC}">
              <c16:uniqueId val="{00000000-6150-4E3B-AB1C-D0115807EC51}"/>
            </c:ext>
          </c:extLst>
        </c:ser>
        <c:ser>
          <c:idx val="1"/>
          <c:order val="1"/>
          <c:tx>
            <c:v>Actual Particle Count</c:v>
          </c:tx>
          <c:spPr>
            <a:solidFill>
              <a:srgbClr val="C0C0C0"/>
            </a:solidFill>
            <a:ln w="12600">
              <a:solidFill>
                <a:srgbClr val="000000"/>
              </a:solidFill>
              <a:round/>
            </a:ln>
          </c:spPr>
          <c:invertIfNegative val="0"/>
          <c:dLbls>
            <c:spPr>
              <a:noFill/>
              <a:ln>
                <a:noFill/>
              </a:ln>
              <a:effectLst/>
            </c:spPr>
            <c:txPr>
              <a:bodyPr/>
              <a:lstStyle/>
              <a:p>
                <a:pPr>
                  <a:defRPr sz="12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'Calibration record'!$I$22:$I$29</c:f>
              <c:numCache>
                <c:formatCode>0</c:formatCode>
                <c:ptCount val="8"/>
                <c:pt idx="0">
                  <c:v>3515052.3333333335</c:v>
                </c:pt>
                <c:pt idx="1">
                  <c:v>1388815.3333333333</c:v>
                </c:pt>
                <c:pt idx="2">
                  <c:v>98910</c:v>
                </c:pt>
                <c:pt idx="3">
                  <c:v>24523</c:v>
                </c:pt>
                <c:pt idx="4">
                  <c:v>11296</c:v>
                </c:pt>
                <c:pt idx="5">
                  <c:v>1652</c:v>
                </c:pt>
                <c:pt idx="6">
                  <c:v>484.66666666666669</c:v>
                </c:pt>
                <c:pt idx="7">
                  <c:v>59</c:v>
                </c:pt>
              </c:numCache>
            </c:numRef>
          </c:val>
          <c:extLst>
            <c:ext xmlns:c16="http://schemas.microsoft.com/office/drawing/2014/chart" uri="{C3380CC4-5D6E-409C-BE32-E72D297353CC}">
              <c16:uniqueId val="{00000001-6150-4E3B-AB1C-D0115807EC51}"/>
            </c:ext>
          </c:extLst>
        </c:ser>
        <c:dLbls>
          <c:showLegendKey val="0"/>
          <c:showVal val="0"/>
          <c:showCatName val="0"/>
          <c:showSerName val="0"/>
          <c:showPercent val="0"/>
          <c:showBubbleSize val="0"/>
        </c:dLbls>
        <c:gapWidth val="150"/>
        <c:axId val="99728905"/>
        <c:axId val="96873921"/>
      </c:barChart>
      <c:catAx>
        <c:axId val="99728905"/>
        <c:scaling>
          <c:orientation val="minMax"/>
        </c:scaling>
        <c:delete val="0"/>
        <c:axPos val="b"/>
        <c:title>
          <c:tx>
            <c:rich>
              <a:bodyPr rot="0"/>
              <a:lstStyle/>
              <a:p>
                <a:pPr>
                  <a:defRPr sz="925" b="1" strike="noStrike" spc="-1">
                    <a:solidFill>
                      <a:srgbClr val="000000"/>
                    </a:solidFill>
                    <a:latin typeface="Arial"/>
                    <a:ea typeface="Arial"/>
                  </a:defRPr>
                </a:pPr>
                <a:r>
                  <a:rPr sz="925" b="1" strike="noStrike" spc="-1">
                    <a:solidFill>
                      <a:srgbClr val="000000"/>
                    </a:solidFill>
                    <a:latin typeface="Arial"/>
                    <a:ea typeface="Arial"/>
                  </a:rPr>
                  <a:t>Channel Sizes (microns)</a:t>
                </a:r>
              </a:p>
            </c:rich>
          </c:tx>
          <c:layout>
            <c:manualLayout>
              <c:xMode val="edge"/>
              <c:yMode val="edge"/>
              <c:x val="0.45805889190236299"/>
              <c:y val="0.79762927332073497"/>
            </c:manualLayout>
          </c:layout>
          <c:overlay val="0"/>
          <c:spPr>
            <a:noFill/>
            <a:ln w="25560">
              <a:noFill/>
            </a:ln>
          </c:spPr>
        </c:title>
        <c:numFmt formatCode="General" sourceLinked="1"/>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en-US"/>
          </a:p>
        </c:txPr>
        <c:crossAx val="96873921"/>
        <c:crosses val="autoZero"/>
        <c:auto val="1"/>
        <c:lblAlgn val="ctr"/>
        <c:lblOffset val="100"/>
        <c:noMultiLvlLbl val="1"/>
      </c:catAx>
      <c:valAx>
        <c:axId val="96873921"/>
        <c:scaling>
          <c:logBase val="10"/>
          <c:orientation val="minMax"/>
          <c:min val="100"/>
        </c:scaling>
        <c:delete val="0"/>
        <c:axPos val="l"/>
        <c:majorGridlines>
          <c:spPr>
            <a:ln w="3240">
              <a:solidFill>
                <a:srgbClr val="969696"/>
              </a:solidFill>
              <a:prstDash val="sysDash"/>
              <a:round/>
            </a:ln>
          </c:spPr>
        </c:majorGridlines>
        <c:title>
          <c:tx>
            <c:rich>
              <a:bodyPr rot="-5400000"/>
              <a:lstStyle/>
              <a:p>
                <a:pPr>
                  <a:defRPr sz="925" b="1" strike="noStrike" spc="-1">
                    <a:solidFill>
                      <a:srgbClr val="000000"/>
                    </a:solidFill>
                    <a:latin typeface="Arial"/>
                    <a:ea typeface="Arial"/>
                  </a:defRPr>
                </a:pPr>
                <a:r>
                  <a:rPr sz="925" b="1" strike="noStrike" spc="-1">
                    <a:solidFill>
                      <a:srgbClr val="000000"/>
                    </a:solidFill>
                    <a:latin typeface="Arial"/>
                    <a:ea typeface="Arial"/>
                  </a:rPr>
                  <a:t>Counts (n)</a:t>
                </a:r>
              </a:p>
            </c:rich>
          </c:tx>
          <c:layout>
            <c:manualLayout>
              <c:xMode val="edge"/>
              <c:yMode val="edge"/>
              <c:x val="7.1508136381247603E-2"/>
              <c:y val="0.37321766019584302"/>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en-US"/>
          </a:p>
        </c:txPr>
        <c:crossAx val="99728905"/>
        <c:crosses val="autoZero"/>
        <c:crossBetween val="between"/>
      </c:valAx>
      <c:spPr>
        <a:solidFill>
          <a:srgbClr val="FFFFFF"/>
        </a:solidFill>
        <a:ln w="12600">
          <a:solidFill>
            <a:srgbClr val="FFFFFF"/>
          </a:solidFill>
          <a:round/>
        </a:ln>
      </c:spPr>
    </c:plotArea>
    <c:legend>
      <c:legendPos val="r"/>
      <c:layout>
        <c:manualLayout>
          <c:xMode val="edge"/>
          <c:yMode val="edge"/>
          <c:x val="0.36681518791166201"/>
          <c:y val="0.89735440645937103"/>
          <c:w val="0.29429713040319599"/>
          <c:h val="8.5473756550124597E-2"/>
        </c:manualLayout>
      </c:layout>
      <c:overlay val="1"/>
      <c:spPr>
        <a:solidFill>
          <a:srgbClr val="FFFFFF"/>
        </a:solidFill>
        <a:ln w="3240">
          <a:solidFill>
            <a:srgbClr val="FFFFFF"/>
          </a:solidFill>
          <a:round/>
        </a:ln>
      </c:spPr>
      <c:txPr>
        <a:bodyPr/>
        <a:lstStyle/>
        <a:p>
          <a:pPr>
            <a:defRPr sz="710" b="0" strike="noStrike" spc="-1">
              <a:solidFill>
                <a:srgbClr val="000000"/>
              </a:solidFill>
              <a:latin typeface="Arial"/>
              <a:ea typeface="Arial"/>
            </a:defRPr>
          </a:pPr>
          <a:endParaRPr lang="en-US"/>
        </a:p>
      </c:txPr>
    </c:legend>
    <c:plotVisOnly val="1"/>
    <c:dispBlanksAs val="gap"/>
    <c:showDLblsOverMax val="1"/>
  </c:chart>
  <c:spPr>
    <a:solidFill>
      <a:srgbClr val="FFFFFF"/>
    </a:solidFill>
    <a:ln w="12600">
      <a:solidFill>
        <a:srgbClr val="FFFFFF"/>
      </a:solidFill>
      <a:round/>
    </a:ln>
  </c:spPr>
  <c:printSettings>
    <c:headerFooter/>
    <c:pageMargins b="0.75" l="0.7" r="0.7" t="0.75" header="0.3" footer="0.3"/>
    <c:pageSetup/>
  </c:printSettings>
</c:chartSpace>
</file>

<file path=xl/ctrlProps/ctrlProp1.xml><?xml version="1.0" encoding="utf-8"?>
<formControlPr xmlns="http://schemas.microsoft.com/office/spreadsheetml/2009/9/main" objectType="CheckBox" fmlaLink="$C$15" lockText="1" noThreeD="1"/>
</file>

<file path=xl/ctrlProps/ctrlProp2.xml><?xml version="1.0" encoding="utf-8"?>
<formControlPr xmlns="http://schemas.microsoft.com/office/spreadsheetml/2009/9/main" objectType="CheckBox" fmlaLink="$H$12" lockText="1" noThreeD="1"/>
</file>

<file path=xl/ctrlProps/ctrlProp3.xml><?xml version="1.0" encoding="utf-8"?>
<formControlPr xmlns="http://schemas.microsoft.com/office/spreadsheetml/2009/9/main" objectType="CheckBox" fmlaLink="$C$23" lockText="1" noThreeD="1"/>
</file>

<file path=xl/ctrlProps/ctrlProp4.xml><?xml version="1.0" encoding="utf-8"?>
<formControlPr xmlns="http://schemas.microsoft.com/office/spreadsheetml/2009/9/main" objectType="CheckBox" fmlaLink="$C$25" lockText="1" noThreeD="1"/>
</file>

<file path=xl/ctrlProps/ctrlProp5.xml><?xml version="1.0" encoding="utf-8"?>
<formControlPr xmlns="http://schemas.microsoft.com/office/spreadsheetml/2009/9/main" objectType="CheckBox" fmlaLink="$C$26" lockText="1" noThreeD="1"/>
</file>

<file path=xl/ctrlProps/ctrlProp6.xml><?xml version="1.0" encoding="utf-8"?>
<formControlPr xmlns="http://schemas.microsoft.com/office/spreadsheetml/2009/9/main" objectType="CheckBox" fmlaLink="$C$16" lockText="1" noThreeD="1"/>
</file>

<file path=xl/ctrlProps/ctrlProp7.xml><?xml version="1.0" encoding="utf-8"?>
<formControlPr xmlns="http://schemas.microsoft.com/office/spreadsheetml/2009/9/main" objectType="CheckBox" fmlaLink="$H$13" lockText="1" noThreeD="1"/>
</file>

<file path=xl/ctrlProps/ctrlProp8.xml><?xml version="1.0" encoding="utf-8"?>
<formControlPr xmlns="http://schemas.microsoft.com/office/spreadsheetml/2009/9/main" objectType="CheckBox" fmlaLink="$H$14" lockText="1" noThreeD="1"/>
</file>

<file path=xl/ctrlProps/ctrlProp9.xml><?xml version="1.0" encoding="utf-8"?>
<formControlPr xmlns="http://schemas.microsoft.com/office/spreadsheetml/2009/9/main" objectType="CheckBox" fmlaLink="$H$15" lockText="1" noThreeD="1"/>
</file>

<file path=xl/ctrlProps/ctrlProp10.xml><?xml version="1.0" encoding="utf-8"?>
<formControlPr xmlns="http://schemas.microsoft.com/office/spreadsheetml/2009/9/main" objectType="CheckBox" fmlaLink="$H$16"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fmlaLink="$F$5" lockText="1" noThreeD="1"/>
</file>

<file path=xl/ctrlProps/ctrlProp15.xml><?xml version="1.0" encoding="utf-8"?>
<formControlPr xmlns="http://schemas.microsoft.com/office/spreadsheetml/2009/9/main" objectType="CheckBox" fmlaLink="$F$6" lockText="1" noThreeD="1"/>
</file>

<file path=xl/ctrlProps/ctrlProp16.xml><?xml version="1.0" encoding="utf-8"?>
<formControlPr xmlns="http://schemas.microsoft.com/office/spreadsheetml/2009/9/main" objectType="CheckBox" fmlaLink="$F$7" lockText="1" noThreeD="1"/>
</file>

<file path=xl/ctrlProps/ctrlProp17.xml><?xml version="1.0" encoding="utf-8"?>
<formControlPr xmlns="http://schemas.microsoft.com/office/spreadsheetml/2009/9/main" objectType="CheckBox" fmlaLink="$F$8" lockText="1" noThreeD="1"/>
</file>

<file path=xl/ctrlProps/ctrlProp18.xml><?xml version="1.0" encoding="utf-8"?>
<formControlPr xmlns="http://schemas.microsoft.com/office/spreadsheetml/2009/9/main" objectType="CheckBox" fmlaLink="$F$12" lockText="1" noThreeD="1"/>
</file>

<file path=xl/ctrlProps/ctrlProp19.xml><?xml version="1.0" encoding="utf-8"?>
<formControlPr xmlns="http://schemas.microsoft.com/office/spreadsheetml/2009/9/main" objectType="CheckBox" fmlaLink="$F$13" lockText="1" noThreeD="1"/>
</file>

<file path=xl/ctrlProps/ctrlProp20.xml><?xml version="1.0" encoding="utf-8"?>
<formControlPr xmlns="http://schemas.microsoft.com/office/spreadsheetml/2009/9/main" objectType="CheckBox" fmlaLink="$F$14" lockText="1" noThreeD="1"/>
</file>

<file path=xl/ctrlProps/ctrlProp21.xml><?xml version="1.0" encoding="utf-8"?>
<formControlPr xmlns="http://schemas.microsoft.com/office/spreadsheetml/2009/9/main" objectType="CheckBox" fmlaLink="$F$15" lockText="1" noThreeD="1"/>
</file>

<file path=xl/ctrlProps/ctrlProp22.xml><?xml version="1.0" encoding="utf-8"?>
<formControlPr xmlns="http://schemas.microsoft.com/office/spreadsheetml/2009/9/main" objectType="CheckBox" fmlaLink="$F$16" lockText="1" noThreeD="1"/>
</file>

<file path=xl/ctrlProps/ctrlProp23.xml><?xml version="1.0" encoding="utf-8"?>
<formControlPr xmlns="http://schemas.microsoft.com/office/spreadsheetml/2009/9/main" objectType="CheckBox" fmlaLink="$F$17" lockText="1" noThreeD="1"/>
</file>

<file path=xl/ctrlProps/ctrlProp24.xml><?xml version="1.0" encoding="utf-8"?>
<formControlPr xmlns="http://schemas.microsoft.com/office/spreadsheetml/2009/9/main" objectType="CheckBox" fmlaLink="$F$18" lockText="1" noThreeD="1"/>
</file>

<file path=xl/ctrlProps/ctrlProp25.xml><?xml version="1.0" encoding="utf-8"?>
<formControlPr xmlns="http://schemas.microsoft.com/office/spreadsheetml/2009/9/main" objectType="CheckBox" fmlaLink="$F$21" lockText="1" noThreeD="1"/>
</file>

<file path=xl/ctrlProps/ctrlProp26.xml><?xml version="1.0" encoding="utf-8"?>
<formControlPr xmlns="http://schemas.microsoft.com/office/spreadsheetml/2009/9/main" objectType="CheckBox" fmlaLink="$F$22" lockText="1" noThreeD="1"/>
</file>

<file path=xl/ctrlProps/ctrlProp27.xml><?xml version="1.0" encoding="utf-8"?>
<formControlPr xmlns="http://schemas.microsoft.com/office/spreadsheetml/2009/9/main" objectType="CheckBox" fmlaLink="$F$23" lockText="1" noThreeD="1"/>
</file>

<file path=xl/ctrlProps/ctrlProp28.xml><?xml version="1.0" encoding="utf-8"?>
<formControlPr xmlns="http://schemas.microsoft.com/office/spreadsheetml/2009/9/main" objectType="CheckBox" fmlaLink="$F$24" lockText="1" noThreeD="1"/>
</file>

<file path=xl/ctrlProps/ctrlProp29.xml><?xml version="1.0" encoding="utf-8"?>
<formControlPr xmlns="http://schemas.microsoft.com/office/spreadsheetml/2009/9/main" objectType="CheckBox" fmlaLink="$F$25" lockText="1" noThreeD="1"/>
</file>

<file path=xl/ctrlProps/ctrlProp30.xml><?xml version="1.0" encoding="utf-8"?>
<formControlPr xmlns="http://schemas.microsoft.com/office/spreadsheetml/2009/9/main" objectType="CheckBox" fmlaLink="$F$26" lockText="1" noThreeD="1"/>
</file>

<file path=xl/ctrlProps/ctrlProp31.xml><?xml version="1.0" encoding="utf-8"?>
<formControlPr xmlns="http://schemas.microsoft.com/office/spreadsheetml/2009/9/main" objectType="CheckBox" fmlaLink="$F$27" lockText="1" noThreeD="1"/>
</file>

<file path=xl/ctrlProps/ctrlProp32.xml><?xml version="1.0" encoding="utf-8"?>
<formControlPr xmlns="http://schemas.microsoft.com/office/spreadsheetml/2009/9/main" objectType="CheckBox" fmlaLink="$F$9" lockText="1" noThreeD="1"/>
</file>

<file path=xl/ctrlProps/ctrlProp33.xml><?xml version="1.0" encoding="utf-8"?>
<formControlPr xmlns="http://schemas.microsoft.com/office/spreadsheetml/2009/9/main" objectType="CheckBox" fmlaLink="$F$32" lockText="1" noThreeD="1"/>
</file>

<file path=xl/ctrlProps/ctrlProp34.xml><?xml version="1.0" encoding="utf-8"?>
<formControlPr xmlns="http://schemas.microsoft.com/office/spreadsheetml/2009/9/main" objectType="CheckBox" fmlaLink="$F$33" lockText="1" noThreeD="1"/>
</file>

<file path=xl/ctrlProps/ctrlProp35.xml><?xml version="1.0" encoding="utf-8"?>
<formControlPr xmlns="http://schemas.microsoft.com/office/spreadsheetml/2009/9/main" objectType="CheckBox" fmlaLink="$F$34" lockText="1" noThreeD="1"/>
</file>

<file path=xl/ctrlProps/ctrlProp36.xml><?xml version="1.0" encoding="utf-8"?>
<formControlPr xmlns="http://schemas.microsoft.com/office/spreadsheetml/2009/9/main" objectType="CheckBox" fmlaLink="$F$35" lockText="1" noThreeD="1"/>
</file>

<file path=xl/ctrlProps/ctrlProp37.xml><?xml version="1.0" encoding="utf-8"?>
<formControlPr xmlns="http://schemas.microsoft.com/office/spreadsheetml/2009/9/main" objectType="CheckBox" fmlaLink="$F$36" lockText="1" noThreeD="1"/>
</file>

<file path=xl/ctrlProps/ctrlProp38.xml><?xml version="1.0" encoding="utf-8"?>
<formControlPr xmlns="http://schemas.microsoft.com/office/spreadsheetml/2009/9/main" objectType="CheckBox" fmlaLink="$F$37" lockText="1" noThreeD="1"/>
</file>

<file path=xl/ctrlProps/ctrlProp39.xml><?xml version="1.0" encoding="utf-8"?>
<formControlPr xmlns="http://schemas.microsoft.com/office/spreadsheetml/2009/9/main" objectType="CheckBox" fmlaLink="$F$38" lockText="1" noThreeD="1"/>
</file>

<file path=xl/ctrlProps/ctrlProp40.xml><?xml version="1.0" encoding="utf-8"?>
<formControlPr xmlns="http://schemas.microsoft.com/office/spreadsheetml/2009/9/main" objectType="CheckBox" fmlaLink="$F$43" lockText="1" noThreeD="1"/>
</file>

<file path=xl/ctrlProps/ctrlProp41.xml><?xml version="1.0" encoding="utf-8"?>
<formControlPr xmlns="http://schemas.microsoft.com/office/spreadsheetml/2009/9/main" objectType="CheckBox" fmlaLink="$F$44" lockText="1" noThreeD="1"/>
</file>

<file path=xl/ctrlProps/ctrlProp42.xml><?xml version="1.0" encoding="utf-8"?>
<formControlPr xmlns="http://schemas.microsoft.com/office/spreadsheetml/2009/9/main" objectType="CheckBox" fmlaLink="$F$45" lockText="1" noThreeD="1"/>
</file>

<file path=xl/ctrlProps/ctrlProp43.xml><?xml version="1.0" encoding="utf-8"?>
<formControlPr xmlns="http://schemas.microsoft.com/office/spreadsheetml/2009/9/main" objectType="CheckBox" fmlaLink="$F$46" lockText="1" noThreeD="1"/>
</file>

<file path=xl/ctrlProps/ctrlProp44.xml><?xml version="1.0" encoding="utf-8"?>
<formControlPr xmlns="http://schemas.microsoft.com/office/spreadsheetml/2009/9/main" objectType="CheckBox" fmlaLink="$F$47" lockText="1" noThreeD="1"/>
</file>

<file path=xl/ctrlProps/ctrlProp45.xml><?xml version="1.0" encoding="utf-8"?>
<formControlPr xmlns="http://schemas.microsoft.com/office/spreadsheetml/2009/9/main" objectType="CheckBox" fmlaLink="$F$48"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8.wmf"/><Relationship Id="rId2" Type="http://schemas.openxmlformats.org/officeDocument/2006/relationships/image" Target="../media/image27.jpeg"/><Relationship Id="rId1" Type="http://schemas.openxmlformats.org/officeDocument/2006/relationships/chart" Target="../charts/chart3.xml"/></Relationships>
</file>

<file path=xl/drawings/_rels/drawing11.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chart" Target="../charts/chart4.xml"/></Relationships>
</file>

<file path=xl/drawings/_rels/drawing12.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chart" Target="../charts/chart5.xml"/></Relationships>
</file>

<file path=xl/drawings/_rels/drawing13.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chart" Target="../charts/chart6.xml"/></Relationships>
</file>

<file path=xl/drawings/_rels/drawing14.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2" Type="http://schemas.openxmlformats.org/officeDocument/2006/relationships/image" Target="../media/image33.wmf"/><Relationship Id="rId1" Type="http://schemas.openxmlformats.org/officeDocument/2006/relationships/chart" Target="../charts/chart8.xml"/></Relationships>
</file>

<file path=xl/drawings/_rels/drawing16.xml.rels><?xml version="1.0" encoding="UTF-8" standalone="yes"?>
<Relationships xmlns="http://schemas.openxmlformats.org/package/2006/relationships"><Relationship Id="rId2" Type="http://schemas.openxmlformats.org/officeDocument/2006/relationships/image" Target="../media/image34.jpeg"/><Relationship Id="rId1" Type="http://schemas.openxmlformats.org/officeDocument/2006/relationships/chart" Target="../charts/chart9.xml"/></Relationships>
</file>

<file path=xl/drawings/_rels/drawing17.xml.rels><?xml version="1.0" encoding="UTF-8" standalone="yes"?>
<Relationships xmlns="http://schemas.openxmlformats.org/package/2006/relationships"><Relationship Id="rId2" Type="http://schemas.openxmlformats.org/officeDocument/2006/relationships/image" Target="../media/image28.wmf"/><Relationship Id="rId1" Type="http://schemas.openxmlformats.org/officeDocument/2006/relationships/chart" Target="../charts/chart10.xml"/></Relationships>
</file>

<file path=xl/drawings/_rels/drawing18.xml.rels><?xml version="1.0" encoding="UTF-8" standalone="yes"?>
<Relationships xmlns="http://schemas.openxmlformats.org/package/2006/relationships"><Relationship Id="rId3" Type="http://schemas.openxmlformats.org/officeDocument/2006/relationships/image" Target="../media/image28.wmf"/><Relationship Id="rId2" Type="http://schemas.openxmlformats.org/officeDocument/2006/relationships/image" Target="../media/image27.jpeg"/><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vmlDrawing3.v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 Id="rId6" Type="http://schemas.openxmlformats.org/officeDocument/2006/relationships/image" Target="../media/image26.jpeg"/><Relationship Id="rId5" Type="http://schemas.openxmlformats.org/officeDocument/2006/relationships/image" Target="../media/image25.png"/><Relationship Id="rId4" Type="http://schemas.openxmlformats.org/officeDocument/2006/relationships/image" Target="../media/image24.png"/></Relationships>
</file>

<file path=xl/drawings/_rels/vmlDrawing4.v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9.png"/><Relationship Id="rId7" Type="http://schemas.openxmlformats.org/officeDocument/2006/relationships/image" Target="../media/image11.png"/><Relationship Id="rId12" Type="http://schemas.openxmlformats.org/officeDocument/2006/relationships/image" Target="../media/image17.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6.png"/><Relationship Id="rId11" Type="http://schemas.openxmlformats.org/officeDocument/2006/relationships/image" Target="../media/image16.png"/><Relationship Id="rId5" Type="http://schemas.openxmlformats.org/officeDocument/2006/relationships/image" Target="../media/image5.png"/><Relationship Id="rId10" Type="http://schemas.openxmlformats.org/officeDocument/2006/relationships/image" Target="../media/image15.png"/><Relationship Id="rId4" Type="http://schemas.openxmlformats.org/officeDocument/2006/relationships/image" Target="../media/image10.png"/><Relationship Id="rId9"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180720</xdr:colOff>
      <xdr:row>34</xdr:row>
      <xdr:rowOff>92520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180720</xdr:colOff>
      <xdr:row>34</xdr:row>
      <xdr:rowOff>92520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57150</xdr:colOff>
          <xdr:row>13</xdr:row>
          <xdr:rowOff>171450</xdr:rowOff>
        </xdr:from>
        <xdr:to>
          <xdr:col>3</xdr:col>
          <xdr:colOff>314325</xdr:colOff>
          <xdr:row>15</xdr:row>
          <xdr:rowOff>9525</xdr:rowOff>
        </xdr:to>
        <xdr:sp macro="" textlink="">
          <xdr:nvSpPr>
            <xdr:cNvPr id="22529" name="Check Box 1" descr="TICKED" hidden="1">
              <a:extLst>
                <a:ext uri="{63B3BB69-23CF-44E3-9099-C40C66FF867C}">
                  <a14:compatExt spid="_x0000_s22529"/>
                </a:ext>
                <a:ext uri="{FF2B5EF4-FFF2-40B4-BE49-F238E27FC236}">
                  <a16:creationId xmlns:a16="http://schemas.microsoft.com/office/drawing/2014/main" id="{00000000-0008-0000-0400-00000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11</xdr:row>
          <xdr:rowOff>19050</xdr:rowOff>
        </xdr:from>
        <xdr:to>
          <xdr:col>7</xdr:col>
          <xdr:colOff>438150</xdr:colOff>
          <xdr:row>12</xdr:row>
          <xdr:rowOff>0</xdr:rowOff>
        </xdr:to>
        <xdr:sp macro="" textlink="">
          <xdr:nvSpPr>
            <xdr:cNvPr id="22530" name="Check Box 2" hidden="1">
              <a:extLst>
                <a:ext uri="{63B3BB69-23CF-44E3-9099-C40C66FF867C}">
                  <a14:compatExt spid="_x0000_s22530"/>
                </a:ext>
                <a:ext uri="{FF2B5EF4-FFF2-40B4-BE49-F238E27FC236}">
                  <a16:creationId xmlns:a16="http://schemas.microsoft.com/office/drawing/2014/main" id="{00000000-0008-0000-0400-00000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21</xdr:row>
          <xdr:rowOff>180975</xdr:rowOff>
        </xdr:from>
        <xdr:to>
          <xdr:col>4</xdr:col>
          <xdr:colOff>295275</xdr:colOff>
          <xdr:row>23</xdr:row>
          <xdr:rowOff>19050</xdr:rowOff>
        </xdr:to>
        <xdr:sp macro="" textlink="">
          <xdr:nvSpPr>
            <xdr:cNvPr id="22531" name="Check Box 3" hidden="1">
              <a:extLst>
                <a:ext uri="{63B3BB69-23CF-44E3-9099-C40C66FF867C}">
                  <a14:compatExt spid="_x0000_s22531"/>
                </a:ext>
                <a:ext uri="{FF2B5EF4-FFF2-40B4-BE49-F238E27FC236}">
                  <a16:creationId xmlns:a16="http://schemas.microsoft.com/office/drawing/2014/main" id="{00000000-0008-0000-0400-00000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23</xdr:row>
          <xdr:rowOff>171450</xdr:rowOff>
        </xdr:from>
        <xdr:to>
          <xdr:col>4</xdr:col>
          <xdr:colOff>304800</xdr:colOff>
          <xdr:row>25</xdr:row>
          <xdr:rowOff>9525</xdr:rowOff>
        </xdr:to>
        <xdr:sp macro="" textlink="">
          <xdr:nvSpPr>
            <xdr:cNvPr id="22532" name="Check Box 4" hidden="1">
              <a:extLst>
                <a:ext uri="{63B3BB69-23CF-44E3-9099-C40C66FF867C}">
                  <a14:compatExt spid="_x0000_s22532"/>
                </a:ext>
                <a:ext uri="{FF2B5EF4-FFF2-40B4-BE49-F238E27FC236}">
                  <a16:creationId xmlns:a16="http://schemas.microsoft.com/office/drawing/2014/main" id="{00000000-0008-0000-0400-00000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24</xdr:row>
          <xdr:rowOff>171450</xdr:rowOff>
        </xdr:from>
        <xdr:to>
          <xdr:col>4</xdr:col>
          <xdr:colOff>304800</xdr:colOff>
          <xdr:row>26</xdr:row>
          <xdr:rowOff>9525</xdr:rowOff>
        </xdr:to>
        <xdr:sp macro="" textlink="">
          <xdr:nvSpPr>
            <xdr:cNvPr id="22533" name="Check Box 5" hidden="1">
              <a:extLst>
                <a:ext uri="{63B3BB69-23CF-44E3-9099-C40C66FF867C}">
                  <a14:compatExt spid="_x0000_s22533"/>
                </a:ext>
                <a:ext uri="{FF2B5EF4-FFF2-40B4-BE49-F238E27FC236}">
                  <a16:creationId xmlns:a16="http://schemas.microsoft.com/office/drawing/2014/main" id="{00000000-0008-0000-0400-00000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14</xdr:row>
          <xdr:rowOff>171450</xdr:rowOff>
        </xdr:from>
        <xdr:to>
          <xdr:col>4</xdr:col>
          <xdr:colOff>314325</xdr:colOff>
          <xdr:row>16</xdr:row>
          <xdr:rowOff>9525</xdr:rowOff>
        </xdr:to>
        <xdr:sp macro="" textlink="">
          <xdr:nvSpPr>
            <xdr:cNvPr id="22534" name="Check Box 6" hidden="1">
              <a:extLst>
                <a:ext uri="{63B3BB69-23CF-44E3-9099-C40C66FF867C}">
                  <a14:compatExt spid="_x0000_s22534"/>
                </a:ext>
                <a:ext uri="{FF2B5EF4-FFF2-40B4-BE49-F238E27FC236}">
                  <a16:creationId xmlns:a16="http://schemas.microsoft.com/office/drawing/2014/main" id="{00000000-0008-0000-0400-00000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xdr:row>
          <xdr:rowOff>19050</xdr:rowOff>
        </xdr:from>
        <xdr:to>
          <xdr:col>7</xdr:col>
          <xdr:colOff>438150</xdr:colOff>
          <xdr:row>13</xdr:row>
          <xdr:rowOff>0</xdr:rowOff>
        </xdr:to>
        <xdr:sp macro="" textlink="">
          <xdr:nvSpPr>
            <xdr:cNvPr id="22535" name="Check Box 7" hidden="1">
              <a:extLst>
                <a:ext uri="{63B3BB69-23CF-44E3-9099-C40C66FF867C}">
                  <a14:compatExt spid="_x0000_s22535"/>
                </a:ext>
                <a:ext uri="{FF2B5EF4-FFF2-40B4-BE49-F238E27FC236}">
                  <a16:creationId xmlns:a16="http://schemas.microsoft.com/office/drawing/2014/main" id="{00000000-0008-0000-0400-00000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13</xdr:row>
          <xdr:rowOff>0</xdr:rowOff>
        </xdr:from>
        <xdr:to>
          <xdr:col>7</xdr:col>
          <xdr:colOff>438150</xdr:colOff>
          <xdr:row>13</xdr:row>
          <xdr:rowOff>180975</xdr:rowOff>
        </xdr:to>
        <xdr:sp macro="" textlink="">
          <xdr:nvSpPr>
            <xdr:cNvPr id="22536" name="Check Box 8" hidden="1">
              <a:extLst>
                <a:ext uri="{63B3BB69-23CF-44E3-9099-C40C66FF867C}">
                  <a14:compatExt spid="_x0000_s22536"/>
                </a:ext>
                <a:ext uri="{FF2B5EF4-FFF2-40B4-BE49-F238E27FC236}">
                  <a16:creationId xmlns:a16="http://schemas.microsoft.com/office/drawing/2014/main" id="{00000000-0008-0000-0400-00000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14</xdr:row>
          <xdr:rowOff>0</xdr:rowOff>
        </xdr:from>
        <xdr:to>
          <xdr:col>7</xdr:col>
          <xdr:colOff>438150</xdr:colOff>
          <xdr:row>14</xdr:row>
          <xdr:rowOff>180975</xdr:rowOff>
        </xdr:to>
        <xdr:sp macro="" textlink="">
          <xdr:nvSpPr>
            <xdr:cNvPr id="22537" name="Check Box 9" hidden="1">
              <a:extLst>
                <a:ext uri="{63B3BB69-23CF-44E3-9099-C40C66FF867C}">
                  <a14:compatExt spid="_x0000_s22537"/>
                </a:ext>
                <a:ext uri="{FF2B5EF4-FFF2-40B4-BE49-F238E27FC236}">
                  <a16:creationId xmlns:a16="http://schemas.microsoft.com/office/drawing/2014/main" id="{00000000-0008-0000-0400-00000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15</xdr:row>
          <xdr:rowOff>0</xdr:rowOff>
        </xdr:from>
        <xdr:to>
          <xdr:col>7</xdr:col>
          <xdr:colOff>438150</xdr:colOff>
          <xdr:row>15</xdr:row>
          <xdr:rowOff>180975</xdr:rowOff>
        </xdr:to>
        <xdr:sp macro="" textlink="">
          <xdr:nvSpPr>
            <xdr:cNvPr id="22538" name="Check Box 10" hidden="1">
              <a:extLst>
                <a:ext uri="{63B3BB69-23CF-44E3-9099-C40C66FF867C}">
                  <a14:compatExt spid="_x0000_s22538"/>
                </a:ext>
                <a:ext uri="{FF2B5EF4-FFF2-40B4-BE49-F238E27FC236}">
                  <a16:creationId xmlns:a16="http://schemas.microsoft.com/office/drawing/2014/main" id="{00000000-0008-0000-0400-00000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628650</xdr:colOff>
          <xdr:row>19</xdr:row>
          <xdr:rowOff>171450</xdr:rowOff>
        </xdr:from>
        <xdr:to>
          <xdr:col>7</xdr:col>
          <xdr:colOff>533400</xdr:colOff>
          <xdr:row>21</xdr:row>
          <xdr:rowOff>0</xdr:rowOff>
        </xdr:to>
        <xdr:sp macro="" textlink="">
          <xdr:nvSpPr>
            <xdr:cNvPr id="22539" name="Check Box 11" hidden="1">
              <a:extLst>
                <a:ext uri="{63B3BB69-23CF-44E3-9099-C40C66FF867C}">
                  <a14:compatExt spid="_x0000_s22539"/>
                </a:ext>
                <a:ext uri="{FF2B5EF4-FFF2-40B4-BE49-F238E27FC236}">
                  <a16:creationId xmlns:a16="http://schemas.microsoft.com/office/drawing/2014/main" id="{00000000-0008-0000-0400-00000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647700</xdr:colOff>
          <xdr:row>22</xdr:row>
          <xdr:rowOff>161925</xdr:rowOff>
        </xdr:from>
        <xdr:to>
          <xdr:col>7</xdr:col>
          <xdr:colOff>0</xdr:colOff>
          <xdr:row>24</xdr:row>
          <xdr:rowOff>28575</xdr:rowOff>
        </xdr:to>
        <xdr:sp macro="" textlink="">
          <xdr:nvSpPr>
            <xdr:cNvPr id="22540" name="Check Box 12" hidden="1">
              <a:extLst>
                <a:ext uri="{63B3BB69-23CF-44E3-9099-C40C66FF867C}">
                  <a14:compatExt spid="_x0000_s22540"/>
                </a:ext>
                <a:ext uri="{FF2B5EF4-FFF2-40B4-BE49-F238E27FC236}">
                  <a16:creationId xmlns:a16="http://schemas.microsoft.com/office/drawing/2014/main" id="{00000000-0008-0000-0400-00000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647700</xdr:colOff>
          <xdr:row>23</xdr:row>
          <xdr:rowOff>161925</xdr:rowOff>
        </xdr:from>
        <xdr:to>
          <xdr:col>7</xdr:col>
          <xdr:colOff>0</xdr:colOff>
          <xdr:row>25</xdr:row>
          <xdr:rowOff>28575</xdr:rowOff>
        </xdr:to>
        <xdr:sp macro="" textlink="">
          <xdr:nvSpPr>
            <xdr:cNvPr id="22541" name="Check Box 13" hidden="1">
              <a:extLst>
                <a:ext uri="{63B3BB69-23CF-44E3-9099-C40C66FF867C}">
                  <a14:compatExt spid="_x0000_s22541"/>
                </a:ext>
                <a:ext uri="{FF2B5EF4-FFF2-40B4-BE49-F238E27FC236}">
                  <a16:creationId xmlns:a16="http://schemas.microsoft.com/office/drawing/2014/main" id="{00000000-0008-0000-0400-00000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6</xdr:col>
      <xdr:colOff>0</xdr:colOff>
      <xdr:row>1</xdr:row>
      <xdr:rowOff>0</xdr:rowOff>
    </xdr:from>
    <xdr:to>
      <xdr:col>9</xdr:col>
      <xdr:colOff>599760</xdr:colOff>
      <xdr:row>4</xdr:row>
      <xdr:rowOff>190080</xdr:rowOff>
    </xdr:to>
    <xdr:pic>
      <xdr:nvPicPr>
        <xdr:cNvPr id="2" name="Picture 4">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xdr:blipFill>
      <xdr:spPr>
        <a:xfrm>
          <a:off x="3547440" y="161640"/>
          <a:ext cx="2535480" cy="904680"/>
        </a:xfrm>
        <a:prstGeom prst="rect">
          <a:avLst/>
        </a:prstGeom>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66600</xdr:colOff>
      <xdr:row>0</xdr:row>
      <xdr:rowOff>9360</xdr:rowOff>
    </xdr:from>
    <xdr:to>
      <xdr:col>9</xdr:col>
      <xdr:colOff>580680</xdr:colOff>
      <xdr:row>4</xdr:row>
      <xdr:rowOff>123480</xdr:rowOff>
    </xdr:to>
    <xdr:pic>
      <xdr:nvPicPr>
        <xdr:cNvPr id="3" name="Picture 4">
          <a:extLst>
            <a:ext uri="{FF2B5EF4-FFF2-40B4-BE49-F238E27FC236}">
              <a16:creationId xmlns:a16="http://schemas.microsoft.com/office/drawing/2014/main" id="{00000000-0008-0000-0600-000003000000}"/>
            </a:ext>
          </a:extLst>
        </xdr:cNvPr>
        <xdr:cNvPicPr/>
      </xdr:nvPicPr>
      <xdr:blipFill>
        <a:blip xmlns:r="http://schemas.openxmlformats.org/officeDocument/2006/relationships" r:embed="rId1"/>
        <a:stretch/>
      </xdr:blipFill>
      <xdr:spPr>
        <a:xfrm>
          <a:off x="3735360" y="9360"/>
          <a:ext cx="3134880" cy="942480"/>
        </a:xfrm>
        <a:prstGeom prst="rect">
          <a:avLst/>
        </a:prstGeom>
        <a:ln>
          <a:noFill/>
        </a:ln>
      </xdr:spPr>
    </xdr:pic>
    <xdr:clientData/>
  </xdr:twoCellAnchor>
  <xdr:twoCellAnchor>
    <xdr:from>
      <xdr:col>0</xdr:col>
      <xdr:colOff>0</xdr:colOff>
      <xdr:row>0</xdr:row>
      <xdr:rowOff>0</xdr:rowOff>
    </xdr:from>
    <xdr:to>
      <xdr:col>14</xdr:col>
      <xdr:colOff>428625</xdr:colOff>
      <xdr:row>56</xdr:row>
      <xdr:rowOff>133350</xdr:rowOff>
    </xdr:to>
    <xdr:sp macro="" textlink="">
      <xdr:nvSpPr>
        <xdr:cNvPr id="5122" name="_x0000_t202" hidden="1">
          <a:extLst>
            <a:ext uri="{FF2B5EF4-FFF2-40B4-BE49-F238E27FC236}">
              <a16:creationId xmlns:a16="http://schemas.microsoft.com/office/drawing/2014/main" id="{00000000-0008-0000-0600-0000021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14</xdr:col>
      <xdr:colOff>428625</xdr:colOff>
      <xdr:row>56</xdr:row>
      <xdr:rowOff>133350</xdr:rowOff>
    </xdr:to>
    <xdr:sp macro="" textlink="">
      <xdr:nvSpPr>
        <xdr:cNvPr id="2" name="AutoShape 2">
          <a:extLst>
            <a:ext uri="{FF2B5EF4-FFF2-40B4-BE49-F238E27FC236}">
              <a16:creationId xmlns:a16="http://schemas.microsoft.com/office/drawing/2014/main" id="{00000000-0008-0000-0600-00000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14</xdr:col>
      <xdr:colOff>428625</xdr:colOff>
      <xdr:row>56</xdr:row>
      <xdr:rowOff>133350</xdr:rowOff>
    </xdr:to>
    <xdr:sp macro="" textlink="">
      <xdr:nvSpPr>
        <xdr:cNvPr id="4" name="AutoShape 2">
          <a:extLst>
            <a:ext uri="{FF2B5EF4-FFF2-40B4-BE49-F238E27FC236}">
              <a16:creationId xmlns:a16="http://schemas.microsoft.com/office/drawing/2014/main" id="{00000000-0008-0000-0600-00000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14</xdr:col>
      <xdr:colOff>428625</xdr:colOff>
      <xdr:row>56</xdr:row>
      <xdr:rowOff>133350</xdr:rowOff>
    </xdr:to>
    <xdr:sp macro="" textlink="">
      <xdr:nvSpPr>
        <xdr:cNvPr id="5" name="AutoShape 2">
          <a:extLst>
            <a:ext uri="{FF2B5EF4-FFF2-40B4-BE49-F238E27FC236}">
              <a16:creationId xmlns:a16="http://schemas.microsoft.com/office/drawing/2014/main" id="{00000000-0008-0000-0600-00000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14</xdr:col>
      <xdr:colOff>428625</xdr:colOff>
      <xdr:row>56</xdr:row>
      <xdr:rowOff>133350</xdr:rowOff>
    </xdr:to>
    <xdr:sp macro="" textlink="">
      <xdr:nvSpPr>
        <xdr:cNvPr id="6" name="AutoShape 2">
          <a:extLst>
            <a:ext uri="{FF2B5EF4-FFF2-40B4-BE49-F238E27FC236}">
              <a16:creationId xmlns:a16="http://schemas.microsoft.com/office/drawing/2014/main" id="{00000000-0008-0000-0600-00000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9360</xdr:colOff>
      <xdr:row>0</xdr:row>
      <xdr:rowOff>28440</xdr:rowOff>
    </xdr:from>
    <xdr:to>
      <xdr:col>9</xdr:col>
      <xdr:colOff>561600</xdr:colOff>
      <xdr:row>4</xdr:row>
      <xdr:rowOff>151920</xdr:rowOff>
    </xdr:to>
    <xdr:pic>
      <xdr:nvPicPr>
        <xdr:cNvPr id="4" name="Picture 4">
          <a:extLst>
            <a:ext uri="{FF2B5EF4-FFF2-40B4-BE49-F238E27FC236}">
              <a16:creationId xmlns:a16="http://schemas.microsoft.com/office/drawing/2014/main" id="{00000000-0008-0000-0700-000004000000}"/>
            </a:ext>
          </a:extLst>
        </xdr:cNvPr>
        <xdr:cNvPicPr/>
      </xdr:nvPicPr>
      <xdr:blipFill>
        <a:blip xmlns:r="http://schemas.openxmlformats.org/officeDocument/2006/relationships" r:embed="rId1"/>
        <a:stretch/>
      </xdr:blipFill>
      <xdr:spPr>
        <a:xfrm>
          <a:off x="3678120" y="28440"/>
          <a:ext cx="3192840" cy="951840"/>
        </a:xfrm>
        <a:prstGeom prst="rect">
          <a:avLst/>
        </a:prstGeom>
        <a:ln>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9360</xdr:colOff>
      <xdr:row>0</xdr:row>
      <xdr:rowOff>28440</xdr:rowOff>
    </xdr:from>
    <xdr:to>
      <xdr:col>9</xdr:col>
      <xdr:colOff>561600</xdr:colOff>
      <xdr:row>4</xdr:row>
      <xdr:rowOff>151920</xdr:rowOff>
    </xdr:to>
    <xdr:pic>
      <xdr:nvPicPr>
        <xdr:cNvPr id="5" name="Picture 4">
          <a:extLst>
            <a:ext uri="{FF2B5EF4-FFF2-40B4-BE49-F238E27FC236}">
              <a16:creationId xmlns:a16="http://schemas.microsoft.com/office/drawing/2014/main" id="{00000000-0008-0000-0800-000005000000}"/>
            </a:ext>
          </a:extLst>
        </xdr:cNvPr>
        <xdr:cNvPicPr/>
      </xdr:nvPicPr>
      <xdr:blipFill>
        <a:blip xmlns:r="http://schemas.openxmlformats.org/officeDocument/2006/relationships" r:embed="rId1"/>
        <a:stretch/>
      </xdr:blipFill>
      <xdr:spPr>
        <a:xfrm>
          <a:off x="3678120" y="28440"/>
          <a:ext cx="3192840" cy="951840"/>
        </a:xfrm>
        <a:prstGeom prst="rect">
          <a:avLst/>
        </a:prstGeom>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32</xdr:row>
      <xdr:rowOff>0</xdr:rowOff>
    </xdr:from>
    <xdr:to>
      <xdr:col>5</xdr:col>
      <xdr:colOff>748312</xdr:colOff>
      <xdr:row>34</xdr:row>
      <xdr:rowOff>59447</xdr:rowOff>
    </xdr:to>
    <xdr:pic>
      <xdr:nvPicPr>
        <xdr:cNvPr id="2" name="Picture 1">
          <a:extLst>
            <a:ext uri="{FF2B5EF4-FFF2-40B4-BE49-F238E27FC236}">
              <a16:creationId xmlns:a16="http://schemas.microsoft.com/office/drawing/2014/main" id="{6632B90B-FFFB-284F-5105-1A316F2CB7FA}"/>
            </a:ext>
          </a:extLst>
        </xdr:cNvPr>
        <xdr:cNvPicPr>
          <a:picLocks noChangeAspect="1"/>
        </xdr:cNvPicPr>
      </xdr:nvPicPr>
      <xdr:blipFill>
        <a:blip xmlns:r="http://schemas.openxmlformats.org/officeDocument/2006/relationships" r:embed="rId1"/>
        <a:stretch>
          <a:fillRect/>
        </a:stretch>
      </xdr:blipFill>
      <xdr:spPr>
        <a:xfrm>
          <a:off x="0" y="5943600"/>
          <a:ext cx="6306430" cy="40010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514350</xdr:colOff>
          <xdr:row>3</xdr:row>
          <xdr:rowOff>161925</xdr:rowOff>
        </xdr:from>
        <xdr:to>
          <xdr:col>6</xdr:col>
          <xdr:colOff>285750</xdr:colOff>
          <xdr:row>5</xdr:row>
          <xdr:rowOff>0</xdr:rowOff>
        </xdr:to>
        <xdr:sp macro="" textlink="">
          <xdr:nvSpPr>
            <xdr:cNvPr id="23553" name="Check Box 1" hidden="1">
              <a:extLst>
                <a:ext uri="{63B3BB69-23CF-44E3-9099-C40C66FF867C}">
                  <a14:compatExt spid="_x0000_s23553"/>
                </a:ext>
                <a:ext uri="{FF2B5EF4-FFF2-40B4-BE49-F238E27FC236}">
                  <a16:creationId xmlns:a16="http://schemas.microsoft.com/office/drawing/2014/main" id="{00000000-0008-0000-0A00-000001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4</xdr:row>
          <xdr:rowOff>161925</xdr:rowOff>
        </xdr:from>
        <xdr:to>
          <xdr:col>6</xdr:col>
          <xdr:colOff>285750</xdr:colOff>
          <xdr:row>5</xdr:row>
          <xdr:rowOff>171450</xdr:rowOff>
        </xdr:to>
        <xdr:sp macro="" textlink="">
          <xdr:nvSpPr>
            <xdr:cNvPr id="23554" name="Check Box 2" hidden="1">
              <a:extLst>
                <a:ext uri="{63B3BB69-23CF-44E3-9099-C40C66FF867C}">
                  <a14:compatExt spid="_x0000_s23554"/>
                </a:ext>
                <a:ext uri="{FF2B5EF4-FFF2-40B4-BE49-F238E27FC236}">
                  <a16:creationId xmlns:a16="http://schemas.microsoft.com/office/drawing/2014/main" id="{00000000-0008-0000-0A00-000002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5</xdr:row>
          <xdr:rowOff>161925</xdr:rowOff>
        </xdr:from>
        <xdr:to>
          <xdr:col>6</xdr:col>
          <xdr:colOff>285750</xdr:colOff>
          <xdr:row>7</xdr:row>
          <xdr:rowOff>0</xdr:rowOff>
        </xdr:to>
        <xdr:sp macro="" textlink="">
          <xdr:nvSpPr>
            <xdr:cNvPr id="23555" name="Check Box 3" hidden="1">
              <a:extLst>
                <a:ext uri="{63B3BB69-23CF-44E3-9099-C40C66FF867C}">
                  <a14:compatExt spid="_x0000_s23555"/>
                </a:ext>
                <a:ext uri="{FF2B5EF4-FFF2-40B4-BE49-F238E27FC236}">
                  <a16:creationId xmlns:a16="http://schemas.microsoft.com/office/drawing/2014/main" id="{00000000-0008-0000-0A00-000003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6</xdr:row>
          <xdr:rowOff>161925</xdr:rowOff>
        </xdr:from>
        <xdr:to>
          <xdr:col>6</xdr:col>
          <xdr:colOff>285750</xdr:colOff>
          <xdr:row>8</xdr:row>
          <xdr:rowOff>0</xdr:rowOff>
        </xdr:to>
        <xdr:sp macro="" textlink="">
          <xdr:nvSpPr>
            <xdr:cNvPr id="23556" name="Check Box 4" hidden="1">
              <a:extLst>
                <a:ext uri="{63B3BB69-23CF-44E3-9099-C40C66FF867C}">
                  <a14:compatExt spid="_x0000_s23556"/>
                </a:ext>
                <a:ext uri="{FF2B5EF4-FFF2-40B4-BE49-F238E27FC236}">
                  <a16:creationId xmlns:a16="http://schemas.microsoft.com/office/drawing/2014/main" id="{00000000-0008-0000-0A00-000004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10</xdr:row>
          <xdr:rowOff>161925</xdr:rowOff>
        </xdr:from>
        <xdr:to>
          <xdr:col>6</xdr:col>
          <xdr:colOff>285750</xdr:colOff>
          <xdr:row>12</xdr:row>
          <xdr:rowOff>0</xdr:rowOff>
        </xdr:to>
        <xdr:sp macro="" textlink="">
          <xdr:nvSpPr>
            <xdr:cNvPr id="23557" name="Check Box 5" hidden="1">
              <a:extLst>
                <a:ext uri="{63B3BB69-23CF-44E3-9099-C40C66FF867C}">
                  <a14:compatExt spid="_x0000_s23557"/>
                </a:ext>
                <a:ext uri="{FF2B5EF4-FFF2-40B4-BE49-F238E27FC236}">
                  <a16:creationId xmlns:a16="http://schemas.microsoft.com/office/drawing/2014/main" id="{00000000-0008-0000-0A00-000005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11</xdr:row>
          <xdr:rowOff>161925</xdr:rowOff>
        </xdr:from>
        <xdr:to>
          <xdr:col>6</xdr:col>
          <xdr:colOff>285750</xdr:colOff>
          <xdr:row>12</xdr:row>
          <xdr:rowOff>171450</xdr:rowOff>
        </xdr:to>
        <xdr:sp macro="" textlink="">
          <xdr:nvSpPr>
            <xdr:cNvPr id="23558" name="Check Box 6" hidden="1">
              <a:extLst>
                <a:ext uri="{63B3BB69-23CF-44E3-9099-C40C66FF867C}">
                  <a14:compatExt spid="_x0000_s23558"/>
                </a:ext>
                <a:ext uri="{FF2B5EF4-FFF2-40B4-BE49-F238E27FC236}">
                  <a16:creationId xmlns:a16="http://schemas.microsoft.com/office/drawing/2014/main" id="{00000000-0008-0000-0A00-000006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12</xdr:row>
          <xdr:rowOff>161925</xdr:rowOff>
        </xdr:from>
        <xdr:to>
          <xdr:col>6</xdr:col>
          <xdr:colOff>285750</xdr:colOff>
          <xdr:row>13</xdr:row>
          <xdr:rowOff>171450</xdr:rowOff>
        </xdr:to>
        <xdr:sp macro="" textlink="">
          <xdr:nvSpPr>
            <xdr:cNvPr id="23559" name="Check Box 7" hidden="1">
              <a:extLst>
                <a:ext uri="{63B3BB69-23CF-44E3-9099-C40C66FF867C}">
                  <a14:compatExt spid="_x0000_s23559"/>
                </a:ext>
                <a:ext uri="{FF2B5EF4-FFF2-40B4-BE49-F238E27FC236}">
                  <a16:creationId xmlns:a16="http://schemas.microsoft.com/office/drawing/2014/main" id="{00000000-0008-0000-0A00-000007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13</xdr:row>
          <xdr:rowOff>161925</xdr:rowOff>
        </xdr:from>
        <xdr:to>
          <xdr:col>6</xdr:col>
          <xdr:colOff>285750</xdr:colOff>
          <xdr:row>14</xdr:row>
          <xdr:rowOff>171450</xdr:rowOff>
        </xdr:to>
        <xdr:sp macro="" textlink="">
          <xdr:nvSpPr>
            <xdr:cNvPr id="23560" name="Check Box 8" hidden="1">
              <a:extLst>
                <a:ext uri="{63B3BB69-23CF-44E3-9099-C40C66FF867C}">
                  <a14:compatExt spid="_x0000_s23560"/>
                </a:ext>
                <a:ext uri="{FF2B5EF4-FFF2-40B4-BE49-F238E27FC236}">
                  <a16:creationId xmlns:a16="http://schemas.microsoft.com/office/drawing/2014/main" id="{00000000-0008-0000-0A00-000008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14</xdr:row>
          <xdr:rowOff>161925</xdr:rowOff>
        </xdr:from>
        <xdr:to>
          <xdr:col>6</xdr:col>
          <xdr:colOff>285750</xdr:colOff>
          <xdr:row>15</xdr:row>
          <xdr:rowOff>171450</xdr:rowOff>
        </xdr:to>
        <xdr:sp macro="" textlink="">
          <xdr:nvSpPr>
            <xdr:cNvPr id="23561" name="Check Box 9" hidden="1">
              <a:extLst>
                <a:ext uri="{63B3BB69-23CF-44E3-9099-C40C66FF867C}">
                  <a14:compatExt spid="_x0000_s23561"/>
                </a:ext>
                <a:ext uri="{FF2B5EF4-FFF2-40B4-BE49-F238E27FC236}">
                  <a16:creationId xmlns:a16="http://schemas.microsoft.com/office/drawing/2014/main" id="{00000000-0008-0000-0A00-000009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15</xdr:row>
          <xdr:rowOff>161925</xdr:rowOff>
        </xdr:from>
        <xdr:to>
          <xdr:col>6</xdr:col>
          <xdr:colOff>285750</xdr:colOff>
          <xdr:row>16</xdr:row>
          <xdr:rowOff>171450</xdr:rowOff>
        </xdr:to>
        <xdr:sp macro="" textlink="">
          <xdr:nvSpPr>
            <xdr:cNvPr id="23562" name="Check Box 10" hidden="1">
              <a:extLst>
                <a:ext uri="{63B3BB69-23CF-44E3-9099-C40C66FF867C}">
                  <a14:compatExt spid="_x0000_s23562"/>
                </a:ext>
                <a:ext uri="{FF2B5EF4-FFF2-40B4-BE49-F238E27FC236}">
                  <a16:creationId xmlns:a16="http://schemas.microsoft.com/office/drawing/2014/main" id="{00000000-0008-0000-0A00-00000A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16</xdr:row>
          <xdr:rowOff>161925</xdr:rowOff>
        </xdr:from>
        <xdr:to>
          <xdr:col>6</xdr:col>
          <xdr:colOff>285750</xdr:colOff>
          <xdr:row>17</xdr:row>
          <xdr:rowOff>171450</xdr:rowOff>
        </xdr:to>
        <xdr:sp macro="" textlink="">
          <xdr:nvSpPr>
            <xdr:cNvPr id="23563" name="Check Box 11" hidden="1">
              <a:extLst>
                <a:ext uri="{63B3BB69-23CF-44E3-9099-C40C66FF867C}">
                  <a14:compatExt spid="_x0000_s23563"/>
                </a:ext>
                <a:ext uri="{FF2B5EF4-FFF2-40B4-BE49-F238E27FC236}">
                  <a16:creationId xmlns:a16="http://schemas.microsoft.com/office/drawing/2014/main" id="{00000000-0008-0000-0A00-00000B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19</xdr:row>
          <xdr:rowOff>161925</xdr:rowOff>
        </xdr:from>
        <xdr:to>
          <xdr:col>6</xdr:col>
          <xdr:colOff>285750</xdr:colOff>
          <xdr:row>21</xdr:row>
          <xdr:rowOff>0</xdr:rowOff>
        </xdr:to>
        <xdr:sp macro="" textlink="">
          <xdr:nvSpPr>
            <xdr:cNvPr id="23564" name="Check Box 12" hidden="1">
              <a:extLst>
                <a:ext uri="{63B3BB69-23CF-44E3-9099-C40C66FF867C}">
                  <a14:compatExt spid="_x0000_s23564"/>
                </a:ext>
                <a:ext uri="{FF2B5EF4-FFF2-40B4-BE49-F238E27FC236}">
                  <a16:creationId xmlns:a16="http://schemas.microsoft.com/office/drawing/2014/main" id="{00000000-0008-0000-0A00-00000C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20</xdr:row>
          <xdr:rowOff>161925</xdr:rowOff>
        </xdr:from>
        <xdr:to>
          <xdr:col>6</xdr:col>
          <xdr:colOff>285750</xdr:colOff>
          <xdr:row>21</xdr:row>
          <xdr:rowOff>171450</xdr:rowOff>
        </xdr:to>
        <xdr:sp macro="" textlink="">
          <xdr:nvSpPr>
            <xdr:cNvPr id="23565" name="Check Box 13" hidden="1">
              <a:extLst>
                <a:ext uri="{63B3BB69-23CF-44E3-9099-C40C66FF867C}">
                  <a14:compatExt spid="_x0000_s23565"/>
                </a:ext>
                <a:ext uri="{FF2B5EF4-FFF2-40B4-BE49-F238E27FC236}">
                  <a16:creationId xmlns:a16="http://schemas.microsoft.com/office/drawing/2014/main" id="{00000000-0008-0000-0A00-00000D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21</xdr:row>
          <xdr:rowOff>161925</xdr:rowOff>
        </xdr:from>
        <xdr:to>
          <xdr:col>6</xdr:col>
          <xdr:colOff>285750</xdr:colOff>
          <xdr:row>22</xdr:row>
          <xdr:rowOff>171450</xdr:rowOff>
        </xdr:to>
        <xdr:sp macro="" textlink="">
          <xdr:nvSpPr>
            <xdr:cNvPr id="23566" name="Check Box 14" hidden="1">
              <a:extLst>
                <a:ext uri="{63B3BB69-23CF-44E3-9099-C40C66FF867C}">
                  <a14:compatExt spid="_x0000_s23566"/>
                </a:ext>
                <a:ext uri="{FF2B5EF4-FFF2-40B4-BE49-F238E27FC236}">
                  <a16:creationId xmlns:a16="http://schemas.microsoft.com/office/drawing/2014/main" id="{00000000-0008-0000-0A00-00000E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22</xdr:row>
          <xdr:rowOff>161925</xdr:rowOff>
        </xdr:from>
        <xdr:to>
          <xdr:col>6</xdr:col>
          <xdr:colOff>285750</xdr:colOff>
          <xdr:row>23</xdr:row>
          <xdr:rowOff>171450</xdr:rowOff>
        </xdr:to>
        <xdr:sp macro="" textlink="">
          <xdr:nvSpPr>
            <xdr:cNvPr id="23567" name="Check Box 15" hidden="1">
              <a:extLst>
                <a:ext uri="{63B3BB69-23CF-44E3-9099-C40C66FF867C}">
                  <a14:compatExt spid="_x0000_s23567"/>
                </a:ext>
                <a:ext uri="{FF2B5EF4-FFF2-40B4-BE49-F238E27FC236}">
                  <a16:creationId xmlns:a16="http://schemas.microsoft.com/office/drawing/2014/main" id="{00000000-0008-0000-0A00-00000F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23</xdr:row>
          <xdr:rowOff>161925</xdr:rowOff>
        </xdr:from>
        <xdr:to>
          <xdr:col>6</xdr:col>
          <xdr:colOff>285750</xdr:colOff>
          <xdr:row>24</xdr:row>
          <xdr:rowOff>171450</xdr:rowOff>
        </xdr:to>
        <xdr:sp macro="" textlink="">
          <xdr:nvSpPr>
            <xdr:cNvPr id="23568" name="Check Box 16" hidden="1">
              <a:extLst>
                <a:ext uri="{63B3BB69-23CF-44E3-9099-C40C66FF867C}">
                  <a14:compatExt spid="_x0000_s23568"/>
                </a:ext>
                <a:ext uri="{FF2B5EF4-FFF2-40B4-BE49-F238E27FC236}">
                  <a16:creationId xmlns:a16="http://schemas.microsoft.com/office/drawing/2014/main" id="{00000000-0008-0000-0A00-000010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24</xdr:row>
          <xdr:rowOff>161925</xdr:rowOff>
        </xdr:from>
        <xdr:to>
          <xdr:col>6</xdr:col>
          <xdr:colOff>285750</xdr:colOff>
          <xdr:row>25</xdr:row>
          <xdr:rowOff>171450</xdr:rowOff>
        </xdr:to>
        <xdr:sp macro="" textlink="">
          <xdr:nvSpPr>
            <xdr:cNvPr id="23569" name="Check Box 17" hidden="1">
              <a:extLst>
                <a:ext uri="{63B3BB69-23CF-44E3-9099-C40C66FF867C}">
                  <a14:compatExt spid="_x0000_s23569"/>
                </a:ext>
                <a:ext uri="{FF2B5EF4-FFF2-40B4-BE49-F238E27FC236}">
                  <a16:creationId xmlns:a16="http://schemas.microsoft.com/office/drawing/2014/main" id="{00000000-0008-0000-0A00-000011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25</xdr:row>
          <xdr:rowOff>161925</xdr:rowOff>
        </xdr:from>
        <xdr:to>
          <xdr:col>6</xdr:col>
          <xdr:colOff>285750</xdr:colOff>
          <xdr:row>26</xdr:row>
          <xdr:rowOff>171450</xdr:rowOff>
        </xdr:to>
        <xdr:sp macro="" textlink="">
          <xdr:nvSpPr>
            <xdr:cNvPr id="23570" name="Check Box 18" hidden="1">
              <a:extLst>
                <a:ext uri="{63B3BB69-23CF-44E3-9099-C40C66FF867C}">
                  <a14:compatExt spid="_x0000_s23570"/>
                </a:ext>
                <a:ext uri="{FF2B5EF4-FFF2-40B4-BE49-F238E27FC236}">
                  <a16:creationId xmlns:a16="http://schemas.microsoft.com/office/drawing/2014/main" id="{00000000-0008-0000-0A00-000012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7</xdr:row>
          <xdr:rowOff>161925</xdr:rowOff>
        </xdr:from>
        <xdr:to>
          <xdr:col>6</xdr:col>
          <xdr:colOff>285750</xdr:colOff>
          <xdr:row>8</xdr:row>
          <xdr:rowOff>171450</xdr:rowOff>
        </xdr:to>
        <xdr:sp macro="" textlink="">
          <xdr:nvSpPr>
            <xdr:cNvPr id="23571" name="Check Box 19" hidden="1">
              <a:extLst>
                <a:ext uri="{63B3BB69-23CF-44E3-9099-C40C66FF867C}">
                  <a14:compatExt spid="_x0000_s23571"/>
                </a:ext>
                <a:ext uri="{FF2B5EF4-FFF2-40B4-BE49-F238E27FC236}">
                  <a16:creationId xmlns:a16="http://schemas.microsoft.com/office/drawing/2014/main" id="{00000000-0008-0000-0A00-000013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30</xdr:row>
          <xdr:rowOff>219075</xdr:rowOff>
        </xdr:from>
        <xdr:to>
          <xdr:col>6</xdr:col>
          <xdr:colOff>285750</xdr:colOff>
          <xdr:row>32</xdr:row>
          <xdr:rowOff>9525</xdr:rowOff>
        </xdr:to>
        <xdr:sp macro="" textlink="">
          <xdr:nvSpPr>
            <xdr:cNvPr id="23572" name="Check Box 20" hidden="1">
              <a:extLst>
                <a:ext uri="{63B3BB69-23CF-44E3-9099-C40C66FF867C}">
                  <a14:compatExt spid="_x0000_s23572"/>
                </a:ext>
                <a:ext uri="{FF2B5EF4-FFF2-40B4-BE49-F238E27FC236}">
                  <a16:creationId xmlns:a16="http://schemas.microsoft.com/office/drawing/2014/main" id="{00000000-0008-0000-0A00-000014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32</xdr:row>
          <xdr:rowOff>0</xdr:rowOff>
        </xdr:from>
        <xdr:to>
          <xdr:col>6</xdr:col>
          <xdr:colOff>285750</xdr:colOff>
          <xdr:row>33</xdr:row>
          <xdr:rowOff>9525</xdr:rowOff>
        </xdr:to>
        <xdr:sp macro="" textlink="">
          <xdr:nvSpPr>
            <xdr:cNvPr id="23573" name="Check Box 21" hidden="1">
              <a:extLst>
                <a:ext uri="{63B3BB69-23CF-44E3-9099-C40C66FF867C}">
                  <a14:compatExt spid="_x0000_s23573"/>
                </a:ext>
                <a:ext uri="{FF2B5EF4-FFF2-40B4-BE49-F238E27FC236}">
                  <a16:creationId xmlns:a16="http://schemas.microsoft.com/office/drawing/2014/main" id="{00000000-0008-0000-0A00-000015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32</xdr:row>
          <xdr:rowOff>180975</xdr:rowOff>
        </xdr:from>
        <xdr:to>
          <xdr:col>6</xdr:col>
          <xdr:colOff>285750</xdr:colOff>
          <xdr:row>34</xdr:row>
          <xdr:rowOff>0</xdr:rowOff>
        </xdr:to>
        <xdr:sp macro="" textlink="">
          <xdr:nvSpPr>
            <xdr:cNvPr id="23574" name="Check Box 22" hidden="1">
              <a:extLst>
                <a:ext uri="{63B3BB69-23CF-44E3-9099-C40C66FF867C}">
                  <a14:compatExt spid="_x0000_s23574"/>
                </a:ext>
                <a:ext uri="{FF2B5EF4-FFF2-40B4-BE49-F238E27FC236}">
                  <a16:creationId xmlns:a16="http://schemas.microsoft.com/office/drawing/2014/main" id="{00000000-0008-0000-0A00-000016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33</xdr:row>
          <xdr:rowOff>180975</xdr:rowOff>
        </xdr:from>
        <xdr:to>
          <xdr:col>6</xdr:col>
          <xdr:colOff>285750</xdr:colOff>
          <xdr:row>35</xdr:row>
          <xdr:rowOff>0</xdr:rowOff>
        </xdr:to>
        <xdr:sp macro="" textlink="">
          <xdr:nvSpPr>
            <xdr:cNvPr id="23575" name="Check Box 23" hidden="1">
              <a:extLst>
                <a:ext uri="{63B3BB69-23CF-44E3-9099-C40C66FF867C}">
                  <a14:compatExt spid="_x0000_s23575"/>
                </a:ext>
                <a:ext uri="{FF2B5EF4-FFF2-40B4-BE49-F238E27FC236}">
                  <a16:creationId xmlns:a16="http://schemas.microsoft.com/office/drawing/2014/main" id="{00000000-0008-0000-0A00-000017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34</xdr:row>
          <xdr:rowOff>180975</xdr:rowOff>
        </xdr:from>
        <xdr:to>
          <xdr:col>6</xdr:col>
          <xdr:colOff>285750</xdr:colOff>
          <xdr:row>36</xdr:row>
          <xdr:rowOff>0</xdr:rowOff>
        </xdr:to>
        <xdr:sp macro="" textlink="">
          <xdr:nvSpPr>
            <xdr:cNvPr id="23576" name="Check Box 24" hidden="1">
              <a:extLst>
                <a:ext uri="{63B3BB69-23CF-44E3-9099-C40C66FF867C}">
                  <a14:compatExt spid="_x0000_s23576"/>
                </a:ext>
                <a:ext uri="{FF2B5EF4-FFF2-40B4-BE49-F238E27FC236}">
                  <a16:creationId xmlns:a16="http://schemas.microsoft.com/office/drawing/2014/main" id="{00000000-0008-0000-0A00-000018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35</xdr:row>
          <xdr:rowOff>180975</xdr:rowOff>
        </xdr:from>
        <xdr:to>
          <xdr:col>6</xdr:col>
          <xdr:colOff>285750</xdr:colOff>
          <xdr:row>37</xdr:row>
          <xdr:rowOff>0</xdr:rowOff>
        </xdr:to>
        <xdr:sp macro="" textlink="">
          <xdr:nvSpPr>
            <xdr:cNvPr id="23577" name="Check Box 25" hidden="1">
              <a:extLst>
                <a:ext uri="{63B3BB69-23CF-44E3-9099-C40C66FF867C}">
                  <a14:compatExt spid="_x0000_s23577"/>
                </a:ext>
                <a:ext uri="{FF2B5EF4-FFF2-40B4-BE49-F238E27FC236}">
                  <a16:creationId xmlns:a16="http://schemas.microsoft.com/office/drawing/2014/main" id="{00000000-0008-0000-0A00-000019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37</xdr:row>
          <xdr:rowOff>0</xdr:rowOff>
        </xdr:from>
        <xdr:to>
          <xdr:col>6</xdr:col>
          <xdr:colOff>285750</xdr:colOff>
          <xdr:row>38</xdr:row>
          <xdr:rowOff>9525</xdr:rowOff>
        </xdr:to>
        <xdr:sp macro="" textlink="">
          <xdr:nvSpPr>
            <xdr:cNvPr id="23578" name="Check Box 26" hidden="1">
              <a:extLst>
                <a:ext uri="{63B3BB69-23CF-44E3-9099-C40C66FF867C}">
                  <a14:compatExt spid="_x0000_s23578"/>
                </a:ext>
                <a:ext uri="{FF2B5EF4-FFF2-40B4-BE49-F238E27FC236}">
                  <a16:creationId xmlns:a16="http://schemas.microsoft.com/office/drawing/2014/main" id="{00000000-0008-0000-0A00-00001A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41</xdr:row>
          <xdr:rowOff>219075</xdr:rowOff>
        </xdr:from>
        <xdr:to>
          <xdr:col>6</xdr:col>
          <xdr:colOff>285750</xdr:colOff>
          <xdr:row>43</xdr:row>
          <xdr:rowOff>9525</xdr:rowOff>
        </xdr:to>
        <xdr:sp macro="" textlink="">
          <xdr:nvSpPr>
            <xdr:cNvPr id="23579" name="Check Box 27" hidden="1">
              <a:extLst>
                <a:ext uri="{63B3BB69-23CF-44E3-9099-C40C66FF867C}">
                  <a14:compatExt spid="_x0000_s23579"/>
                </a:ext>
                <a:ext uri="{FF2B5EF4-FFF2-40B4-BE49-F238E27FC236}">
                  <a16:creationId xmlns:a16="http://schemas.microsoft.com/office/drawing/2014/main" id="{00000000-0008-0000-0A00-00001B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43</xdr:row>
          <xdr:rowOff>0</xdr:rowOff>
        </xdr:from>
        <xdr:to>
          <xdr:col>6</xdr:col>
          <xdr:colOff>285750</xdr:colOff>
          <xdr:row>44</xdr:row>
          <xdr:rowOff>9525</xdr:rowOff>
        </xdr:to>
        <xdr:sp macro="" textlink="">
          <xdr:nvSpPr>
            <xdr:cNvPr id="23580" name="Check Box 28" hidden="1">
              <a:extLst>
                <a:ext uri="{63B3BB69-23CF-44E3-9099-C40C66FF867C}">
                  <a14:compatExt spid="_x0000_s23580"/>
                </a:ext>
                <a:ext uri="{FF2B5EF4-FFF2-40B4-BE49-F238E27FC236}">
                  <a16:creationId xmlns:a16="http://schemas.microsoft.com/office/drawing/2014/main" id="{00000000-0008-0000-0A00-00001C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43</xdr:row>
          <xdr:rowOff>180975</xdr:rowOff>
        </xdr:from>
        <xdr:to>
          <xdr:col>6</xdr:col>
          <xdr:colOff>285750</xdr:colOff>
          <xdr:row>45</xdr:row>
          <xdr:rowOff>0</xdr:rowOff>
        </xdr:to>
        <xdr:sp macro="" textlink="">
          <xdr:nvSpPr>
            <xdr:cNvPr id="23581" name="Check Box 29" hidden="1">
              <a:extLst>
                <a:ext uri="{63B3BB69-23CF-44E3-9099-C40C66FF867C}">
                  <a14:compatExt spid="_x0000_s23581"/>
                </a:ext>
                <a:ext uri="{FF2B5EF4-FFF2-40B4-BE49-F238E27FC236}">
                  <a16:creationId xmlns:a16="http://schemas.microsoft.com/office/drawing/2014/main" id="{00000000-0008-0000-0A00-00001D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44</xdr:row>
          <xdr:rowOff>180975</xdr:rowOff>
        </xdr:from>
        <xdr:to>
          <xdr:col>6</xdr:col>
          <xdr:colOff>285750</xdr:colOff>
          <xdr:row>46</xdr:row>
          <xdr:rowOff>0</xdr:rowOff>
        </xdr:to>
        <xdr:sp macro="" textlink="">
          <xdr:nvSpPr>
            <xdr:cNvPr id="23582" name="Check Box 30" hidden="1">
              <a:extLst>
                <a:ext uri="{63B3BB69-23CF-44E3-9099-C40C66FF867C}">
                  <a14:compatExt spid="_x0000_s23582"/>
                </a:ext>
                <a:ext uri="{FF2B5EF4-FFF2-40B4-BE49-F238E27FC236}">
                  <a16:creationId xmlns:a16="http://schemas.microsoft.com/office/drawing/2014/main" id="{00000000-0008-0000-0A00-00001E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45</xdr:row>
          <xdr:rowOff>180975</xdr:rowOff>
        </xdr:from>
        <xdr:to>
          <xdr:col>6</xdr:col>
          <xdr:colOff>285750</xdr:colOff>
          <xdr:row>47</xdr:row>
          <xdr:rowOff>0</xdr:rowOff>
        </xdr:to>
        <xdr:sp macro="" textlink="">
          <xdr:nvSpPr>
            <xdr:cNvPr id="23583" name="Check Box 31" hidden="1">
              <a:extLst>
                <a:ext uri="{63B3BB69-23CF-44E3-9099-C40C66FF867C}">
                  <a14:compatExt spid="_x0000_s23583"/>
                </a:ext>
                <a:ext uri="{FF2B5EF4-FFF2-40B4-BE49-F238E27FC236}">
                  <a16:creationId xmlns:a16="http://schemas.microsoft.com/office/drawing/2014/main" id="{00000000-0008-0000-0A00-00001F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46</xdr:row>
          <xdr:rowOff>180975</xdr:rowOff>
        </xdr:from>
        <xdr:to>
          <xdr:col>6</xdr:col>
          <xdr:colOff>285750</xdr:colOff>
          <xdr:row>48</xdr:row>
          <xdr:rowOff>0</xdr:rowOff>
        </xdr:to>
        <xdr:sp macro="" textlink="">
          <xdr:nvSpPr>
            <xdr:cNvPr id="23584" name="Check Box 32" hidden="1">
              <a:extLst>
                <a:ext uri="{63B3BB69-23CF-44E3-9099-C40C66FF867C}">
                  <a14:compatExt spid="_x0000_s23584"/>
                </a:ext>
                <a:ext uri="{FF2B5EF4-FFF2-40B4-BE49-F238E27FC236}">
                  <a16:creationId xmlns:a16="http://schemas.microsoft.com/office/drawing/2014/main" id="{00000000-0008-0000-0A00-000020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editAs="oneCell">
    <xdr:from>
      <xdr:col>1</xdr:col>
      <xdr:colOff>123840</xdr:colOff>
      <xdr:row>41</xdr:row>
      <xdr:rowOff>123840</xdr:rowOff>
    </xdr:from>
    <xdr:to>
      <xdr:col>14</xdr:col>
      <xdr:colOff>793390</xdr:colOff>
      <xdr:row>67</xdr:row>
      <xdr:rowOff>104400</xdr:rowOff>
    </xdr:to>
    <xdr:graphicFrame macro="">
      <xdr:nvGraphicFramePr>
        <xdr:cNvPr id="6" name="Chart 1">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552600</xdr:colOff>
      <xdr:row>75</xdr:row>
      <xdr:rowOff>47520</xdr:rowOff>
    </xdr:from>
    <xdr:to>
      <xdr:col>4</xdr:col>
      <xdr:colOff>453950</xdr:colOff>
      <xdr:row>75</xdr:row>
      <xdr:rowOff>313920</xdr:rowOff>
    </xdr:to>
    <xdr:pic>
      <xdr:nvPicPr>
        <xdr:cNvPr id="7" name="Picture 1">
          <a:extLst>
            <a:ext uri="{FF2B5EF4-FFF2-40B4-BE49-F238E27FC236}">
              <a16:creationId xmlns:a16="http://schemas.microsoft.com/office/drawing/2014/main" id="{00000000-0008-0000-0B00-000007000000}"/>
            </a:ext>
          </a:extLst>
        </xdr:cNvPr>
        <xdr:cNvPicPr/>
      </xdr:nvPicPr>
      <xdr:blipFill>
        <a:blip xmlns:r="http://schemas.openxmlformats.org/officeDocument/2006/relationships" r:embed="rId2"/>
        <a:stretch/>
      </xdr:blipFill>
      <xdr:spPr>
        <a:xfrm>
          <a:off x="3545640" y="19598400"/>
          <a:ext cx="1838880" cy="266400"/>
        </a:xfrm>
        <a:prstGeom prst="rect">
          <a:avLst/>
        </a:prstGeom>
        <a:ln>
          <a:noFill/>
        </a:ln>
      </xdr:spPr>
    </xdr:pic>
    <xdr:clientData/>
  </xdr:twoCellAnchor>
  <xdr:twoCellAnchor editAs="absolute">
    <xdr:from>
      <xdr:col>11</xdr:col>
      <xdr:colOff>393790</xdr:colOff>
      <xdr:row>1</xdr:row>
      <xdr:rowOff>104760</xdr:rowOff>
    </xdr:from>
    <xdr:to>
      <xdr:col>14</xdr:col>
      <xdr:colOff>831910</xdr:colOff>
      <xdr:row>7</xdr:row>
      <xdr:rowOff>47520</xdr:rowOff>
    </xdr:to>
    <xdr:pic>
      <xdr:nvPicPr>
        <xdr:cNvPr id="8" name="Picture 2">
          <a:extLst>
            <a:ext uri="{FF2B5EF4-FFF2-40B4-BE49-F238E27FC236}">
              <a16:creationId xmlns:a16="http://schemas.microsoft.com/office/drawing/2014/main" id="{00000000-0008-0000-0B00-000008000000}"/>
            </a:ext>
          </a:extLst>
        </xdr:cNvPr>
        <xdr:cNvPicPr/>
      </xdr:nvPicPr>
      <xdr:blipFill>
        <a:blip xmlns:r="http://schemas.openxmlformats.org/officeDocument/2006/relationships" r:embed="rId3"/>
        <a:stretch/>
      </xdr:blipFill>
      <xdr:spPr>
        <a:xfrm>
          <a:off x="11970360" y="266400"/>
          <a:ext cx="3481560" cy="1038240"/>
        </a:xfrm>
        <a:prstGeom prst="rect">
          <a:avLst/>
        </a:prstGeom>
        <a:ln>
          <a:noFill/>
        </a:ln>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158462</xdr:colOff>
      <xdr:row>40</xdr:row>
      <xdr:rowOff>123825</xdr:rowOff>
    </xdr:from>
    <xdr:to>
      <xdr:col>14</xdr:col>
      <xdr:colOff>1177637</xdr:colOff>
      <xdr:row>66</xdr:row>
      <xdr:rowOff>104776</xdr:rowOff>
    </xdr:to>
    <xdr:graphicFrame macro="">
      <xdr:nvGraphicFramePr>
        <xdr:cNvPr id="2" name="Chart 1">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462514</xdr:colOff>
      <xdr:row>1</xdr:row>
      <xdr:rowOff>95249</xdr:rowOff>
    </xdr:from>
    <xdr:to>
      <xdr:col>11</xdr:col>
      <xdr:colOff>462514</xdr:colOff>
      <xdr:row>26</xdr:row>
      <xdr:rowOff>114299</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11073364" y="257174"/>
          <a:ext cx="0" cy="4067175"/>
        </a:xfrm>
        <a:prstGeom prst="rect">
          <a:avLst/>
        </a:prstGeom>
      </xdr:spPr>
    </xdr:pic>
    <xdr:clientData/>
  </xdr:twoCellAnchor>
  <xdr:twoCellAnchor editAs="oneCell">
    <xdr:from>
      <xdr:col>11</xdr:col>
      <xdr:colOff>103909</xdr:colOff>
      <xdr:row>1</xdr:row>
      <xdr:rowOff>86590</xdr:rowOff>
    </xdr:from>
    <xdr:to>
      <xdr:col>14</xdr:col>
      <xdr:colOff>1066075</xdr:colOff>
      <xdr:row>11</xdr:row>
      <xdr:rowOff>82261</xdr:rowOff>
    </xdr:to>
    <xdr:pic>
      <xdr:nvPicPr>
        <xdr:cNvPr id="5" name="Picture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2"/>
        <a:stretch>
          <a:fillRect/>
        </a:stretch>
      </xdr:blipFill>
      <xdr:spPr>
        <a:xfrm>
          <a:off x="10702636" y="242454"/>
          <a:ext cx="3854303" cy="21431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123840</xdr:colOff>
      <xdr:row>41</xdr:row>
      <xdr:rowOff>123840</xdr:rowOff>
    </xdr:from>
    <xdr:to>
      <xdr:col>14</xdr:col>
      <xdr:colOff>1142640</xdr:colOff>
      <xdr:row>67</xdr:row>
      <xdr:rowOff>104400</xdr:rowOff>
    </xdr:to>
    <xdr:graphicFrame macro="">
      <xdr:nvGraphicFramePr>
        <xdr:cNvPr id="9" name="Chart 1">
          <a:extLst>
            <a:ext uri="{FF2B5EF4-FFF2-40B4-BE49-F238E27FC236}">
              <a16:creationId xmlns:a16="http://schemas.microsoft.com/office/drawing/2014/main" id="{00000000-0008-0000-0D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209520</xdr:colOff>
      <xdr:row>2</xdr:row>
      <xdr:rowOff>171360</xdr:rowOff>
    </xdr:from>
    <xdr:to>
      <xdr:col>9</xdr:col>
      <xdr:colOff>1301040</xdr:colOff>
      <xdr:row>7</xdr:row>
      <xdr:rowOff>176760</xdr:rowOff>
    </xdr:to>
    <xdr:pic>
      <xdr:nvPicPr>
        <xdr:cNvPr id="10" name="Graphics 1">
          <a:extLst>
            <a:ext uri="{FF2B5EF4-FFF2-40B4-BE49-F238E27FC236}">
              <a16:creationId xmlns:a16="http://schemas.microsoft.com/office/drawing/2014/main" id="{00000000-0008-0000-0D00-00000A000000}"/>
            </a:ext>
          </a:extLst>
        </xdr:cNvPr>
        <xdr:cNvPicPr/>
      </xdr:nvPicPr>
      <xdr:blipFill>
        <a:blip xmlns:r="http://schemas.openxmlformats.org/officeDocument/2006/relationships" r:embed="rId2"/>
        <a:stretch/>
      </xdr:blipFill>
      <xdr:spPr>
        <a:xfrm>
          <a:off x="6840720" y="514080"/>
          <a:ext cx="2553120" cy="919800"/>
        </a:xfrm>
        <a:prstGeom prst="rect">
          <a:avLst/>
        </a:prstGeom>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123840</xdr:colOff>
      <xdr:row>41</xdr:row>
      <xdr:rowOff>123840</xdr:rowOff>
    </xdr:from>
    <xdr:to>
      <xdr:col>14</xdr:col>
      <xdr:colOff>1142640</xdr:colOff>
      <xdr:row>67</xdr:row>
      <xdr:rowOff>104400</xdr:rowOff>
    </xdr:to>
    <xdr:graphicFrame macro="">
      <xdr:nvGraphicFramePr>
        <xdr:cNvPr id="11" name="Chart 1">
          <a:extLst>
            <a:ext uri="{FF2B5EF4-FFF2-40B4-BE49-F238E27FC236}">
              <a16:creationId xmlns:a16="http://schemas.microsoft.com/office/drawing/2014/main" id="{00000000-0008-0000-0E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291960</xdr:colOff>
      <xdr:row>3</xdr:row>
      <xdr:rowOff>0</xdr:rowOff>
    </xdr:from>
    <xdr:to>
      <xdr:col>10</xdr:col>
      <xdr:colOff>358200</xdr:colOff>
      <xdr:row>8</xdr:row>
      <xdr:rowOff>27000</xdr:rowOff>
    </xdr:to>
    <xdr:pic>
      <xdr:nvPicPr>
        <xdr:cNvPr id="12" name="Graphics 1">
          <a:extLst>
            <a:ext uri="{FF2B5EF4-FFF2-40B4-BE49-F238E27FC236}">
              <a16:creationId xmlns:a16="http://schemas.microsoft.com/office/drawing/2014/main" id="{00000000-0008-0000-0E00-00000C000000}"/>
            </a:ext>
          </a:extLst>
        </xdr:cNvPr>
        <xdr:cNvPicPr/>
      </xdr:nvPicPr>
      <xdr:blipFill>
        <a:blip xmlns:r="http://schemas.openxmlformats.org/officeDocument/2006/relationships" r:embed="rId2"/>
        <a:stretch/>
      </xdr:blipFill>
      <xdr:spPr>
        <a:xfrm>
          <a:off x="6560640" y="523800"/>
          <a:ext cx="3563640" cy="941400"/>
        </a:xfrm>
        <a:prstGeom prst="rect">
          <a:avLst/>
        </a:prstGeom>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123840</xdr:colOff>
      <xdr:row>41</xdr:row>
      <xdr:rowOff>123840</xdr:rowOff>
    </xdr:from>
    <xdr:to>
      <xdr:col>14</xdr:col>
      <xdr:colOff>1142640</xdr:colOff>
      <xdr:row>67</xdr:row>
      <xdr:rowOff>104400</xdr:rowOff>
    </xdr:to>
    <xdr:graphicFrame macro="">
      <xdr:nvGraphicFramePr>
        <xdr:cNvPr id="13" name="Chart 1">
          <a:extLst>
            <a:ext uri="{FF2B5EF4-FFF2-40B4-BE49-F238E27FC236}">
              <a16:creationId xmlns:a16="http://schemas.microsoft.com/office/drawing/2014/main" id="{00000000-0008-0000-0F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387360</xdr:colOff>
      <xdr:row>2</xdr:row>
      <xdr:rowOff>41400</xdr:rowOff>
    </xdr:from>
    <xdr:to>
      <xdr:col>9</xdr:col>
      <xdr:colOff>1521360</xdr:colOff>
      <xdr:row>9</xdr:row>
      <xdr:rowOff>17640</xdr:rowOff>
    </xdr:to>
    <xdr:pic>
      <xdr:nvPicPr>
        <xdr:cNvPr id="14" name="Graphics 1">
          <a:extLst>
            <a:ext uri="{FF2B5EF4-FFF2-40B4-BE49-F238E27FC236}">
              <a16:creationId xmlns:a16="http://schemas.microsoft.com/office/drawing/2014/main" id="{00000000-0008-0000-0F00-00000E000000}"/>
            </a:ext>
          </a:extLst>
        </xdr:cNvPr>
        <xdr:cNvPicPr/>
      </xdr:nvPicPr>
      <xdr:blipFill>
        <a:blip xmlns:r="http://schemas.openxmlformats.org/officeDocument/2006/relationships" r:embed="rId2"/>
        <a:stretch/>
      </xdr:blipFill>
      <xdr:spPr>
        <a:xfrm>
          <a:off x="7018560" y="384120"/>
          <a:ext cx="2595600" cy="1252440"/>
        </a:xfrm>
        <a:prstGeom prst="rect">
          <a:avLst/>
        </a:prstGeom>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123840</xdr:colOff>
      <xdr:row>41</xdr:row>
      <xdr:rowOff>123840</xdr:rowOff>
    </xdr:from>
    <xdr:to>
      <xdr:col>14</xdr:col>
      <xdr:colOff>1142640</xdr:colOff>
      <xdr:row>67</xdr:row>
      <xdr:rowOff>104400</xdr:rowOff>
    </xdr:to>
    <xdr:graphicFrame macro="">
      <xdr:nvGraphicFramePr>
        <xdr:cNvPr id="15" name="Chart 1">
          <a:extLst>
            <a:ext uri="{FF2B5EF4-FFF2-40B4-BE49-F238E27FC236}">
              <a16:creationId xmlns:a16="http://schemas.microsoft.com/office/drawing/2014/main" id="{00000000-0008-0000-10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800280</xdr:colOff>
      <xdr:row>0</xdr:row>
      <xdr:rowOff>0</xdr:rowOff>
    </xdr:from>
    <xdr:to>
      <xdr:col>9</xdr:col>
      <xdr:colOff>1238040</xdr:colOff>
      <xdr:row>9</xdr:row>
      <xdr:rowOff>88920</xdr:rowOff>
    </xdr:to>
    <xdr:pic>
      <xdr:nvPicPr>
        <xdr:cNvPr id="16" name="Picture 4">
          <a:extLst>
            <a:ext uri="{FF2B5EF4-FFF2-40B4-BE49-F238E27FC236}">
              <a16:creationId xmlns:a16="http://schemas.microsoft.com/office/drawing/2014/main" id="{00000000-0008-0000-1000-000010000000}"/>
            </a:ext>
          </a:extLst>
        </xdr:cNvPr>
        <xdr:cNvPicPr/>
      </xdr:nvPicPr>
      <xdr:blipFill>
        <a:blip xmlns:r="http://schemas.openxmlformats.org/officeDocument/2006/relationships" r:embed="rId2"/>
        <a:stretch/>
      </xdr:blipFill>
      <xdr:spPr>
        <a:xfrm>
          <a:off x="7431480" y="0"/>
          <a:ext cx="1899360" cy="1707840"/>
        </a:xfrm>
        <a:prstGeom prst="rect">
          <a:avLst/>
        </a:prstGeom>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123840</xdr:colOff>
      <xdr:row>41</xdr:row>
      <xdr:rowOff>123840</xdr:rowOff>
    </xdr:from>
    <xdr:to>
      <xdr:col>14</xdr:col>
      <xdr:colOff>1142640</xdr:colOff>
      <xdr:row>67</xdr:row>
      <xdr:rowOff>104400</xdr:rowOff>
    </xdr:to>
    <xdr:graphicFrame macro="">
      <xdr:nvGraphicFramePr>
        <xdr:cNvPr id="17" name="Chart 1">
          <a:extLst>
            <a:ext uri="{FF2B5EF4-FFF2-40B4-BE49-F238E27FC236}">
              <a16:creationId xmlns:a16="http://schemas.microsoft.com/office/drawing/2014/main" id="{00000000-0008-0000-11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1015920</xdr:colOff>
      <xdr:row>5</xdr:row>
      <xdr:rowOff>152280</xdr:rowOff>
    </xdr:from>
    <xdr:to>
      <xdr:col>10</xdr:col>
      <xdr:colOff>714960</xdr:colOff>
      <xdr:row>9</xdr:row>
      <xdr:rowOff>22680</xdr:rowOff>
    </xdr:to>
    <xdr:pic>
      <xdr:nvPicPr>
        <xdr:cNvPr id="18" name="Picture 2">
          <a:extLst>
            <a:ext uri="{FF2B5EF4-FFF2-40B4-BE49-F238E27FC236}">
              <a16:creationId xmlns:a16="http://schemas.microsoft.com/office/drawing/2014/main" id="{00000000-0008-0000-1100-000012000000}"/>
            </a:ext>
          </a:extLst>
        </xdr:cNvPr>
        <xdr:cNvPicPr/>
      </xdr:nvPicPr>
      <xdr:blipFill>
        <a:blip xmlns:r="http://schemas.openxmlformats.org/officeDocument/2006/relationships" r:embed="rId2"/>
        <a:stretch/>
      </xdr:blipFill>
      <xdr:spPr>
        <a:xfrm>
          <a:off x="6105240" y="1037880"/>
          <a:ext cx="4375800" cy="603720"/>
        </a:xfrm>
        <a:prstGeom prst="rect">
          <a:avLst/>
        </a:prstGeom>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123840</xdr:colOff>
      <xdr:row>41</xdr:row>
      <xdr:rowOff>123840</xdr:rowOff>
    </xdr:from>
    <xdr:to>
      <xdr:col>14</xdr:col>
      <xdr:colOff>1142640</xdr:colOff>
      <xdr:row>67</xdr:row>
      <xdr:rowOff>104400</xdr:rowOff>
    </xdr:to>
    <xdr:graphicFrame macro="">
      <xdr:nvGraphicFramePr>
        <xdr:cNvPr id="19" name="Chart 1">
          <a:extLst>
            <a:ext uri="{FF2B5EF4-FFF2-40B4-BE49-F238E27FC236}">
              <a16:creationId xmlns:a16="http://schemas.microsoft.com/office/drawing/2014/main" id="{00000000-0008-0000-12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743040</xdr:colOff>
      <xdr:row>1</xdr:row>
      <xdr:rowOff>104760</xdr:rowOff>
    </xdr:from>
    <xdr:to>
      <xdr:col>14</xdr:col>
      <xdr:colOff>1181160</xdr:colOff>
      <xdr:row>7</xdr:row>
      <xdr:rowOff>47520</xdr:rowOff>
    </xdr:to>
    <xdr:pic>
      <xdr:nvPicPr>
        <xdr:cNvPr id="20" name="Picture 1">
          <a:extLst>
            <a:ext uri="{FF2B5EF4-FFF2-40B4-BE49-F238E27FC236}">
              <a16:creationId xmlns:a16="http://schemas.microsoft.com/office/drawing/2014/main" id="{00000000-0008-0000-1200-000014000000}"/>
            </a:ext>
          </a:extLst>
        </xdr:cNvPr>
        <xdr:cNvPicPr/>
      </xdr:nvPicPr>
      <xdr:blipFill>
        <a:blip xmlns:r="http://schemas.openxmlformats.org/officeDocument/2006/relationships" r:embed="rId2"/>
        <a:stretch/>
      </xdr:blipFill>
      <xdr:spPr>
        <a:xfrm>
          <a:off x="11970360" y="266400"/>
          <a:ext cx="3481560" cy="1038240"/>
        </a:xfrm>
        <a:prstGeom prst="rect">
          <a:avLst/>
        </a:prstGeom>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123840</xdr:colOff>
      <xdr:row>41</xdr:row>
      <xdr:rowOff>123840</xdr:rowOff>
    </xdr:from>
    <xdr:to>
      <xdr:col>14</xdr:col>
      <xdr:colOff>1142640</xdr:colOff>
      <xdr:row>67</xdr:row>
      <xdr:rowOff>104400</xdr:rowOff>
    </xdr:to>
    <xdr:graphicFrame macro="">
      <xdr:nvGraphicFramePr>
        <xdr:cNvPr id="21" name="Chart 1">
          <a:extLst>
            <a:ext uri="{FF2B5EF4-FFF2-40B4-BE49-F238E27FC236}">
              <a16:creationId xmlns:a16="http://schemas.microsoft.com/office/drawing/2014/main" id="{00000000-0008-0000-13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552600</xdr:colOff>
      <xdr:row>75</xdr:row>
      <xdr:rowOff>47520</xdr:rowOff>
    </xdr:from>
    <xdr:to>
      <xdr:col>3</xdr:col>
      <xdr:colOff>-14789160</xdr:colOff>
      <xdr:row>75</xdr:row>
      <xdr:rowOff>328680</xdr:rowOff>
    </xdr:to>
    <xdr:pic>
      <xdr:nvPicPr>
        <xdr:cNvPr id="22" name="Picture 3">
          <a:extLst>
            <a:ext uri="{FF2B5EF4-FFF2-40B4-BE49-F238E27FC236}">
              <a16:creationId xmlns:a16="http://schemas.microsoft.com/office/drawing/2014/main" id="{00000000-0008-0000-1300-000016000000}"/>
            </a:ext>
          </a:extLst>
        </xdr:cNvPr>
        <xdr:cNvPicPr/>
      </xdr:nvPicPr>
      <xdr:blipFill>
        <a:blip xmlns:r="http://schemas.openxmlformats.org/officeDocument/2006/relationships" r:embed="rId2"/>
        <a:stretch/>
      </xdr:blipFill>
      <xdr:spPr>
        <a:xfrm>
          <a:off x="3545640" y="19598400"/>
          <a:ext cx="360000" cy="281160"/>
        </a:xfrm>
        <a:prstGeom prst="rect">
          <a:avLst/>
        </a:prstGeom>
        <a:ln>
          <a:noFill/>
        </a:ln>
      </xdr:spPr>
    </xdr:pic>
    <xdr:clientData/>
  </xdr:twoCellAnchor>
  <xdr:twoCellAnchor editAs="absolute">
    <xdr:from>
      <xdr:col>11</xdr:col>
      <xdr:colOff>743040</xdr:colOff>
      <xdr:row>1</xdr:row>
      <xdr:rowOff>104760</xdr:rowOff>
    </xdr:from>
    <xdr:to>
      <xdr:col>11</xdr:col>
      <xdr:colOff>-23023440</xdr:colOff>
      <xdr:row>7</xdr:row>
      <xdr:rowOff>47520</xdr:rowOff>
    </xdr:to>
    <xdr:pic>
      <xdr:nvPicPr>
        <xdr:cNvPr id="23" name="Picture 1">
          <a:extLst>
            <a:ext uri="{FF2B5EF4-FFF2-40B4-BE49-F238E27FC236}">
              <a16:creationId xmlns:a16="http://schemas.microsoft.com/office/drawing/2014/main" id="{00000000-0008-0000-1300-000017000000}"/>
            </a:ext>
          </a:extLst>
        </xdr:cNvPr>
        <xdr:cNvPicPr/>
      </xdr:nvPicPr>
      <xdr:blipFill>
        <a:blip xmlns:r="http://schemas.openxmlformats.org/officeDocument/2006/relationships" r:embed="rId3"/>
        <a:stretch/>
      </xdr:blipFill>
      <xdr:spPr>
        <a:xfrm>
          <a:off x="11970360" y="266400"/>
          <a:ext cx="360000" cy="1038240"/>
        </a:xfrm>
        <a:prstGeom prst="rect">
          <a:avLst/>
        </a:prstGeom>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MP%20Documentation/Documentation/Live%20Documentation/202.XXX%20Administrative/202.027%20ICM%20New%20&amp;%20Service%20&amp;%20Recalibration%20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d-10-micron"/>
      <sheetName val="mtd-100-micron"/>
      <sheetName val="mtd"/>
      <sheetName val="ICM Job Card 2012"/>
      <sheetName val="Service Report"/>
      <sheetName val="UK Sterling service quote"/>
      <sheetName val="Non UK Sterling service quote"/>
      <sheetName val="Euro Service Quote"/>
      <sheetName val="Calibration record"/>
      <sheetName val="MP Calibration Certificate"/>
      <sheetName val="LPM Certificate"/>
      <sheetName val="Solge Certificate"/>
      <sheetName val="RMF Certificate"/>
      <sheetName val="DesCase Cert"/>
      <sheetName val="CCJ Certificate"/>
      <sheetName val="Hanzaflex Certificate"/>
      <sheetName val="ICM SUNHML Certificate"/>
      <sheetName val="Unbranded Cert"/>
      <sheetName val="WEBTEC Cert"/>
    </sheetNames>
    <sheetDataSet>
      <sheetData sheetId="0"/>
      <sheetData sheetId="1"/>
      <sheetData sheetId="2"/>
      <sheetData sheetId="3"/>
      <sheetData sheetId="4"/>
      <sheetData sheetId="5"/>
      <sheetData sheetId="6"/>
      <sheetData sheetId="7"/>
      <sheetData sheetId="8">
        <row r="10">
          <cell r="H10" t="str">
            <v>12798M</v>
          </cell>
        </row>
        <row r="12">
          <cell r="H12" t="str">
            <v>J Scarrott</v>
          </cell>
        </row>
        <row r="50">
          <cell r="B50">
            <v>3485033.9285714291</v>
          </cell>
          <cell r="I50">
            <v>3467000</v>
          </cell>
        </row>
        <row r="51">
          <cell r="B51">
            <v>1369426.7857142859</v>
          </cell>
          <cell r="I51">
            <v>1402000</v>
          </cell>
        </row>
        <row r="52">
          <cell r="B52">
            <v>97432.285714285725</v>
          </cell>
          <cell r="I52">
            <v>96900</v>
          </cell>
        </row>
        <row r="53">
          <cell r="B53">
            <v>24243.71428571429</v>
          </cell>
          <cell r="I53" t="e">
            <v>#DIV/0!</v>
          </cell>
        </row>
        <row r="54">
          <cell r="B54">
            <v>11407.125</v>
          </cell>
          <cell r="I54" t="e">
            <v>#DIV/0!</v>
          </cell>
        </row>
        <row r="55">
          <cell r="B55">
            <v>1790.2610714285715</v>
          </cell>
          <cell r="I55" t="e">
            <v>#DIV/0!</v>
          </cell>
        </row>
        <row r="56">
          <cell r="B56">
            <v>691.28892857142864</v>
          </cell>
          <cell r="I56" t="e">
            <v>#DIV/0!</v>
          </cell>
        </row>
        <row r="57">
          <cell r="B57">
            <v>160.10000000000002</v>
          </cell>
          <cell r="I57" t="e">
            <v>#DIV/0!</v>
          </cell>
        </row>
      </sheetData>
      <sheetData sheetId="9"/>
      <sheetData sheetId="10"/>
      <sheetData sheetId="11"/>
      <sheetData sheetId="12">
        <row r="28">
          <cell r="D28" t="str">
            <v>&gt;4</v>
          </cell>
        </row>
        <row r="29">
          <cell r="D29" t="str">
            <v>&gt;6</v>
          </cell>
        </row>
        <row r="30">
          <cell r="D30" t="str">
            <v>&gt;14</v>
          </cell>
        </row>
        <row r="31">
          <cell r="D31" t="str">
            <v>&gt;21</v>
          </cell>
        </row>
        <row r="32">
          <cell r="D32" t="str">
            <v>&gt;25</v>
          </cell>
        </row>
        <row r="33">
          <cell r="D33" t="str">
            <v>&gt;38</v>
          </cell>
        </row>
        <row r="34">
          <cell r="D34" t="str">
            <v>&gt;**50</v>
          </cell>
        </row>
        <row r="35">
          <cell r="D35" t="str">
            <v>&gt;**70</v>
          </cell>
        </row>
      </sheetData>
      <sheetData sheetId="13"/>
      <sheetData sheetId="14"/>
      <sheetData sheetId="15"/>
      <sheetData sheetId="16"/>
      <sheetData sheetId="17"/>
      <sheetData sheetId="18"/>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36EF2AFD-F3B8-4D16-9DB7-F671B960FE5F}" autoFormatId="16" applyNumberFormats="0" applyBorderFormats="0" applyFontFormats="1" applyPatternFormats="1" applyAlignmentFormats="0" applyWidthHeightFormats="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3.xml"/><Relationship Id="rId16" Type="http://schemas.openxmlformats.org/officeDocument/2006/relationships/ctrlProp" Target="../ctrlProps/ctrlProp13.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3" Type="http://schemas.openxmlformats.org/officeDocument/2006/relationships/ctrlProp" Target="../ctrlProps/ctrlProp24.xml"/><Relationship Id="rId18" Type="http://schemas.openxmlformats.org/officeDocument/2006/relationships/ctrlProp" Target="../ctrlProps/ctrlProp29.xml"/><Relationship Id="rId26" Type="http://schemas.openxmlformats.org/officeDocument/2006/relationships/ctrlProp" Target="../ctrlProps/ctrlProp37.xml"/><Relationship Id="rId3" Type="http://schemas.openxmlformats.org/officeDocument/2006/relationships/ctrlProp" Target="../ctrlProps/ctrlProp14.xml"/><Relationship Id="rId21" Type="http://schemas.openxmlformats.org/officeDocument/2006/relationships/ctrlProp" Target="../ctrlProps/ctrlProp32.xml"/><Relationship Id="rId34" Type="http://schemas.openxmlformats.org/officeDocument/2006/relationships/ctrlProp" Target="../ctrlProps/ctrlProp45.x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5" Type="http://schemas.openxmlformats.org/officeDocument/2006/relationships/ctrlProp" Target="../ctrlProps/ctrlProp36.xml"/><Relationship Id="rId33" Type="http://schemas.openxmlformats.org/officeDocument/2006/relationships/ctrlProp" Target="../ctrlProps/ctrlProp44.xml"/><Relationship Id="rId2" Type="http://schemas.openxmlformats.org/officeDocument/2006/relationships/vmlDrawing" Target="../drawings/vmlDrawing4.vml"/><Relationship Id="rId16" Type="http://schemas.openxmlformats.org/officeDocument/2006/relationships/ctrlProp" Target="../ctrlProps/ctrlProp27.xml"/><Relationship Id="rId20" Type="http://schemas.openxmlformats.org/officeDocument/2006/relationships/ctrlProp" Target="../ctrlProps/ctrlProp31.xml"/><Relationship Id="rId29" Type="http://schemas.openxmlformats.org/officeDocument/2006/relationships/ctrlProp" Target="../ctrlProps/ctrlProp40.xml"/><Relationship Id="rId1" Type="http://schemas.openxmlformats.org/officeDocument/2006/relationships/drawing" Target="../drawings/drawing9.xml"/><Relationship Id="rId6" Type="http://schemas.openxmlformats.org/officeDocument/2006/relationships/ctrlProp" Target="../ctrlProps/ctrlProp17.xml"/><Relationship Id="rId11" Type="http://schemas.openxmlformats.org/officeDocument/2006/relationships/ctrlProp" Target="../ctrlProps/ctrlProp22.xml"/><Relationship Id="rId24" Type="http://schemas.openxmlformats.org/officeDocument/2006/relationships/ctrlProp" Target="../ctrlProps/ctrlProp35.xml"/><Relationship Id="rId32" Type="http://schemas.openxmlformats.org/officeDocument/2006/relationships/ctrlProp" Target="../ctrlProps/ctrlProp43.xml"/><Relationship Id="rId5" Type="http://schemas.openxmlformats.org/officeDocument/2006/relationships/ctrlProp" Target="../ctrlProps/ctrlProp16.xml"/><Relationship Id="rId15" Type="http://schemas.openxmlformats.org/officeDocument/2006/relationships/ctrlProp" Target="../ctrlProps/ctrlProp26.xml"/><Relationship Id="rId23" Type="http://schemas.openxmlformats.org/officeDocument/2006/relationships/ctrlProp" Target="../ctrlProps/ctrlProp34.xml"/><Relationship Id="rId28" Type="http://schemas.openxmlformats.org/officeDocument/2006/relationships/ctrlProp" Target="../ctrlProps/ctrlProp39.xml"/><Relationship Id="rId10" Type="http://schemas.openxmlformats.org/officeDocument/2006/relationships/ctrlProp" Target="../ctrlProps/ctrlProp21.xml"/><Relationship Id="rId19" Type="http://schemas.openxmlformats.org/officeDocument/2006/relationships/ctrlProp" Target="../ctrlProps/ctrlProp30.xml"/><Relationship Id="rId31" Type="http://schemas.openxmlformats.org/officeDocument/2006/relationships/ctrlProp" Target="../ctrlProps/ctrlProp42.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 Id="rId22" Type="http://schemas.openxmlformats.org/officeDocument/2006/relationships/ctrlProp" Target="../ctrlProps/ctrlProp33.xml"/><Relationship Id="rId27" Type="http://schemas.openxmlformats.org/officeDocument/2006/relationships/ctrlProp" Target="../ctrlProps/ctrlProp38.xml"/><Relationship Id="rId30" Type="http://schemas.openxmlformats.org/officeDocument/2006/relationships/ctrlProp" Target="../ctrlProps/ctrlProp41.xml"/><Relationship Id="rId35" Type="http://schemas.openxmlformats.org/officeDocument/2006/relationships/comments" Target="../comments4.xml"/><Relationship Id="rId8" Type="http://schemas.openxmlformats.org/officeDocument/2006/relationships/ctrlProp" Target="../ctrlProps/ctrlProp19.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4.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hyperlink" Target="http://www.mpfiltri.co.uk/"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
  <sheetViews>
    <sheetView zoomScale="95" zoomScaleNormal="95" workbookViewId="0"/>
  </sheetViews>
  <sheetFormatPr defaultRowHeight="12.75" x14ac:dyDescent="0.2"/>
  <cols>
    <col min="1" max="1025" width="8.5703125" customWidth="1"/>
  </cols>
  <sheetData/>
  <sheetProtection sheet="1" objects="1"/>
  <pageMargins left="0.75" right="0.75" top="1" bottom="1" header="0.51180555555555496" footer="0.51180555555555496"/>
  <pageSetup paperSize="77" firstPageNumber="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
  <sheetViews>
    <sheetView zoomScale="95" zoomScaleNormal="95" workbookViewId="0"/>
  </sheetViews>
  <sheetFormatPr defaultRowHeight="12.75" x14ac:dyDescent="0.2"/>
  <cols>
    <col min="1" max="1025" width="8.5703125" customWidth="1"/>
  </cols>
  <sheetData/>
  <pageMargins left="0.75" right="0.75" top="1" bottom="1" header="0.51180555555555496" footer="0.51180555555555496"/>
  <pageSetup paperSize="77" firstPageNumber="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C2688-9555-4E85-8E38-799F4A878ECE}">
  <sheetPr codeName="Sheet4"/>
  <dimension ref="A1:B236"/>
  <sheetViews>
    <sheetView workbookViewId="0">
      <selection activeCell="B35" sqref="B35"/>
    </sheetView>
  </sheetViews>
  <sheetFormatPr defaultColWidth="9.140625" defaultRowHeight="12.75" x14ac:dyDescent="0.2"/>
  <cols>
    <col min="1" max="1" width="43.7109375" style="184" bestFit="1" customWidth="1"/>
    <col min="2" max="2" width="12.28515625" style="185" bestFit="1" customWidth="1"/>
    <col min="3" max="16384" width="9.140625" style="184"/>
  </cols>
  <sheetData>
    <row r="1" spans="1:2" x14ac:dyDescent="0.2">
      <c r="A1" s="183" t="s">
        <v>181</v>
      </c>
    </row>
    <row r="2" spans="1:2" x14ac:dyDescent="0.2">
      <c r="A2" s="183" t="s">
        <v>192</v>
      </c>
      <c r="B2" s="186">
        <v>3502561</v>
      </c>
    </row>
    <row r="3" spans="1:2" x14ac:dyDescent="0.2">
      <c r="A3" s="183" t="s">
        <v>193</v>
      </c>
      <c r="B3" s="186">
        <v>1384415</v>
      </c>
    </row>
    <row r="4" spans="1:2" x14ac:dyDescent="0.2">
      <c r="A4" s="183" t="s">
        <v>194</v>
      </c>
      <c r="B4" s="185">
        <v>97621</v>
      </c>
    </row>
    <row r="5" spans="1:2" x14ac:dyDescent="0.2">
      <c r="A5" s="183" t="s">
        <v>195</v>
      </c>
      <c r="B5" s="186">
        <v>23939</v>
      </c>
    </row>
    <row r="6" spans="1:2" x14ac:dyDescent="0.2">
      <c r="A6" s="183" t="s">
        <v>196</v>
      </c>
      <c r="B6" s="186">
        <v>11133</v>
      </c>
    </row>
    <row r="7" spans="1:2" x14ac:dyDescent="0.2">
      <c r="A7" s="183" t="s">
        <v>197</v>
      </c>
      <c r="B7" s="186">
        <v>1551</v>
      </c>
    </row>
    <row r="8" spans="1:2" x14ac:dyDescent="0.2">
      <c r="A8" s="183" t="s">
        <v>198</v>
      </c>
      <c r="B8" s="186">
        <v>593</v>
      </c>
    </row>
    <row r="9" spans="1:2" x14ac:dyDescent="0.2">
      <c r="A9" s="183" t="s">
        <v>199</v>
      </c>
      <c r="B9" s="186">
        <v>71</v>
      </c>
    </row>
    <row r="10" spans="1:2" x14ac:dyDescent="0.2">
      <c r="A10" s="183" t="s">
        <v>200</v>
      </c>
      <c r="B10" s="186">
        <v>3504210</v>
      </c>
    </row>
    <row r="11" spans="1:2" x14ac:dyDescent="0.2">
      <c r="A11" s="183" t="s">
        <v>201</v>
      </c>
      <c r="B11" s="186">
        <v>1382038</v>
      </c>
    </row>
    <row r="12" spans="1:2" x14ac:dyDescent="0.2">
      <c r="A12" s="183" t="s">
        <v>202</v>
      </c>
      <c r="B12" s="186">
        <v>99179</v>
      </c>
    </row>
    <row r="13" spans="1:2" x14ac:dyDescent="0.2">
      <c r="A13" s="183" t="s">
        <v>203</v>
      </c>
      <c r="B13" s="186">
        <v>24541</v>
      </c>
    </row>
    <row r="14" spans="1:2" x14ac:dyDescent="0.2">
      <c r="A14" s="183" t="s">
        <v>204</v>
      </c>
      <c r="B14" s="186">
        <v>11031</v>
      </c>
    </row>
    <row r="15" spans="1:2" x14ac:dyDescent="0.2">
      <c r="A15" s="183" t="s">
        <v>205</v>
      </c>
      <c r="B15" s="186">
        <v>1458</v>
      </c>
    </row>
    <row r="16" spans="1:2" x14ac:dyDescent="0.2">
      <c r="A16" s="183" t="s">
        <v>206</v>
      </c>
      <c r="B16" s="186">
        <v>482</v>
      </c>
    </row>
    <row r="17" spans="1:2" x14ac:dyDescent="0.2">
      <c r="A17" s="183" t="s">
        <v>207</v>
      </c>
      <c r="B17" s="186">
        <v>71</v>
      </c>
    </row>
    <row r="18" spans="1:2" x14ac:dyDescent="0.2">
      <c r="A18" s="183" t="s">
        <v>208</v>
      </c>
      <c r="B18" s="186">
        <v>3524063</v>
      </c>
    </row>
    <row r="19" spans="1:2" x14ac:dyDescent="0.2">
      <c r="A19" s="183" t="s">
        <v>209</v>
      </c>
      <c r="B19" s="186">
        <v>1391154</v>
      </c>
    </row>
    <row r="20" spans="1:2" x14ac:dyDescent="0.2">
      <c r="A20" s="183" t="s">
        <v>210</v>
      </c>
      <c r="B20" s="186">
        <v>98798</v>
      </c>
    </row>
    <row r="21" spans="1:2" x14ac:dyDescent="0.2">
      <c r="A21" s="183" t="s">
        <v>211</v>
      </c>
      <c r="B21" s="186">
        <v>24709</v>
      </c>
    </row>
    <row r="22" spans="1:2" x14ac:dyDescent="0.2">
      <c r="A22" s="183" t="s">
        <v>212</v>
      </c>
      <c r="B22" s="186">
        <v>11141</v>
      </c>
    </row>
    <row r="23" spans="1:2" x14ac:dyDescent="0.2">
      <c r="A23" s="183" t="s">
        <v>213</v>
      </c>
      <c r="B23" s="186">
        <v>1411</v>
      </c>
    </row>
    <row r="24" spans="1:2" x14ac:dyDescent="0.2">
      <c r="A24" s="183" t="s">
        <v>214</v>
      </c>
      <c r="B24" s="186">
        <v>552</v>
      </c>
    </row>
    <row r="25" spans="1:2" x14ac:dyDescent="0.2">
      <c r="A25" s="183" t="s">
        <v>215</v>
      </c>
      <c r="B25" s="186">
        <v>42</v>
      </c>
    </row>
    <row r="26" spans="1:2" x14ac:dyDescent="0.2">
      <c r="A26" s="183" t="s">
        <v>216</v>
      </c>
      <c r="B26" s="186">
        <v>61</v>
      </c>
    </row>
    <row r="27" spans="1:2" x14ac:dyDescent="0.2">
      <c r="A27" s="183" t="s">
        <v>217</v>
      </c>
      <c r="B27" s="186">
        <v>11559</v>
      </c>
    </row>
    <row r="28" spans="1:2" x14ac:dyDescent="0.2">
      <c r="A28" s="183"/>
      <c r="B28" s="186"/>
    </row>
    <row r="29" spans="1:2" x14ac:dyDescent="0.2">
      <c r="A29" s="183"/>
      <c r="B29" s="186"/>
    </row>
    <row r="30" spans="1:2" x14ac:dyDescent="0.2">
      <c r="A30" s="183"/>
      <c r="B30" s="186"/>
    </row>
    <row r="31" spans="1:2" x14ac:dyDescent="0.2">
      <c r="A31" s="183"/>
      <c r="B31" s="186"/>
    </row>
    <row r="32" spans="1:2" x14ac:dyDescent="0.2">
      <c r="A32" s="183"/>
      <c r="B32" s="186"/>
    </row>
    <row r="33" spans="1:2" x14ac:dyDescent="0.2">
      <c r="A33" s="183"/>
      <c r="B33" s="186"/>
    </row>
    <row r="34" spans="1:2" x14ac:dyDescent="0.2">
      <c r="A34" s="183" t="s">
        <v>182</v>
      </c>
      <c r="B34" s="186"/>
    </row>
    <row r="35" spans="1:2" x14ac:dyDescent="0.2">
      <c r="A35" s="183" t="s">
        <v>218</v>
      </c>
      <c r="B35" s="189">
        <v>45999.7</v>
      </c>
    </row>
    <row r="36" spans="1:2" x14ac:dyDescent="0.2">
      <c r="A36" s="183" t="s">
        <v>219</v>
      </c>
      <c r="B36" s="186">
        <v>204</v>
      </c>
    </row>
    <row r="37" spans="1:2" x14ac:dyDescent="0.2">
      <c r="A37" s="183" t="s">
        <v>183</v>
      </c>
      <c r="B37" s="186"/>
    </row>
    <row r="38" spans="1:2" x14ac:dyDescent="0.2">
      <c r="A38" s="183" t="s">
        <v>220</v>
      </c>
      <c r="B38" s="186">
        <v>12.57</v>
      </c>
    </row>
    <row r="39" spans="1:2" x14ac:dyDescent="0.2">
      <c r="A39" s="183" t="s">
        <v>221</v>
      </c>
      <c r="B39" s="186">
        <v>12.57</v>
      </c>
    </row>
    <row r="40" spans="1:2" x14ac:dyDescent="0.2">
      <c r="A40" s="183" t="s">
        <v>222</v>
      </c>
      <c r="B40" s="186">
        <v>16</v>
      </c>
    </row>
    <row r="41" spans="1:2" x14ac:dyDescent="0.2">
      <c r="A41" s="183" t="s">
        <v>223</v>
      </c>
      <c r="B41" s="186">
        <v>201.12</v>
      </c>
    </row>
    <row r="42" spans="1:2" x14ac:dyDescent="0.2">
      <c r="A42" s="183" t="s">
        <v>224</v>
      </c>
      <c r="B42" s="186">
        <v>201.06</v>
      </c>
    </row>
    <row r="43" spans="1:2" x14ac:dyDescent="0.2">
      <c r="A43" s="183" t="s">
        <v>225</v>
      </c>
      <c r="B43" s="186">
        <v>12.57</v>
      </c>
    </row>
    <row r="44" spans="1:2" x14ac:dyDescent="0.2">
      <c r="A44" s="183" t="s">
        <v>226</v>
      </c>
      <c r="B44" s="186">
        <v>12.57</v>
      </c>
    </row>
    <row r="45" spans="1:2" x14ac:dyDescent="0.2">
      <c r="A45" s="183" t="s">
        <v>227</v>
      </c>
      <c r="B45" s="186">
        <v>15.995200000000001</v>
      </c>
    </row>
    <row r="46" spans="1:2" x14ac:dyDescent="0.2">
      <c r="A46" s="183" t="s">
        <v>228</v>
      </c>
      <c r="B46" s="186">
        <v>-1</v>
      </c>
    </row>
    <row r="47" spans="1:2" x14ac:dyDescent="0.2">
      <c r="A47" s="183" t="s">
        <v>229</v>
      </c>
      <c r="B47" s="186">
        <v>0</v>
      </c>
    </row>
    <row r="48" spans="1:2" x14ac:dyDescent="0.2">
      <c r="A48" s="183" t="s">
        <v>230</v>
      </c>
      <c r="B48" s="186">
        <v>367</v>
      </c>
    </row>
    <row r="49" spans="1:2" x14ac:dyDescent="0.2">
      <c r="A49" s="183" t="s">
        <v>231</v>
      </c>
      <c r="B49" s="187">
        <v>0</v>
      </c>
    </row>
    <row r="50" spans="1:2" x14ac:dyDescent="0.2">
      <c r="A50" s="183"/>
      <c r="B50" s="186"/>
    </row>
    <row r="51" spans="1:2" x14ac:dyDescent="0.2">
      <c r="A51" s="183"/>
      <c r="B51" s="186"/>
    </row>
    <row r="52" spans="1:2" x14ac:dyDescent="0.2">
      <c r="A52" s="183"/>
      <c r="B52" s="186"/>
    </row>
    <row r="53" spans="1:2" x14ac:dyDescent="0.2">
      <c r="A53" s="183"/>
      <c r="B53" s="186"/>
    </row>
    <row r="54" spans="1:2" x14ac:dyDescent="0.2">
      <c r="A54" s="183"/>
      <c r="B54" s="186"/>
    </row>
    <row r="55" spans="1:2" x14ac:dyDescent="0.2">
      <c r="A55" s="183"/>
      <c r="B55" s="186"/>
    </row>
    <row r="56" spans="1:2" x14ac:dyDescent="0.2">
      <c r="A56" s="183"/>
      <c r="B56" s="186"/>
    </row>
    <row r="57" spans="1:2" x14ac:dyDescent="0.2">
      <c r="A57" s="183" t="s">
        <v>184</v>
      </c>
      <c r="B57" s="186"/>
    </row>
    <row r="58" spans="1:2" x14ac:dyDescent="0.2">
      <c r="A58" s="183" t="s">
        <v>232</v>
      </c>
      <c r="B58" s="185">
        <v>1765210805</v>
      </c>
    </row>
    <row r="59" spans="1:2" x14ac:dyDescent="0.2">
      <c r="A59" s="183" t="s">
        <v>233</v>
      </c>
      <c r="B59" s="186">
        <v>204</v>
      </c>
    </row>
    <row r="60" spans="1:2" x14ac:dyDescent="0.2">
      <c r="A60" s="183" t="s">
        <v>234</v>
      </c>
      <c r="B60" s="186">
        <v>0</v>
      </c>
    </row>
    <row r="61" spans="1:2" x14ac:dyDescent="0.2">
      <c r="A61" s="183" t="s">
        <v>235</v>
      </c>
      <c r="B61" s="186">
        <v>0</v>
      </c>
    </row>
    <row r="62" spans="1:2" x14ac:dyDescent="0.2">
      <c r="A62" s="183" t="s">
        <v>236</v>
      </c>
      <c r="B62" s="186">
        <v>0</v>
      </c>
    </row>
    <row r="63" spans="1:2" x14ac:dyDescent="0.2">
      <c r="A63" s="183" t="s">
        <v>237</v>
      </c>
      <c r="B63" s="186">
        <v>0</v>
      </c>
    </row>
    <row r="64" spans="1:2" x14ac:dyDescent="0.2">
      <c r="A64" s="183" t="s">
        <v>238</v>
      </c>
      <c r="B64" s="186">
        <v>0</v>
      </c>
    </row>
    <row r="65" spans="1:2" x14ac:dyDescent="0.2">
      <c r="A65" s="183" t="s">
        <v>185</v>
      </c>
      <c r="B65" s="186"/>
    </row>
    <row r="66" spans="1:2" x14ac:dyDescent="0.2">
      <c r="A66" s="183" t="s">
        <v>239</v>
      </c>
      <c r="B66" s="186">
        <v>1</v>
      </c>
    </row>
    <row r="67" spans="1:2" x14ac:dyDescent="0.2">
      <c r="A67" s="183" t="s">
        <v>240</v>
      </c>
      <c r="B67" s="186">
        <v>1</v>
      </c>
    </row>
    <row r="68" spans="1:2" x14ac:dyDescent="0.2">
      <c r="A68" s="183" t="s">
        <v>241</v>
      </c>
      <c r="B68" s="186">
        <v>1</v>
      </c>
    </row>
    <row r="69" spans="1:2" x14ac:dyDescent="0.2">
      <c r="A69" s="183" t="s">
        <v>242</v>
      </c>
      <c r="B69" s="186">
        <v>0</v>
      </c>
    </row>
    <row r="70" spans="1:2" x14ac:dyDescent="0.2">
      <c r="A70" s="183" t="s">
        <v>243</v>
      </c>
      <c r="B70" s="188">
        <v>1</v>
      </c>
    </row>
    <row r="71" spans="1:2" x14ac:dyDescent="0.2">
      <c r="A71" s="183" t="s">
        <v>244</v>
      </c>
      <c r="B71" s="186">
        <v>1</v>
      </c>
    </row>
    <row r="72" spans="1:2" x14ac:dyDescent="0.2">
      <c r="A72" s="183" t="s">
        <v>245</v>
      </c>
      <c r="B72" s="186">
        <v>1</v>
      </c>
    </row>
    <row r="73" spans="1:2" x14ac:dyDescent="0.2">
      <c r="A73" s="183" t="s">
        <v>246</v>
      </c>
      <c r="B73" s="186">
        <v>1</v>
      </c>
    </row>
    <row r="74" spans="1:2" x14ac:dyDescent="0.2">
      <c r="A74" s="183" t="s">
        <v>247</v>
      </c>
      <c r="B74" s="186">
        <v>1</v>
      </c>
    </row>
    <row r="75" spans="1:2" x14ac:dyDescent="0.2">
      <c r="A75" s="183" t="s">
        <v>248</v>
      </c>
      <c r="B75" s="185">
        <v>0</v>
      </c>
    </row>
    <row r="76" spans="1:2" x14ac:dyDescent="0.2">
      <c r="A76" s="183" t="s">
        <v>409</v>
      </c>
      <c r="B76" s="186">
        <v>0</v>
      </c>
    </row>
    <row r="77" spans="1:2" x14ac:dyDescent="0.2">
      <c r="A77" s="183" t="s">
        <v>249</v>
      </c>
      <c r="B77" s="185">
        <v>0</v>
      </c>
    </row>
    <row r="78" spans="1:2" x14ac:dyDescent="0.2">
      <c r="A78" s="183"/>
      <c r="B78" s="186"/>
    </row>
    <row r="79" spans="1:2" x14ac:dyDescent="0.2">
      <c r="A79" s="183"/>
      <c r="B79" s="186"/>
    </row>
    <row r="80" spans="1:2" x14ac:dyDescent="0.2">
      <c r="A80" s="183"/>
      <c r="B80" s="186"/>
    </row>
    <row r="81" spans="1:2" x14ac:dyDescent="0.2">
      <c r="A81" s="183"/>
      <c r="B81" s="186"/>
    </row>
    <row r="82" spans="1:2" x14ac:dyDescent="0.2">
      <c r="A82" s="183"/>
      <c r="B82" s="186"/>
    </row>
    <row r="83" spans="1:2" x14ac:dyDescent="0.2">
      <c r="A83" s="183"/>
      <c r="B83" s="186"/>
    </row>
    <row r="84" spans="1:2" x14ac:dyDescent="0.2">
      <c r="A84" s="183"/>
      <c r="B84" s="186"/>
    </row>
    <row r="85" spans="1:2" x14ac:dyDescent="0.2">
      <c r="A85" s="183" t="s">
        <v>186</v>
      </c>
      <c r="B85" s="186"/>
    </row>
    <row r="86" spans="1:2" x14ac:dyDescent="0.2">
      <c r="A86" s="183" t="s">
        <v>250</v>
      </c>
      <c r="B86" s="186">
        <v>68</v>
      </c>
    </row>
    <row r="87" spans="1:2" x14ac:dyDescent="0.2">
      <c r="A87" s="183" t="s">
        <v>251</v>
      </c>
      <c r="B87" s="186">
        <v>160</v>
      </c>
    </row>
    <row r="88" spans="1:2" x14ac:dyDescent="0.2">
      <c r="A88" s="183" t="s">
        <v>252</v>
      </c>
      <c r="B88" s="186">
        <v>0</v>
      </c>
    </row>
    <row r="89" spans="1:2" x14ac:dyDescent="0.2">
      <c r="A89" s="183" t="s">
        <v>253</v>
      </c>
      <c r="B89" s="186">
        <v>400</v>
      </c>
    </row>
    <row r="90" spans="1:2" x14ac:dyDescent="0.2">
      <c r="A90" s="183" t="s">
        <v>254</v>
      </c>
      <c r="B90" s="186">
        <v>1000</v>
      </c>
    </row>
    <row r="91" spans="1:2" x14ac:dyDescent="0.2">
      <c r="A91" s="183" t="s">
        <v>255</v>
      </c>
      <c r="B91" s="186">
        <v>10558</v>
      </c>
    </row>
    <row r="92" spans="1:2" x14ac:dyDescent="0.2">
      <c r="A92" s="183" t="s">
        <v>256</v>
      </c>
      <c r="B92" s="186">
        <v>109.48</v>
      </c>
    </row>
    <row r="93" spans="1:2" x14ac:dyDescent="0.2">
      <c r="A93" s="183" t="s">
        <v>257</v>
      </c>
      <c r="B93" s="186">
        <v>50</v>
      </c>
    </row>
    <row r="94" spans="1:2" x14ac:dyDescent="0.2">
      <c r="A94" s="183" t="s">
        <v>258</v>
      </c>
      <c r="B94" s="186">
        <v>1765210840</v>
      </c>
    </row>
    <row r="95" spans="1:2" x14ac:dyDescent="0.2">
      <c r="A95" s="183" t="s">
        <v>259</v>
      </c>
      <c r="B95" s="186">
        <v>1796746840</v>
      </c>
    </row>
    <row r="96" spans="1:2" x14ac:dyDescent="0.2">
      <c r="A96" s="183"/>
      <c r="B96" s="186"/>
    </row>
    <row r="97" spans="1:2" x14ac:dyDescent="0.2">
      <c r="A97" s="183" t="s">
        <v>187</v>
      </c>
      <c r="B97" s="186"/>
    </row>
    <row r="98" spans="1:2" x14ac:dyDescent="0.2">
      <c r="A98" s="183" t="s">
        <v>260</v>
      </c>
      <c r="B98" s="186">
        <v>134</v>
      </c>
    </row>
    <row r="99" spans="1:2" x14ac:dyDescent="0.2">
      <c r="A99" s="183" t="s">
        <v>261</v>
      </c>
      <c r="B99" s="186">
        <v>324</v>
      </c>
    </row>
    <row r="100" spans="1:2" x14ac:dyDescent="0.2">
      <c r="A100" s="183" t="s">
        <v>262</v>
      </c>
      <c r="B100" s="186">
        <v>1886</v>
      </c>
    </row>
    <row r="101" spans="1:2" x14ac:dyDescent="0.2">
      <c r="A101" s="183" t="s">
        <v>263</v>
      </c>
      <c r="B101" s="186">
        <v>4122</v>
      </c>
    </row>
    <row r="102" spans="1:2" x14ac:dyDescent="0.2">
      <c r="A102" s="183" t="s">
        <v>264</v>
      </c>
      <c r="B102" s="186">
        <v>6566</v>
      </c>
    </row>
    <row r="103" spans="1:2" x14ac:dyDescent="0.2">
      <c r="A103" s="183" t="s">
        <v>265</v>
      </c>
      <c r="B103" s="186">
        <v>16000</v>
      </c>
    </row>
    <row r="104" spans="1:2" x14ac:dyDescent="0.2">
      <c r="A104" s="183" t="s">
        <v>266</v>
      </c>
      <c r="B104" s="186">
        <v>22008</v>
      </c>
    </row>
    <row r="105" spans="1:2" x14ac:dyDescent="0.2">
      <c r="A105" s="183" t="s">
        <v>267</v>
      </c>
      <c r="B105" s="186">
        <v>32390</v>
      </c>
    </row>
    <row r="106" spans="1:2" x14ac:dyDescent="0.2">
      <c r="A106" s="183"/>
      <c r="B106" s="186"/>
    </row>
    <row r="107" spans="1:2" x14ac:dyDescent="0.2">
      <c r="A107" s="183" t="s">
        <v>268</v>
      </c>
      <c r="B107" s="186">
        <v>4095</v>
      </c>
    </row>
    <row r="108" spans="1:2" x14ac:dyDescent="0.2">
      <c r="A108" s="183" t="s">
        <v>269</v>
      </c>
      <c r="B108" s="186">
        <v>0</v>
      </c>
    </row>
    <row r="109" spans="1:2" x14ac:dyDescent="0.2">
      <c r="A109" s="183" t="s">
        <v>270</v>
      </c>
      <c r="B109" s="186">
        <v>0</v>
      </c>
    </row>
    <row r="110" spans="1:2" x14ac:dyDescent="0.2">
      <c r="A110" s="183" t="s">
        <v>271</v>
      </c>
      <c r="B110" s="186">
        <v>15</v>
      </c>
    </row>
    <row r="111" spans="1:2" x14ac:dyDescent="0.2">
      <c r="A111" s="183" t="s">
        <v>272</v>
      </c>
      <c r="B111" s="186">
        <v>15</v>
      </c>
    </row>
    <row r="112" spans="1:2" x14ac:dyDescent="0.2">
      <c r="A112" s="183" t="s">
        <v>273</v>
      </c>
      <c r="B112" s="186">
        <v>15</v>
      </c>
    </row>
    <row r="113" spans="1:2" x14ac:dyDescent="0.2">
      <c r="A113" s="183"/>
      <c r="B113" s="186"/>
    </row>
    <row r="114" spans="1:2" x14ac:dyDescent="0.2">
      <c r="A114" s="183"/>
      <c r="B114" s="186"/>
    </row>
    <row r="115" spans="1:2" x14ac:dyDescent="0.2">
      <c r="A115" s="183"/>
      <c r="B115" s="186"/>
    </row>
    <row r="116" spans="1:2" x14ac:dyDescent="0.2">
      <c r="A116" s="183"/>
      <c r="B116" s="186"/>
    </row>
    <row r="117" spans="1:2" x14ac:dyDescent="0.2">
      <c r="A117" s="183"/>
      <c r="B117" s="186"/>
    </row>
    <row r="118" spans="1:2" x14ac:dyDescent="0.2">
      <c r="A118" s="183"/>
      <c r="B118" s="186"/>
    </row>
    <row r="119" spans="1:2" x14ac:dyDescent="0.2">
      <c r="A119" s="183"/>
      <c r="B119" s="186"/>
    </row>
    <row r="120" spans="1:2" x14ac:dyDescent="0.2">
      <c r="A120" s="183"/>
      <c r="B120" s="186"/>
    </row>
    <row r="121" spans="1:2" x14ac:dyDescent="0.2">
      <c r="A121" s="183"/>
      <c r="B121" s="186"/>
    </row>
    <row r="122" spans="1:2" x14ac:dyDescent="0.2">
      <c r="A122" s="183"/>
      <c r="B122" s="186"/>
    </row>
    <row r="123" spans="1:2" x14ac:dyDescent="0.2">
      <c r="A123" s="183"/>
      <c r="B123" s="186"/>
    </row>
    <row r="124" spans="1:2" x14ac:dyDescent="0.2">
      <c r="A124" s="183"/>
      <c r="B124" s="186"/>
    </row>
    <row r="125" spans="1:2" x14ac:dyDescent="0.2">
      <c r="A125" s="183"/>
      <c r="B125" s="186"/>
    </row>
    <row r="126" spans="1:2" x14ac:dyDescent="0.2">
      <c r="A126" s="183" t="s">
        <v>188</v>
      </c>
      <c r="B126" s="186"/>
    </row>
    <row r="127" spans="1:2" x14ac:dyDescent="0.2">
      <c r="A127" s="183" t="s">
        <v>274</v>
      </c>
      <c r="B127" s="186" t="s">
        <v>410</v>
      </c>
    </row>
    <row r="128" spans="1:2" x14ac:dyDescent="0.2">
      <c r="A128" s="183" t="s">
        <v>275</v>
      </c>
      <c r="B128" s="186">
        <v>1</v>
      </c>
    </row>
    <row r="129" spans="1:2" x14ac:dyDescent="0.2">
      <c r="A129" s="183" t="s">
        <v>276</v>
      </c>
      <c r="B129" s="186">
        <v>0</v>
      </c>
    </row>
    <row r="130" spans="1:2" x14ac:dyDescent="0.2">
      <c r="A130" s="183" t="s">
        <v>277</v>
      </c>
      <c r="B130" s="186">
        <v>0</v>
      </c>
    </row>
    <row r="131" spans="1:2" x14ac:dyDescent="0.2">
      <c r="A131" s="183" t="s">
        <v>278</v>
      </c>
      <c r="B131" s="186">
        <v>120</v>
      </c>
    </row>
    <row r="132" spans="1:2" x14ac:dyDescent="0.2">
      <c r="A132" s="183" t="s">
        <v>279</v>
      </c>
      <c r="B132" s="186">
        <v>12</v>
      </c>
    </row>
    <row r="133" spans="1:2" x14ac:dyDescent="0.2">
      <c r="A133" s="183" t="s">
        <v>280</v>
      </c>
      <c r="B133" s="186">
        <v>0</v>
      </c>
    </row>
    <row r="134" spans="1:2" x14ac:dyDescent="0.2">
      <c r="A134" s="183" t="s">
        <v>281</v>
      </c>
      <c r="B134" s="186">
        <v>0</v>
      </c>
    </row>
    <row r="135" spans="1:2" x14ac:dyDescent="0.2">
      <c r="A135" s="183"/>
      <c r="B135" s="186"/>
    </row>
    <row r="136" spans="1:2" x14ac:dyDescent="0.2">
      <c r="A136" s="183" t="s">
        <v>189</v>
      </c>
      <c r="B136" s="186"/>
    </row>
    <row r="137" spans="1:2" x14ac:dyDescent="0.2">
      <c r="A137" s="183" t="s">
        <v>282</v>
      </c>
      <c r="B137" s="186">
        <v>0</v>
      </c>
    </row>
    <row r="138" spans="1:2" x14ac:dyDescent="0.2">
      <c r="A138" s="183" t="s">
        <v>283</v>
      </c>
      <c r="B138" s="186">
        <v>0</v>
      </c>
    </row>
    <row r="139" spans="1:2" x14ac:dyDescent="0.2">
      <c r="A139" s="183" t="s">
        <v>284</v>
      </c>
      <c r="B139" s="186">
        <v>0</v>
      </c>
    </row>
    <row r="140" spans="1:2" x14ac:dyDescent="0.2">
      <c r="A140" s="183" t="s">
        <v>285</v>
      </c>
      <c r="B140" s="186">
        <v>0</v>
      </c>
    </row>
    <row r="141" spans="1:2" x14ac:dyDescent="0.2">
      <c r="A141" s="183" t="s">
        <v>286</v>
      </c>
      <c r="B141" s="186">
        <v>0</v>
      </c>
    </row>
    <row r="142" spans="1:2" x14ac:dyDescent="0.2">
      <c r="A142" s="183" t="s">
        <v>287</v>
      </c>
      <c r="B142" s="186">
        <v>0</v>
      </c>
    </row>
    <row r="143" spans="1:2" x14ac:dyDescent="0.2">
      <c r="A143" s="183" t="s">
        <v>288</v>
      </c>
      <c r="B143" s="186">
        <v>0</v>
      </c>
    </row>
    <row r="144" spans="1:2" x14ac:dyDescent="0.2">
      <c r="A144" s="183" t="s">
        <v>289</v>
      </c>
      <c r="B144" s="186">
        <v>0</v>
      </c>
    </row>
    <row r="145" spans="1:2" x14ac:dyDescent="0.2">
      <c r="A145" s="183" t="s">
        <v>290</v>
      </c>
      <c r="B145" s="186">
        <v>1</v>
      </c>
    </row>
    <row r="146" spans="1:2" x14ac:dyDescent="0.2">
      <c r="A146" s="183" t="s">
        <v>291</v>
      </c>
      <c r="B146" s="186">
        <v>0</v>
      </c>
    </row>
    <row r="147" spans="1:2" x14ac:dyDescent="0.2">
      <c r="A147" s="183"/>
      <c r="B147" s="186"/>
    </row>
    <row r="148" spans="1:2" x14ac:dyDescent="0.2">
      <c r="A148" s="183"/>
      <c r="B148" s="186"/>
    </row>
    <row r="149" spans="1:2" x14ac:dyDescent="0.2">
      <c r="A149" s="183"/>
      <c r="B149" s="186"/>
    </row>
    <row r="150" spans="1:2" x14ac:dyDescent="0.2">
      <c r="A150" s="183"/>
      <c r="B150" s="186"/>
    </row>
    <row r="151" spans="1:2" x14ac:dyDescent="0.2">
      <c r="A151" s="183"/>
      <c r="B151" s="186"/>
    </row>
    <row r="152" spans="1:2" x14ac:dyDescent="0.2">
      <c r="A152" s="183"/>
      <c r="B152" s="186"/>
    </row>
    <row r="153" spans="1:2" x14ac:dyDescent="0.2">
      <c r="A153" s="183"/>
      <c r="B153" s="186"/>
    </row>
    <row r="154" spans="1:2" x14ac:dyDescent="0.2">
      <c r="A154" s="183" t="s">
        <v>190</v>
      </c>
      <c r="B154" s="186"/>
    </row>
    <row r="155" spans="1:2" x14ac:dyDescent="0.2">
      <c r="A155" s="183" t="s">
        <v>292</v>
      </c>
      <c r="B155" s="186">
        <v>-2147483648</v>
      </c>
    </row>
    <row r="156" spans="1:2" x14ac:dyDescent="0.2">
      <c r="A156" s="183" t="s">
        <v>293</v>
      </c>
      <c r="B156" s="186">
        <v>-2147483648</v>
      </c>
    </row>
    <row r="157" spans="1:2" x14ac:dyDescent="0.2">
      <c r="A157" s="183" t="s">
        <v>294</v>
      </c>
      <c r="B157" s="186">
        <v>-2147483648</v>
      </c>
    </row>
    <row r="158" spans="1:2" x14ac:dyDescent="0.2">
      <c r="A158" s="183" t="s">
        <v>295</v>
      </c>
      <c r="B158" s="186">
        <v>-2147483648</v>
      </c>
    </row>
    <row r="159" spans="1:2" x14ac:dyDescent="0.2">
      <c r="A159" s="183" t="s">
        <v>296</v>
      </c>
      <c r="B159" s="186">
        <v>-2147483648</v>
      </c>
    </row>
    <row r="160" spans="1:2" x14ac:dyDescent="0.2">
      <c r="A160" s="183" t="s">
        <v>297</v>
      </c>
      <c r="B160" s="186">
        <v>-2147483648</v>
      </c>
    </row>
    <row r="161" spans="1:2" x14ac:dyDescent="0.2">
      <c r="A161" s="183" t="s">
        <v>298</v>
      </c>
      <c r="B161" s="186">
        <v>-2147483648</v>
      </c>
    </row>
    <row r="162" spans="1:2" x14ac:dyDescent="0.2">
      <c r="A162" s="183" t="s">
        <v>299</v>
      </c>
      <c r="B162" s="186">
        <v>-2147483648</v>
      </c>
    </row>
    <row r="163" spans="1:2" x14ac:dyDescent="0.2">
      <c r="A163" s="183" t="s">
        <v>300</v>
      </c>
      <c r="B163" s="186">
        <v>-2147483648</v>
      </c>
    </row>
    <row r="164" spans="1:2" x14ac:dyDescent="0.2">
      <c r="A164" s="183" t="s">
        <v>301</v>
      </c>
      <c r="B164" s="186">
        <v>-2147483648</v>
      </c>
    </row>
    <row r="165" spans="1:2" x14ac:dyDescent="0.2">
      <c r="A165" s="183" t="s">
        <v>302</v>
      </c>
      <c r="B165" s="186">
        <v>-2147483648</v>
      </c>
    </row>
    <row r="166" spans="1:2" x14ac:dyDescent="0.2">
      <c r="A166" s="183" t="s">
        <v>303</v>
      </c>
      <c r="B166" s="186">
        <v>-2147483648</v>
      </c>
    </row>
    <row r="167" spans="1:2" x14ac:dyDescent="0.2">
      <c r="A167" s="183" t="s">
        <v>304</v>
      </c>
      <c r="B167" s="186">
        <v>-2147483648</v>
      </c>
    </row>
    <row r="168" spans="1:2" x14ac:dyDescent="0.2">
      <c r="A168" s="183" t="s">
        <v>305</v>
      </c>
      <c r="B168" s="186">
        <v>-2147483648</v>
      </c>
    </row>
    <row r="169" spans="1:2" x14ac:dyDescent="0.2">
      <c r="A169" s="183" t="s">
        <v>306</v>
      </c>
      <c r="B169" s="186">
        <v>-2147483648</v>
      </c>
    </row>
    <row r="170" spans="1:2" x14ac:dyDescent="0.2">
      <c r="A170" s="183" t="s">
        <v>307</v>
      </c>
      <c r="B170" s="186">
        <v>-2147483648</v>
      </c>
    </row>
    <row r="171" spans="1:2" x14ac:dyDescent="0.2">
      <c r="A171" s="183" t="s">
        <v>308</v>
      </c>
      <c r="B171" s="187">
        <v>0</v>
      </c>
    </row>
    <row r="172" spans="1:2" x14ac:dyDescent="0.2">
      <c r="A172" s="183" t="s">
        <v>309</v>
      </c>
      <c r="B172" s="187">
        <v>0</v>
      </c>
    </row>
    <row r="173" spans="1:2" x14ac:dyDescent="0.2">
      <c r="A173" s="183" t="s">
        <v>310</v>
      </c>
      <c r="B173" s="187">
        <v>0</v>
      </c>
    </row>
    <row r="174" spans="1:2" x14ac:dyDescent="0.2">
      <c r="A174" s="183" t="s">
        <v>311</v>
      </c>
      <c r="B174" s="187">
        <v>0</v>
      </c>
    </row>
    <row r="175" spans="1:2" x14ac:dyDescent="0.2">
      <c r="A175" s="183"/>
      <c r="B175" s="186"/>
    </row>
    <row r="176" spans="1:2" x14ac:dyDescent="0.2">
      <c r="A176" s="183" t="s">
        <v>312</v>
      </c>
      <c r="B176" s="186">
        <v>0</v>
      </c>
    </row>
    <row r="177" spans="1:2" x14ac:dyDescent="0.2">
      <c r="A177" s="183" t="s">
        <v>313</v>
      </c>
      <c r="B177" s="186">
        <v>0</v>
      </c>
    </row>
    <row r="178" spans="1:2" x14ac:dyDescent="0.2">
      <c r="A178" s="183" t="s">
        <v>314</v>
      </c>
      <c r="B178" s="186">
        <v>4</v>
      </c>
    </row>
    <row r="179" spans="1:2" x14ac:dyDescent="0.2">
      <c r="A179" s="183" t="s">
        <v>315</v>
      </c>
      <c r="B179" s="186">
        <v>419411263</v>
      </c>
    </row>
    <row r="180" spans="1:2" x14ac:dyDescent="0.2">
      <c r="A180" s="183" t="s">
        <v>316</v>
      </c>
      <c r="B180" s="186">
        <v>3</v>
      </c>
    </row>
    <row r="181" spans="1:2" x14ac:dyDescent="0.2">
      <c r="A181" s="183" t="s">
        <v>317</v>
      </c>
      <c r="B181" s="186">
        <v>0</v>
      </c>
    </row>
    <row r="182" spans="1:2" x14ac:dyDescent="0.2">
      <c r="A182" s="183"/>
      <c r="B182" s="186"/>
    </row>
    <row r="183" spans="1:2" x14ac:dyDescent="0.2">
      <c r="A183" s="183"/>
      <c r="B183" s="186"/>
    </row>
    <row r="184" spans="1:2" x14ac:dyDescent="0.2">
      <c r="A184" s="183"/>
      <c r="B184" s="186"/>
    </row>
    <row r="185" spans="1:2" x14ac:dyDescent="0.2">
      <c r="A185" s="183"/>
      <c r="B185" s="186"/>
    </row>
    <row r="186" spans="1:2" x14ac:dyDescent="0.2">
      <c r="A186" s="183"/>
      <c r="B186" s="186"/>
    </row>
    <row r="187" spans="1:2" x14ac:dyDescent="0.2">
      <c r="A187" s="183"/>
      <c r="B187" s="186"/>
    </row>
    <row r="188" spans="1:2" x14ac:dyDescent="0.2">
      <c r="A188" s="183"/>
      <c r="B188" s="186"/>
    </row>
    <row r="189" spans="1:2" x14ac:dyDescent="0.2">
      <c r="A189" s="183"/>
      <c r="B189" s="186"/>
    </row>
    <row r="190" spans="1:2" x14ac:dyDescent="0.2">
      <c r="A190" s="183"/>
      <c r="B190" s="186"/>
    </row>
    <row r="191" spans="1:2" x14ac:dyDescent="0.2">
      <c r="A191" s="183"/>
      <c r="B191" s="186"/>
    </row>
    <row r="192" spans="1:2" x14ac:dyDescent="0.2">
      <c r="A192" s="183"/>
      <c r="B192" s="186"/>
    </row>
    <row r="193" spans="1:2" x14ac:dyDescent="0.2">
      <c r="A193" s="183"/>
      <c r="B193" s="186"/>
    </row>
    <row r="194" spans="1:2" x14ac:dyDescent="0.2">
      <c r="A194" s="183"/>
      <c r="B194" s="186"/>
    </row>
    <row r="195" spans="1:2" x14ac:dyDescent="0.2">
      <c r="A195" s="183" t="s">
        <v>191</v>
      </c>
      <c r="B195" s="186"/>
    </row>
    <row r="196" spans="1:2" x14ac:dyDescent="0.2">
      <c r="A196" s="183" t="s">
        <v>318</v>
      </c>
      <c r="B196" s="186">
        <v>7</v>
      </c>
    </row>
    <row r="197" spans="1:2" x14ac:dyDescent="0.2">
      <c r="A197" s="183" t="s">
        <v>319</v>
      </c>
      <c r="B197" s="186">
        <v>1</v>
      </c>
    </row>
    <row r="198" spans="1:2" x14ac:dyDescent="0.2">
      <c r="A198" s="183" t="s">
        <v>320</v>
      </c>
      <c r="B198" s="186">
        <v>1212607</v>
      </c>
    </row>
    <row r="199" spans="1:2" x14ac:dyDescent="0.2">
      <c r="A199" s="183" t="s">
        <v>321</v>
      </c>
      <c r="B199" s="186">
        <v>11.666</v>
      </c>
    </row>
    <row r="200" spans="1:2" x14ac:dyDescent="0.2">
      <c r="A200" s="183" t="s">
        <v>322</v>
      </c>
      <c r="B200" s="186">
        <v>139.755</v>
      </c>
    </row>
    <row r="201" spans="1:2" x14ac:dyDescent="0.2">
      <c r="A201" s="183" t="s">
        <v>323</v>
      </c>
      <c r="B201" s="186">
        <v>109.431</v>
      </c>
    </row>
    <row r="202" spans="1:2" x14ac:dyDescent="0.2">
      <c r="A202" s="183" t="s">
        <v>324</v>
      </c>
      <c r="B202" s="186">
        <v>24.223800000000001</v>
      </c>
    </row>
    <row r="203" spans="1:2" x14ac:dyDescent="0.2">
      <c r="A203" s="183" t="s">
        <v>325</v>
      </c>
      <c r="B203" s="186">
        <v>84.254199999999997</v>
      </c>
    </row>
    <row r="204" spans="1:2" x14ac:dyDescent="0.2">
      <c r="A204" s="183" t="s">
        <v>326</v>
      </c>
      <c r="B204" s="186">
        <v>156.852</v>
      </c>
    </row>
    <row r="205" spans="1:2" x14ac:dyDescent="0.2">
      <c r="A205" s="183" t="s">
        <v>327</v>
      </c>
      <c r="B205" s="186">
        <v>109.205</v>
      </c>
    </row>
    <row r="206" spans="1:2" x14ac:dyDescent="0.2">
      <c r="A206" s="183" t="s">
        <v>328</v>
      </c>
      <c r="B206" s="186">
        <v>23.633700000000001</v>
      </c>
    </row>
    <row r="207" spans="1:2" x14ac:dyDescent="0.2">
      <c r="A207" s="183" t="s">
        <v>329</v>
      </c>
      <c r="B207" s="186">
        <v>1659714124</v>
      </c>
    </row>
    <row r="208" spans="1:2" x14ac:dyDescent="0.2">
      <c r="A208" s="183" t="s">
        <v>330</v>
      </c>
      <c r="B208" s="186">
        <v>51424</v>
      </c>
    </row>
    <row r="209" spans="1:2" x14ac:dyDescent="0.2">
      <c r="A209" s="183" t="s">
        <v>331</v>
      </c>
      <c r="B209" s="186">
        <v>144.03200000000001</v>
      </c>
    </row>
    <row r="210" spans="1:2" x14ac:dyDescent="0.2">
      <c r="A210" s="183" t="s">
        <v>332</v>
      </c>
      <c r="B210" s="186">
        <v>0.23561599999999999</v>
      </c>
    </row>
    <row r="211" spans="1:2" x14ac:dyDescent="0.2">
      <c r="A211" s="183" t="s">
        <v>333</v>
      </c>
      <c r="B211" s="186">
        <v>0</v>
      </c>
    </row>
    <row r="212" spans="1:2" x14ac:dyDescent="0.2">
      <c r="A212" s="183" t="s">
        <v>334</v>
      </c>
      <c r="B212" s="186">
        <v>0</v>
      </c>
    </row>
    <row r="213" spans="1:2" x14ac:dyDescent="0.2">
      <c r="A213" s="183" t="s">
        <v>335</v>
      </c>
      <c r="B213" s="186">
        <v>11.474500000000001</v>
      </c>
    </row>
    <row r="214" spans="1:2" x14ac:dyDescent="0.2">
      <c r="A214" s="183" t="s">
        <v>336</v>
      </c>
      <c r="B214" s="186">
        <v>25.488299999999999</v>
      </c>
    </row>
    <row r="215" spans="1:2" x14ac:dyDescent="0.2">
      <c r="A215" s="183" t="s">
        <v>337</v>
      </c>
      <c r="B215" s="186">
        <v>1659714124</v>
      </c>
    </row>
    <row r="216" spans="1:2" x14ac:dyDescent="0.2">
      <c r="A216" s="183" t="s">
        <v>338</v>
      </c>
      <c r="B216" s="186">
        <v>51424</v>
      </c>
    </row>
    <row r="217" spans="1:2" x14ac:dyDescent="0.2">
      <c r="A217" s="183" t="s">
        <v>339</v>
      </c>
      <c r="B217" s="186">
        <v>144.03200000000001</v>
      </c>
    </row>
    <row r="218" spans="1:2" x14ac:dyDescent="0.2">
      <c r="A218" s="183" t="s">
        <v>340</v>
      </c>
      <c r="B218" s="186">
        <v>0.23561599999999999</v>
      </c>
    </row>
    <row r="219" spans="1:2" x14ac:dyDescent="0.2">
      <c r="A219" s="183" t="s">
        <v>341</v>
      </c>
      <c r="B219" s="186">
        <v>0</v>
      </c>
    </row>
    <row r="220" spans="1:2" x14ac:dyDescent="0.2">
      <c r="A220" s="183" t="s">
        <v>342</v>
      </c>
      <c r="B220" s="186">
        <v>0</v>
      </c>
    </row>
    <row r="221" spans="1:2" x14ac:dyDescent="0.2">
      <c r="A221" s="183" t="s">
        <v>343</v>
      </c>
      <c r="B221" s="186">
        <v>83.926500000000004</v>
      </c>
    </row>
    <row r="222" spans="1:2" x14ac:dyDescent="0.2">
      <c r="A222" s="183" t="s">
        <v>344</v>
      </c>
      <c r="B222" s="186">
        <v>24.877700000000001</v>
      </c>
    </row>
    <row r="223" spans="1:2" x14ac:dyDescent="0.2">
      <c r="A223" s="183"/>
      <c r="B223" s="186"/>
    </row>
    <row r="224" spans="1:2" x14ac:dyDescent="0.2">
      <c r="A224" s="183"/>
      <c r="B224" s="186"/>
    </row>
    <row r="225" spans="1:2" x14ac:dyDescent="0.2">
      <c r="A225" s="183"/>
      <c r="B225" s="186"/>
    </row>
    <row r="226" spans="1:2" x14ac:dyDescent="0.2">
      <c r="A226" s="183"/>
      <c r="B226" s="186"/>
    </row>
    <row r="227" spans="1:2" x14ac:dyDescent="0.2">
      <c r="A227" s="183"/>
      <c r="B227" s="186"/>
    </row>
    <row r="228" spans="1:2" x14ac:dyDescent="0.2">
      <c r="A228" s="183"/>
      <c r="B228" s="186"/>
    </row>
    <row r="229" spans="1:2" x14ac:dyDescent="0.2">
      <c r="A229" s="183"/>
      <c r="B229" s="186"/>
    </row>
    <row r="230" spans="1:2" x14ac:dyDescent="0.2">
      <c r="A230" s="183"/>
      <c r="B230" s="186"/>
    </row>
    <row r="231" spans="1:2" x14ac:dyDescent="0.2">
      <c r="A231" s="183"/>
      <c r="B231" s="186"/>
    </row>
    <row r="232" spans="1:2" x14ac:dyDescent="0.2">
      <c r="A232" s="183" t="s">
        <v>411</v>
      </c>
      <c r="B232" s="186"/>
    </row>
    <row r="233" spans="1:2" x14ac:dyDescent="0.2">
      <c r="A233" s="183" t="s">
        <v>412</v>
      </c>
      <c r="B233" s="186">
        <v>3.55</v>
      </c>
    </row>
    <row r="234" spans="1:2" x14ac:dyDescent="0.2">
      <c r="A234" s="183" t="s">
        <v>413</v>
      </c>
      <c r="B234" s="186">
        <v>0</v>
      </c>
    </row>
    <row r="235" spans="1:2" x14ac:dyDescent="0.2">
      <c r="A235" s="183"/>
      <c r="B235" s="186"/>
    </row>
    <row r="236" spans="1:2" x14ac:dyDescent="0.2">
      <c r="A236" s="183"/>
      <c r="B236" s="18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K93"/>
  <sheetViews>
    <sheetView zoomScale="95" zoomScaleNormal="95" workbookViewId="0">
      <selection activeCell="S15" sqref="S15"/>
    </sheetView>
  </sheetViews>
  <sheetFormatPr defaultRowHeight="12.75" x14ac:dyDescent="0.2"/>
  <cols>
    <col min="1" max="1" width="8.28515625" style="1" customWidth="1"/>
    <col min="2" max="2" width="9.5703125" style="1" customWidth="1"/>
    <col min="3" max="3" width="10.140625" style="1" customWidth="1"/>
    <col min="4" max="4" width="10.28515625" style="1" customWidth="1"/>
    <col min="5" max="5" width="6.42578125" style="1" customWidth="1"/>
    <col min="6" max="6" width="13.140625" style="2" customWidth="1"/>
    <col min="7" max="7" width="6.42578125" style="1" customWidth="1"/>
    <col min="8" max="9" width="12.42578125" style="1" customWidth="1"/>
    <col min="10" max="10" width="6.42578125" style="1" customWidth="1"/>
    <col min="11" max="11" width="12.85546875" style="1" customWidth="1"/>
    <col min="12" max="12" width="12.85546875" style="2" customWidth="1"/>
    <col min="13" max="13" width="12.85546875" style="1" customWidth="1"/>
    <col min="14" max="14" width="12.85546875" style="2" customWidth="1"/>
    <col min="15" max="1025" width="9.140625" style="3" customWidth="1"/>
  </cols>
  <sheetData>
    <row r="1" spans="1:14" ht="15.75" x14ac:dyDescent="0.25">
      <c r="A1" s="4" t="s">
        <v>0</v>
      </c>
      <c r="H1" s="4" t="s">
        <v>1</v>
      </c>
    </row>
    <row r="2" spans="1:14" x14ac:dyDescent="0.2">
      <c r="H2" s="1">
        <v>4</v>
      </c>
      <c r="K2" s="5" t="s">
        <v>2</v>
      </c>
      <c r="L2" s="6"/>
      <c r="M2" s="5" t="s">
        <v>3</v>
      </c>
      <c r="N2" s="6"/>
    </row>
    <row r="3" spans="1:14" s="9" customFormat="1" ht="27" customHeight="1" x14ac:dyDescent="0.2">
      <c r="A3" s="7" t="s">
        <v>4</v>
      </c>
      <c r="B3" s="7" t="s">
        <v>5</v>
      </c>
      <c r="C3" s="7" t="s">
        <v>6</v>
      </c>
      <c r="D3" s="8" t="s">
        <v>7</v>
      </c>
      <c r="F3" s="10" t="s">
        <v>8</v>
      </c>
      <c r="H3" s="11" t="s">
        <v>4</v>
      </c>
      <c r="I3" s="11" t="s">
        <v>6</v>
      </c>
      <c r="K3" s="11" t="s">
        <v>9</v>
      </c>
      <c r="L3" s="10" t="s">
        <v>10</v>
      </c>
      <c r="M3" s="11" t="s">
        <v>9</v>
      </c>
      <c r="N3" s="10" t="s">
        <v>10</v>
      </c>
    </row>
    <row r="4" spans="1:14" x14ac:dyDescent="0.2">
      <c r="A4" s="12">
        <v>1</v>
      </c>
      <c r="B4" s="13">
        <v>108400</v>
      </c>
      <c r="C4" s="14">
        <f t="shared" ref="C4:C35" si="0">B4/2.8</f>
        <v>38714.285714285717</v>
      </c>
      <c r="D4" s="15">
        <v>0.27400000000000002</v>
      </c>
      <c r="F4" s="16">
        <f t="shared" ref="F4:F35" si="1">LN(C4)</f>
        <v>10.563963950806524</v>
      </c>
      <c r="H4" s="17">
        <v>50</v>
      </c>
      <c r="I4" s="18" t="e">
        <f ca="1">EXP(interpolate($A$4:$A$93, $F$4:$F$93, $H4,$H$2,0))</f>
        <v>#NAME?</v>
      </c>
      <c r="K4" s="19">
        <v>1</v>
      </c>
      <c r="L4" s="20" t="e">
        <f t="shared" ref="L4:L35" ca="1" si="2">EXP(interpolate($A$4:$A$92, $F$4:$F$92, $K4,$H$2,1))</f>
        <v>#NAME?</v>
      </c>
      <c r="M4" s="19">
        <v>1</v>
      </c>
      <c r="N4" s="20" t="e">
        <f t="shared" ref="N4:N35" ca="1" si="3">EXP(interpolate($A$4:$A$93, $F$4:$F$93, M4,$H$2,1))</f>
        <v>#NAME?</v>
      </c>
    </row>
    <row r="5" spans="1:14" x14ac:dyDescent="0.2">
      <c r="A5" s="12">
        <v>2</v>
      </c>
      <c r="B5" s="13">
        <v>27035</v>
      </c>
      <c r="C5" s="14">
        <f t="shared" si="0"/>
        <v>9655.3571428571431</v>
      </c>
      <c r="D5" s="15">
        <v>0.26500000000000001</v>
      </c>
      <c r="F5" s="16">
        <f t="shared" si="1"/>
        <v>9.1752681846349464</v>
      </c>
      <c r="K5" s="21">
        <v>1.1000000000000001</v>
      </c>
      <c r="L5" s="22" t="e">
        <f t="shared" ca="1" si="2"/>
        <v>#NAME?</v>
      </c>
      <c r="M5" s="21">
        <v>2</v>
      </c>
      <c r="N5" s="22" t="e">
        <f t="shared" ca="1" si="3"/>
        <v>#NAME?</v>
      </c>
    </row>
    <row r="6" spans="1:14" x14ac:dyDescent="0.2">
      <c r="A6" s="12">
        <v>3</v>
      </c>
      <c r="B6" s="13">
        <v>11209</v>
      </c>
      <c r="C6" s="14">
        <f t="shared" si="0"/>
        <v>4003.2142857142858</v>
      </c>
      <c r="D6" s="15">
        <v>0.27200000000000002</v>
      </c>
      <c r="F6" s="16">
        <f t="shared" si="1"/>
        <v>8.2948528888399373</v>
      </c>
      <c r="K6" s="21">
        <v>1.2</v>
      </c>
      <c r="L6" s="22" t="e">
        <f t="shared" ca="1" si="2"/>
        <v>#NAME?</v>
      </c>
      <c r="M6" s="21">
        <v>3</v>
      </c>
      <c r="N6" s="22" t="e">
        <f t="shared" ca="1" si="3"/>
        <v>#NAME?</v>
      </c>
    </row>
    <row r="7" spans="1:14" x14ac:dyDescent="0.2">
      <c r="A7" s="12">
        <v>4</v>
      </c>
      <c r="B7" s="13">
        <v>6095</v>
      </c>
      <c r="C7" s="14">
        <f t="shared" si="0"/>
        <v>2176.7857142857142</v>
      </c>
      <c r="D7" s="15">
        <v>0.308</v>
      </c>
      <c r="F7" s="16">
        <f t="shared" si="1"/>
        <v>7.6856046247342134</v>
      </c>
      <c r="K7" s="21">
        <v>1.3</v>
      </c>
      <c r="L7" s="22" t="e">
        <f t="shared" ca="1" si="2"/>
        <v>#NAME?</v>
      </c>
      <c r="M7" s="21">
        <v>4</v>
      </c>
      <c r="N7" s="22" t="e">
        <f t="shared" ca="1" si="3"/>
        <v>#NAME?</v>
      </c>
    </row>
    <row r="8" spans="1:14" x14ac:dyDescent="0.2">
      <c r="A8" s="12">
        <v>5</v>
      </c>
      <c r="B8" s="13">
        <v>3737</v>
      </c>
      <c r="C8" s="14">
        <f t="shared" si="0"/>
        <v>1334.6428571428573</v>
      </c>
      <c r="D8" s="15">
        <v>0.41399999999999998</v>
      </c>
      <c r="F8" s="16">
        <f t="shared" si="1"/>
        <v>7.1964190123043261</v>
      </c>
      <c r="H8" s="23" t="s">
        <v>11</v>
      </c>
      <c r="I8" s="24">
        <v>10000</v>
      </c>
      <c r="K8" s="21">
        <v>1.4</v>
      </c>
      <c r="L8" s="22" t="e">
        <f t="shared" ca="1" si="2"/>
        <v>#NAME?</v>
      </c>
      <c r="M8" s="21">
        <v>5</v>
      </c>
      <c r="N8" s="22" t="e">
        <f t="shared" ca="1" si="3"/>
        <v>#NAME?</v>
      </c>
    </row>
    <row r="9" spans="1:14" x14ac:dyDescent="0.2">
      <c r="A9" s="12">
        <v>6</v>
      </c>
      <c r="B9" s="13">
        <v>2395</v>
      </c>
      <c r="C9" s="14">
        <f t="shared" si="0"/>
        <v>855.35714285714289</v>
      </c>
      <c r="D9" s="15">
        <v>0.56000000000000005</v>
      </c>
      <c r="F9" s="16">
        <f t="shared" si="1"/>
        <v>6.7515190926638571</v>
      </c>
      <c r="H9" s="23" t="s">
        <v>12</v>
      </c>
      <c r="I9" s="18">
        <f>LN(I8)</f>
        <v>9.2103403719761836</v>
      </c>
      <c r="K9" s="21">
        <v>1.5</v>
      </c>
      <c r="L9" s="22" t="e">
        <f t="shared" ca="1" si="2"/>
        <v>#NAME?</v>
      </c>
      <c r="M9" s="21">
        <v>6</v>
      </c>
      <c r="N9" s="22" t="e">
        <f t="shared" ca="1" si="3"/>
        <v>#NAME?</v>
      </c>
    </row>
    <row r="10" spans="1:14" x14ac:dyDescent="0.2">
      <c r="A10" s="12">
        <v>7</v>
      </c>
      <c r="B10" s="13">
        <v>1573</v>
      </c>
      <c r="C10" s="14">
        <f t="shared" si="0"/>
        <v>561.78571428571433</v>
      </c>
      <c r="D10" s="15">
        <v>0.54200000000000004</v>
      </c>
      <c r="F10" s="16">
        <f t="shared" si="1"/>
        <v>6.3311204858771193</v>
      </c>
      <c r="H10" s="23" t="s">
        <v>4</v>
      </c>
      <c r="I10" s="18" t="e">
        <f ca="1">interpolate($F$4:$F$93, $A$4:$A$93, $I9,$H$2,0)</f>
        <v>#NAME?</v>
      </c>
      <c r="K10" s="21">
        <v>1.6</v>
      </c>
      <c r="L10" s="22" t="e">
        <f t="shared" ca="1" si="2"/>
        <v>#NAME?</v>
      </c>
      <c r="M10" s="21">
        <v>7</v>
      </c>
      <c r="N10" s="22" t="e">
        <f t="shared" ca="1" si="3"/>
        <v>#NAME?</v>
      </c>
    </row>
    <row r="11" spans="1:14" x14ac:dyDescent="0.2">
      <c r="A11" s="12">
        <v>8</v>
      </c>
      <c r="B11" s="13">
        <v>1055</v>
      </c>
      <c r="C11" s="14">
        <f t="shared" si="0"/>
        <v>376.78571428571433</v>
      </c>
      <c r="D11" s="15">
        <v>0.499</v>
      </c>
      <c r="F11" s="16">
        <f t="shared" si="1"/>
        <v>5.9316766287290088</v>
      </c>
      <c r="K11" s="21">
        <v>1.7</v>
      </c>
      <c r="L11" s="22" t="e">
        <f t="shared" ca="1" si="2"/>
        <v>#NAME?</v>
      </c>
      <c r="M11" s="21">
        <v>8</v>
      </c>
      <c r="N11" s="22" t="e">
        <f t="shared" ca="1" si="3"/>
        <v>#NAME?</v>
      </c>
    </row>
    <row r="12" spans="1:14" x14ac:dyDescent="0.2">
      <c r="A12" s="12">
        <v>9</v>
      </c>
      <c r="B12" s="13">
        <v>725.8</v>
      </c>
      <c r="C12" s="14">
        <f t="shared" si="0"/>
        <v>259.21428571428572</v>
      </c>
      <c r="D12" s="15">
        <v>0.54400000000000004</v>
      </c>
      <c r="F12" s="16">
        <f t="shared" si="1"/>
        <v>5.5576550775978122</v>
      </c>
      <c r="K12" s="21">
        <v>1.8</v>
      </c>
      <c r="L12" s="22" t="e">
        <f t="shared" ca="1" si="2"/>
        <v>#NAME?</v>
      </c>
      <c r="M12" s="21">
        <v>9</v>
      </c>
      <c r="N12" s="22" t="e">
        <f t="shared" ca="1" si="3"/>
        <v>#NAME?</v>
      </c>
    </row>
    <row r="13" spans="1:14" x14ac:dyDescent="0.2">
      <c r="A13" s="12">
        <v>10</v>
      </c>
      <c r="B13" s="13">
        <v>513.70000000000005</v>
      </c>
      <c r="C13" s="14">
        <f t="shared" si="0"/>
        <v>183.46428571428575</v>
      </c>
      <c r="D13" s="15">
        <v>0.64300000000000002</v>
      </c>
      <c r="F13" s="16">
        <f t="shared" si="1"/>
        <v>5.2120200202920639</v>
      </c>
      <c r="K13" s="21">
        <v>1.9</v>
      </c>
      <c r="L13" s="22" t="e">
        <f t="shared" ca="1" si="2"/>
        <v>#NAME?</v>
      </c>
      <c r="M13" s="21">
        <v>10</v>
      </c>
      <c r="N13" s="22" t="e">
        <f t="shared" ca="1" si="3"/>
        <v>#NAME?</v>
      </c>
    </row>
    <row r="14" spans="1:14" x14ac:dyDescent="0.2">
      <c r="A14" s="12">
        <v>11</v>
      </c>
      <c r="B14" s="13">
        <v>374.6</v>
      </c>
      <c r="C14" s="14">
        <f t="shared" si="0"/>
        <v>133.78571428571431</v>
      </c>
      <c r="D14" s="15">
        <v>0.75900000000000001</v>
      </c>
      <c r="F14" s="16">
        <f t="shared" si="1"/>
        <v>4.8962393728288305</v>
      </c>
      <c r="H14" s="23">
        <v>2</v>
      </c>
      <c r="I14" s="18" t="e">
        <f ca="1">mtd($H$14)</f>
        <v>#NAME?</v>
      </c>
      <c r="K14" s="21">
        <v>2</v>
      </c>
      <c r="L14" s="22" t="e">
        <f t="shared" ca="1" si="2"/>
        <v>#NAME?</v>
      </c>
      <c r="M14" s="21">
        <v>11</v>
      </c>
      <c r="N14" s="22" t="e">
        <f t="shared" ca="1" si="3"/>
        <v>#NAME?</v>
      </c>
    </row>
    <row r="15" spans="1:14" x14ac:dyDescent="0.2">
      <c r="A15" s="12">
        <v>12</v>
      </c>
      <c r="B15" s="13">
        <v>281</v>
      </c>
      <c r="C15" s="14">
        <f t="shared" si="0"/>
        <v>100.35714285714286</v>
      </c>
      <c r="D15" s="15">
        <v>0.98099999999999998</v>
      </c>
      <c r="F15" s="16">
        <f t="shared" si="1"/>
        <v>4.6087352521525879</v>
      </c>
      <c r="K15" s="21">
        <v>2.1</v>
      </c>
      <c r="L15" s="22" t="e">
        <f t="shared" ca="1" si="2"/>
        <v>#NAME?</v>
      </c>
      <c r="M15" s="21">
        <v>12</v>
      </c>
      <c r="N15" s="22" t="e">
        <f t="shared" ca="1" si="3"/>
        <v>#NAME?</v>
      </c>
    </row>
    <row r="16" spans="1:14" x14ac:dyDescent="0.2">
      <c r="A16" s="12">
        <v>13</v>
      </c>
      <c r="B16" s="13">
        <v>216.4</v>
      </c>
      <c r="C16" s="14">
        <f t="shared" si="0"/>
        <v>77.285714285714292</v>
      </c>
      <c r="D16" s="15">
        <v>1.2729999999999999</v>
      </c>
      <c r="F16" s="16">
        <f t="shared" si="1"/>
        <v>4.3475091297911685</v>
      </c>
      <c r="K16" s="21">
        <v>2.2000000000000002</v>
      </c>
      <c r="L16" s="22" t="e">
        <f t="shared" ca="1" si="2"/>
        <v>#NAME?</v>
      </c>
      <c r="M16" s="21">
        <v>13</v>
      </c>
      <c r="N16" s="22" t="e">
        <f t="shared" ca="1" si="3"/>
        <v>#NAME?</v>
      </c>
    </row>
    <row r="17" spans="1:14" x14ac:dyDescent="0.2">
      <c r="A17" s="12">
        <v>14</v>
      </c>
      <c r="B17" s="13">
        <v>170.4</v>
      </c>
      <c r="C17" s="14">
        <f t="shared" si="0"/>
        <v>60.857142857142861</v>
      </c>
      <c r="D17" s="15">
        <v>1.655</v>
      </c>
      <c r="F17" s="16">
        <f t="shared" si="1"/>
        <v>4.1085291972140574</v>
      </c>
      <c r="H17" s="18" t="e">
        <f ca="1">mtd(1.7575)</f>
        <v>#NAME?</v>
      </c>
      <c r="K17" s="21">
        <v>2.2999999999999998</v>
      </c>
      <c r="L17" s="22" t="e">
        <f t="shared" ca="1" si="2"/>
        <v>#NAME?</v>
      </c>
      <c r="M17" s="21">
        <v>14</v>
      </c>
      <c r="N17" s="22" t="e">
        <f t="shared" ca="1" si="3"/>
        <v>#NAME?</v>
      </c>
    </row>
    <row r="18" spans="1:14" x14ac:dyDescent="0.2">
      <c r="A18" s="12">
        <v>15</v>
      </c>
      <c r="B18" s="13">
        <v>136.80000000000001</v>
      </c>
      <c r="C18" s="14">
        <f t="shared" si="0"/>
        <v>48.857142857142861</v>
      </c>
      <c r="D18" s="15">
        <v>2.2109999999999999</v>
      </c>
      <c r="F18" s="16">
        <f t="shared" si="1"/>
        <v>3.8889005880072918</v>
      </c>
      <c r="K18" s="21">
        <v>2.4</v>
      </c>
      <c r="L18" s="22" t="e">
        <f t="shared" ca="1" si="2"/>
        <v>#NAME?</v>
      </c>
      <c r="M18" s="21">
        <v>15</v>
      </c>
      <c r="N18" s="22" t="e">
        <f t="shared" ca="1" si="3"/>
        <v>#NAME?</v>
      </c>
    </row>
    <row r="19" spans="1:14" x14ac:dyDescent="0.2">
      <c r="A19" s="12">
        <v>16</v>
      </c>
      <c r="B19" s="13">
        <v>111.3</v>
      </c>
      <c r="C19" s="14">
        <f t="shared" si="0"/>
        <v>39.75</v>
      </c>
      <c r="D19" s="15">
        <v>2.4140000000000001</v>
      </c>
      <c r="F19" s="16">
        <f t="shared" si="1"/>
        <v>3.6826098411003407</v>
      </c>
      <c r="H19" s="1" t="s">
        <v>13</v>
      </c>
      <c r="K19" s="21">
        <v>2.5</v>
      </c>
      <c r="L19" s="22" t="e">
        <f t="shared" ca="1" si="2"/>
        <v>#NAME?</v>
      </c>
      <c r="M19" s="21">
        <v>16</v>
      </c>
      <c r="N19" s="22" t="e">
        <f t="shared" ca="1" si="3"/>
        <v>#NAME?</v>
      </c>
    </row>
    <row r="20" spans="1:14" x14ac:dyDescent="0.2">
      <c r="A20" s="12">
        <v>17</v>
      </c>
      <c r="B20" s="13">
        <v>91.33</v>
      </c>
      <c r="C20" s="14">
        <f t="shared" si="0"/>
        <v>32.617857142857147</v>
      </c>
      <c r="D20" s="15">
        <v>2.91</v>
      </c>
      <c r="F20" s="16">
        <f t="shared" si="1"/>
        <v>3.4848599035224295</v>
      </c>
      <c r="K20" s="21">
        <v>2.6</v>
      </c>
      <c r="L20" s="22" t="e">
        <f t="shared" ca="1" si="2"/>
        <v>#NAME?</v>
      </c>
      <c r="M20" s="21">
        <v>17</v>
      </c>
      <c r="N20" s="22" t="e">
        <f t="shared" ca="1" si="3"/>
        <v>#NAME?</v>
      </c>
    </row>
    <row r="21" spans="1:14" x14ac:dyDescent="0.2">
      <c r="A21" s="12">
        <v>18</v>
      </c>
      <c r="B21" s="13">
        <v>75.290000000000006</v>
      </c>
      <c r="C21" s="14">
        <f t="shared" si="0"/>
        <v>26.88928571428572</v>
      </c>
      <c r="D21" s="15">
        <v>3.444</v>
      </c>
      <c r="F21" s="16">
        <f t="shared" si="1"/>
        <v>3.2917279066808729</v>
      </c>
      <c r="K21" s="21">
        <v>2.7</v>
      </c>
      <c r="L21" s="22" t="e">
        <f t="shared" ca="1" si="2"/>
        <v>#NAME?</v>
      </c>
      <c r="M21" s="21">
        <v>18</v>
      </c>
      <c r="N21" s="22" t="e">
        <f t="shared" ca="1" si="3"/>
        <v>#NAME?</v>
      </c>
    </row>
    <row r="22" spans="1:14" x14ac:dyDescent="0.2">
      <c r="A22" s="12">
        <v>19</v>
      </c>
      <c r="B22" s="13">
        <v>62.17</v>
      </c>
      <c r="C22" s="14">
        <f t="shared" si="0"/>
        <v>22.203571428571429</v>
      </c>
      <c r="D22" s="15">
        <v>4.101</v>
      </c>
      <c r="F22" s="16">
        <f t="shared" si="1"/>
        <v>3.1002531511000879</v>
      </c>
      <c r="H22" s="25"/>
      <c r="I22" s="3" t="s">
        <v>14</v>
      </c>
      <c r="K22" s="21">
        <v>2.8</v>
      </c>
      <c r="L22" s="22" t="e">
        <f t="shared" ca="1" si="2"/>
        <v>#NAME?</v>
      </c>
      <c r="M22" s="21">
        <v>19</v>
      </c>
      <c r="N22" s="22" t="e">
        <f t="shared" ca="1" si="3"/>
        <v>#NAME?</v>
      </c>
    </row>
    <row r="23" spans="1:14" x14ac:dyDescent="0.2">
      <c r="A23" s="12">
        <v>20</v>
      </c>
      <c r="B23" s="13">
        <v>51.35</v>
      </c>
      <c r="C23" s="14">
        <f t="shared" si="0"/>
        <v>18.339285714285715</v>
      </c>
      <c r="D23" s="15">
        <v>5.0449999999999999</v>
      </c>
      <c r="F23" s="16">
        <f t="shared" si="1"/>
        <v>2.909045519193409</v>
      </c>
      <c r="H23" s="3"/>
      <c r="I23" s="3"/>
      <c r="K23" s="21">
        <v>2.9</v>
      </c>
      <c r="L23" s="22" t="e">
        <f t="shared" ca="1" si="2"/>
        <v>#NAME?</v>
      </c>
      <c r="M23" s="21">
        <v>20</v>
      </c>
      <c r="N23" s="22" t="e">
        <f t="shared" ca="1" si="3"/>
        <v>#NAME?</v>
      </c>
    </row>
    <row r="24" spans="1:14" x14ac:dyDescent="0.2">
      <c r="A24" s="12">
        <v>21</v>
      </c>
      <c r="B24" s="13">
        <v>42.4</v>
      </c>
      <c r="C24" s="14">
        <f t="shared" si="0"/>
        <v>15.142857142857144</v>
      </c>
      <c r="D24" s="15">
        <v>4.976</v>
      </c>
      <c r="F24" s="16">
        <f t="shared" si="1"/>
        <v>2.7175289450567539</v>
      </c>
      <c r="H24" s="26"/>
      <c r="I24" s="3" t="s">
        <v>15</v>
      </c>
      <c r="K24" s="21">
        <v>3</v>
      </c>
      <c r="L24" s="22" t="e">
        <f t="shared" ca="1" si="2"/>
        <v>#NAME?</v>
      </c>
      <c r="M24" s="21">
        <v>21</v>
      </c>
      <c r="N24" s="22" t="e">
        <f t="shared" ca="1" si="3"/>
        <v>#NAME?</v>
      </c>
    </row>
    <row r="25" spans="1:14" x14ac:dyDescent="0.2">
      <c r="A25" s="12">
        <v>22</v>
      </c>
      <c r="B25" s="13">
        <v>35.01</v>
      </c>
      <c r="C25" s="14">
        <f t="shared" si="0"/>
        <v>12.503571428571428</v>
      </c>
      <c r="D25" s="15">
        <v>5.508</v>
      </c>
      <c r="F25" s="16">
        <f t="shared" si="1"/>
        <v>2.5260143177854162</v>
      </c>
      <c r="H25" s="3"/>
      <c r="I25" s="3"/>
      <c r="K25" s="21">
        <v>3.1</v>
      </c>
      <c r="L25" s="22" t="e">
        <f t="shared" ca="1" si="2"/>
        <v>#NAME?</v>
      </c>
      <c r="M25" s="21">
        <v>22</v>
      </c>
      <c r="N25" s="22" t="e">
        <f t="shared" ca="1" si="3"/>
        <v>#NAME?</v>
      </c>
    </row>
    <row r="26" spans="1:14" x14ac:dyDescent="0.2">
      <c r="A26" s="12">
        <v>23</v>
      </c>
      <c r="B26" s="13">
        <v>28.95</v>
      </c>
      <c r="C26" s="14">
        <f t="shared" si="0"/>
        <v>10.339285714285715</v>
      </c>
      <c r="D26" s="15">
        <v>5.9409999999999998</v>
      </c>
      <c r="F26" s="16">
        <f t="shared" si="1"/>
        <v>2.335950786837846</v>
      </c>
      <c r="H26" s="27"/>
      <c r="I26" s="3" t="s">
        <v>16</v>
      </c>
      <c r="K26" s="21">
        <v>3.2</v>
      </c>
      <c r="L26" s="22" t="e">
        <f t="shared" ca="1" si="2"/>
        <v>#NAME?</v>
      </c>
      <c r="M26" s="21">
        <v>23</v>
      </c>
      <c r="N26" s="22" t="e">
        <f t="shared" ca="1" si="3"/>
        <v>#NAME?</v>
      </c>
    </row>
    <row r="27" spans="1:14" x14ac:dyDescent="0.2">
      <c r="A27" s="12">
        <v>24</v>
      </c>
      <c r="B27" s="13">
        <v>23.99</v>
      </c>
      <c r="C27" s="14">
        <f t="shared" si="0"/>
        <v>8.5678571428571431</v>
      </c>
      <c r="D27" s="15">
        <v>6.5730000000000004</v>
      </c>
      <c r="F27" s="16">
        <f t="shared" si="1"/>
        <v>2.1480176596704448</v>
      </c>
      <c r="K27" s="21">
        <v>3.3</v>
      </c>
      <c r="L27" s="22" t="e">
        <f t="shared" ca="1" si="2"/>
        <v>#NAME?</v>
      </c>
      <c r="M27" s="21">
        <v>24</v>
      </c>
      <c r="N27" s="22" t="e">
        <f t="shared" ca="1" si="3"/>
        <v>#NAME?</v>
      </c>
    </row>
    <row r="28" spans="1:14" x14ac:dyDescent="0.2">
      <c r="A28" s="12">
        <v>25</v>
      </c>
      <c r="B28" s="13">
        <v>19.95</v>
      </c>
      <c r="C28" s="14">
        <f t="shared" si="0"/>
        <v>7.125</v>
      </c>
      <c r="D28" s="15">
        <v>6.9450000000000003</v>
      </c>
      <c r="F28" s="16">
        <f t="shared" si="1"/>
        <v>1.9636097261547143</v>
      </c>
      <c r="H28" s="28" t="s">
        <v>17</v>
      </c>
      <c r="K28" s="21">
        <v>3.4</v>
      </c>
      <c r="L28" s="22" t="e">
        <f t="shared" ca="1" si="2"/>
        <v>#NAME?</v>
      </c>
      <c r="M28" s="21">
        <v>25</v>
      </c>
      <c r="N28" s="22" t="e">
        <f t="shared" ca="1" si="3"/>
        <v>#NAME?</v>
      </c>
    </row>
    <row r="29" spans="1:14" x14ac:dyDescent="0.2">
      <c r="A29" s="12">
        <v>26</v>
      </c>
      <c r="B29" s="13">
        <v>16.66</v>
      </c>
      <c r="C29" s="14">
        <f t="shared" si="0"/>
        <v>5.95</v>
      </c>
      <c r="D29" s="15">
        <v>7.2610000000000001</v>
      </c>
      <c r="F29" s="16">
        <f t="shared" si="1"/>
        <v>1.7833912195575383</v>
      </c>
      <c r="H29" s="28" t="s">
        <v>18</v>
      </c>
      <c r="K29" s="21">
        <v>3.5</v>
      </c>
      <c r="L29" s="22" t="e">
        <f t="shared" ca="1" si="2"/>
        <v>#NAME?</v>
      </c>
      <c r="M29" s="21">
        <v>26</v>
      </c>
      <c r="N29" s="22" t="e">
        <f t="shared" ca="1" si="3"/>
        <v>#NAME?</v>
      </c>
    </row>
    <row r="30" spans="1:14" x14ac:dyDescent="0.2">
      <c r="A30" s="12">
        <v>27</v>
      </c>
      <c r="B30" s="13">
        <v>13.98</v>
      </c>
      <c r="C30" s="14">
        <f t="shared" si="0"/>
        <v>4.9928571428571429</v>
      </c>
      <c r="D30" s="15">
        <v>8.0299999999999994</v>
      </c>
      <c r="F30" s="16">
        <f t="shared" si="1"/>
        <v>1.6080083196245059</v>
      </c>
      <c r="H30" s="28" t="s">
        <v>19</v>
      </c>
      <c r="K30" s="21">
        <v>3.6</v>
      </c>
      <c r="L30" s="22" t="e">
        <f t="shared" ca="1" si="2"/>
        <v>#NAME?</v>
      </c>
      <c r="M30" s="21">
        <v>27</v>
      </c>
      <c r="N30" s="22" t="e">
        <f t="shared" ca="1" si="3"/>
        <v>#NAME?</v>
      </c>
    </row>
    <row r="31" spans="1:14" x14ac:dyDescent="0.2">
      <c r="A31" s="12">
        <v>28</v>
      </c>
      <c r="B31" s="13">
        <v>11.8</v>
      </c>
      <c r="C31" s="14">
        <f t="shared" si="0"/>
        <v>4.2142857142857144</v>
      </c>
      <c r="D31" s="15">
        <v>8.3689999999999998</v>
      </c>
      <c r="F31" s="16">
        <f t="shared" si="1"/>
        <v>1.4384801142904609</v>
      </c>
      <c r="H31" s="28" t="s">
        <v>20</v>
      </c>
      <c r="K31" s="21">
        <v>3.7</v>
      </c>
      <c r="L31" s="22" t="e">
        <f t="shared" ca="1" si="2"/>
        <v>#NAME?</v>
      </c>
      <c r="M31" s="21">
        <v>28</v>
      </c>
      <c r="N31" s="22" t="e">
        <f t="shared" ca="1" si="3"/>
        <v>#NAME?</v>
      </c>
    </row>
    <row r="32" spans="1:14" x14ac:dyDescent="0.2">
      <c r="A32" s="12">
        <v>29</v>
      </c>
      <c r="B32" s="13">
        <v>10.02</v>
      </c>
      <c r="C32" s="14">
        <f t="shared" si="0"/>
        <v>3.5785714285714287</v>
      </c>
      <c r="D32" s="15">
        <v>8.5950000000000006</v>
      </c>
      <c r="F32" s="16">
        <f t="shared" si="1"/>
        <v>1.2749636784755605</v>
      </c>
      <c r="K32" s="21">
        <v>3.8</v>
      </c>
      <c r="L32" s="22" t="e">
        <f t="shared" ca="1" si="2"/>
        <v>#NAME?</v>
      </c>
      <c r="M32" s="21">
        <v>29</v>
      </c>
      <c r="N32" s="22" t="e">
        <f t="shared" ca="1" si="3"/>
        <v>#NAME?</v>
      </c>
    </row>
    <row r="33" spans="1:14" x14ac:dyDescent="0.2">
      <c r="A33" s="12">
        <v>30</v>
      </c>
      <c r="B33" s="13">
        <v>8.5679999999999996</v>
      </c>
      <c r="C33" s="14">
        <f t="shared" si="0"/>
        <v>3.06</v>
      </c>
      <c r="D33" s="15">
        <v>9.9429999999999996</v>
      </c>
      <c r="F33" s="16">
        <f t="shared" si="1"/>
        <v>1.1184149159642893</v>
      </c>
      <c r="K33" s="21">
        <v>3.9</v>
      </c>
      <c r="L33" s="22" t="e">
        <f t="shared" ca="1" si="2"/>
        <v>#NAME?</v>
      </c>
      <c r="M33" s="21">
        <v>30</v>
      </c>
      <c r="N33" s="22" t="e">
        <f t="shared" ca="1" si="3"/>
        <v>#NAME?</v>
      </c>
    </row>
    <row r="34" spans="1:14" x14ac:dyDescent="0.2">
      <c r="A34" s="12">
        <v>31</v>
      </c>
      <c r="B34" s="13">
        <v>7.38</v>
      </c>
      <c r="C34" s="14">
        <f t="shared" si="0"/>
        <v>2.6357142857142857</v>
      </c>
      <c r="D34" s="29"/>
      <c r="F34" s="16">
        <f t="shared" si="1"/>
        <v>0.96915422143122287</v>
      </c>
      <c r="K34" s="21">
        <v>4</v>
      </c>
      <c r="L34" s="22" t="e">
        <f t="shared" ca="1" si="2"/>
        <v>#NAME?</v>
      </c>
      <c r="M34" s="21">
        <v>31</v>
      </c>
      <c r="N34" s="22" t="e">
        <f t="shared" ca="1" si="3"/>
        <v>#NAME?</v>
      </c>
    </row>
    <row r="35" spans="1:14" x14ac:dyDescent="0.2">
      <c r="A35" s="12">
        <v>32</v>
      </c>
      <c r="B35" s="13">
        <v>6.4029999999999996</v>
      </c>
      <c r="C35" s="14">
        <f t="shared" si="0"/>
        <v>2.2867857142857142</v>
      </c>
      <c r="D35" s="29"/>
      <c r="F35" s="16">
        <f t="shared" si="1"/>
        <v>0.82714721335550689</v>
      </c>
      <c r="K35" s="21">
        <v>4.0999999999999996</v>
      </c>
      <c r="L35" s="22" t="e">
        <f t="shared" ca="1" si="2"/>
        <v>#NAME?</v>
      </c>
      <c r="M35" s="21">
        <v>32</v>
      </c>
      <c r="N35" s="22" t="e">
        <f t="shared" ca="1" si="3"/>
        <v>#NAME?</v>
      </c>
    </row>
    <row r="36" spans="1:14" x14ac:dyDescent="0.2">
      <c r="A36" s="12">
        <v>33</v>
      </c>
      <c r="B36" s="13">
        <v>5.5940000000000003</v>
      </c>
      <c r="C36" s="14">
        <f t="shared" ref="C36:C53" si="4">B36/2.8</f>
        <v>1.997857142857143</v>
      </c>
      <c r="D36" s="29"/>
      <c r="F36" s="16">
        <f t="shared" ref="F36:F67" si="5">LN(C36)</f>
        <v>0.69207517759860981</v>
      </c>
      <c r="K36" s="21">
        <v>4.2</v>
      </c>
      <c r="L36" s="22" t="e">
        <f t="shared" ref="L36:L67" ca="1" si="6">EXP(interpolate($A$4:$A$92, $F$4:$F$92, $K36,$H$2,1))</f>
        <v>#NAME?</v>
      </c>
      <c r="M36" s="21">
        <v>33</v>
      </c>
      <c r="N36" s="22" t="e">
        <f t="shared" ref="N36:N67" ca="1" si="7">EXP(interpolate($A$4:$A$93, $F$4:$F$93, M36,$H$2,1))</f>
        <v>#NAME?</v>
      </c>
    </row>
    <row r="37" spans="1:14" x14ac:dyDescent="0.2">
      <c r="A37" s="12">
        <v>34</v>
      </c>
      <c r="B37" s="13">
        <v>4.9210000000000003</v>
      </c>
      <c r="C37" s="14">
        <f t="shared" si="4"/>
        <v>1.7575000000000003</v>
      </c>
      <c r="D37" s="29"/>
      <c r="F37" s="16">
        <f t="shared" si="5"/>
        <v>0.56389234470268312</v>
      </c>
      <c r="K37" s="21">
        <v>4.3</v>
      </c>
      <c r="L37" s="22" t="e">
        <f t="shared" ca="1" si="6"/>
        <v>#NAME?</v>
      </c>
      <c r="M37" s="21">
        <v>34</v>
      </c>
      <c r="N37" s="22" t="e">
        <f t="shared" ca="1" si="7"/>
        <v>#NAME?</v>
      </c>
    </row>
    <row r="38" spans="1:14" x14ac:dyDescent="0.2">
      <c r="A38" s="12">
        <v>35</v>
      </c>
      <c r="B38" s="13">
        <v>4.3559999999999999</v>
      </c>
      <c r="C38" s="14">
        <f t="shared" si="4"/>
        <v>1.5557142857142858</v>
      </c>
      <c r="D38" s="29"/>
      <c r="F38" s="16">
        <f t="shared" si="5"/>
        <v>0.44193478788955587</v>
      </c>
      <c r="K38" s="21">
        <v>4.4000000000000004</v>
      </c>
      <c r="L38" s="22" t="e">
        <f t="shared" ca="1" si="6"/>
        <v>#NAME?</v>
      </c>
      <c r="M38" s="21">
        <v>35</v>
      </c>
      <c r="N38" s="22" t="e">
        <f t="shared" ca="1" si="7"/>
        <v>#NAME?</v>
      </c>
    </row>
    <row r="39" spans="1:14" x14ac:dyDescent="0.2">
      <c r="A39" s="12">
        <v>36</v>
      </c>
      <c r="B39" s="13">
        <v>3.88</v>
      </c>
      <c r="C39" s="14">
        <f t="shared" si="4"/>
        <v>1.3857142857142857</v>
      </c>
      <c r="D39" s="29"/>
      <c r="F39" s="16">
        <f t="shared" si="5"/>
        <v>0.3262157364540238</v>
      </c>
      <c r="K39" s="21">
        <v>4.5</v>
      </c>
      <c r="L39" s="22" t="e">
        <f t="shared" ca="1" si="6"/>
        <v>#NAME?</v>
      </c>
      <c r="M39" s="21">
        <v>36</v>
      </c>
      <c r="N39" s="22" t="e">
        <f t="shared" ca="1" si="7"/>
        <v>#NAME?</v>
      </c>
    </row>
    <row r="40" spans="1:14" x14ac:dyDescent="0.2">
      <c r="A40" s="12">
        <v>37</v>
      </c>
      <c r="B40" s="13">
        <v>3.476</v>
      </c>
      <c r="C40" s="14">
        <f t="shared" si="4"/>
        <v>1.2414285714285715</v>
      </c>
      <c r="D40" s="29"/>
      <c r="F40" s="16">
        <f t="shared" si="5"/>
        <v>0.21626279022198747</v>
      </c>
      <c r="K40" s="21">
        <v>4.5999999999999996</v>
      </c>
      <c r="L40" s="22" t="e">
        <f t="shared" ca="1" si="6"/>
        <v>#NAME?</v>
      </c>
      <c r="M40" s="21">
        <v>37</v>
      </c>
      <c r="N40" s="22" t="e">
        <f t="shared" ca="1" si="7"/>
        <v>#NAME?</v>
      </c>
    </row>
    <row r="41" spans="1:14" x14ac:dyDescent="0.2">
      <c r="A41" s="12">
        <v>38</v>
      </c>
      <c r="B41" s="13">
        <v>3.1309999999999998</v>
      </c>
      <c r="C41" s="14">
        <f t="shared" si="4"/>
        <v>1.1182142857142856</v>
      </c>
      <c r="D41" s="29"/>
      <c r="F41" s="16">
        <f t="shared" si="5"/>
        <v>0.1117330251631103</v>
      </c>
      <c r="K41" s="21">
        <v>4.7</v>
      </c>
      <c r="L41" s="22" t="e">
        <f t="shared" ca="1" si="6"/>
        <v>#NAME?</v>
      </c>
      <c r="M41" s="21">
        <v>38</v>
      </c>
      <c r="N41" s="22" t="e">
        <f t="shared" ca="1" si="7"/>
        <v>#NAME?</v>
      </c>
    </row>
    <row r="42" spans="1:14" x14ac:dyDescent="0.2">
      <c r="A42" s="12">
        <v>39</v>
      </c>
      <c r="B42" s="13">
        <v>2.8340000000000001</v>
      </c>
      <c r="C42" s="14">
        <f t="shared" si="4"/>
        <v>1.0121428571428572</v>
      </c>
      <c r="D42" s="29"/>
      <c r="F42" s="16">
        <f t="shared" si="5"/>
        <v>1.2069724087330543E-2</v>
      </c>
      <c r="K42" s="21">
        <v>4.8</v>
      </c>
      <c r="L42" s="22" t="e">
        <f t="shared" ca="1" si="6"/>
        <v>#NAME?</v>
      </c>
      <c r="M42" s="21">
        <v>39</v>
      </c>
      <c r="N42" s="22" t="e">
        <f t="shared" ca="1" si="7"/>
        <v>#NAME?</v>
      </c>
    </row>
    <row r="43" spans="1:14" x14ac:dyDescent="0.2">
      <c r="A43" s="12">
        <v>40</v>
      </c>
      <c r="B43" s="13">
        <v>2.577</v>
      </c>
      <c r="C43" s="14">
        <f t="shared" si="4"/>
        <v>0.92035714285714287</v>
      </c>
      <c r="D43" s="29"/>
      <c r="F43" s="16">
        <f t="shared" si="5"/>
        <v>-8.2993485510930207E-2</v>
      </c>
      <c r="K43" s="21">
        <v>4.9000000000000004</v>
      </c>
      <c r="L43" s="22" t="e">
        <f t="shared" ca="1" si="6"/>
        <v>#NAME?</v>
      </c>
      <c r="M43" s="21">
        <v>40</v>
      </c>
      <c r="N43" s="22" t="e">
        <f t="shared" ca="1" si="7"/>
        <v>#NAME?</v>
      </c>
    </row>
    <row r="44" spans="1:14" x14ac:dyDescent="0.2">
      <c r="A44" s="12">
        <v>41</v>
      </c>
      <c r="B44" s="13">
        <v>2.3540000000000001</v>
      </c>
      <c r="C44" s="14">
        <f t="shared" si="4"/>
        <v>0.84071428571428575</v>
      </c>
      <c r="D44" s="29"/>
      <c r="F44" s="16">
        <f t="shared" si="5"/>
        <v>-0.17350340834307323</v>
      </c>
      <c r="K44" s="21">
        <v>5</v>
      </c>
      <c r="L44" s="22" t="e">
        <f t="shared" ca="1" si="6"/>
        <v>#NAME?</v>
      </c>
      <c r="M44" s="21">
        <v>41</v>
      </c>
      <c r="N44" s="22" t="e">
        <f t="shared" ca="1" si="7"/>
        <v>#NAME?</v>
      </c>
    </row>
    <row r="45" spans="1:14" x14ac:dyDescent="0.2">
      <c r="A45" s="12">
        <v>42</v>
      </c>
      <c r="B45" s="13">
        <v>2.1589999999999998</v>
      </c>
      <c r="C45" s="14">
        <f t="shared" si="4"/>
        <v>0.77107142857142852</v>
      </c>
      <c r="D45" s="29"/>
      <c r="F45" s="16">
        <f t="shared" si="5"/>
        <v>-0.25997426564848802</v>
      </c>
      <c r="K45" s="21">
        <v>5.0999999999999996</v>
      </c>
      <c r="L45" s="22" t="e">
        <f t="shared" ca="1" si="6"/>
        <v>#NAME?</v>
      </c>
      <c r="M45" s="21">
        <v>42</v>
      </c>
      <c r="N45" s="22" t="e">
        <f t="shared" ca="1" si="7"/>
        <v>#NAME?</v>
      </c>
    </row>
    <row r="46" spans="1:14" x14ac:dyDescent="0.2">
      <c r="A46" s="12">
        <v>43</v>
      </c>
      <c r="B46" s="13">
        <v>1.988</v>
      </c>
      <c r="C46" s="14">
        <f t="shared" si="4"/>
        <v>0.71000000000000008</v>
      </c>
      <c r="D46" s="29"/>
      <c r="F46" s="16">
        <f t="shared" si="5"/>
        <v>-0.34249030894677585</v>
      </c>
      <c r="K46" s="21">
        <v>5.2</v>
      </c>
      <c r="L46" s="22" t="e">
        <f t="shared" ca="1" si="6"/>
        <v>#NAME?</v>
      </c>
      <c r="M46" s="21">
        <v>43</v>
      </c>
      <c r="N46" s="22" t="e">
        <f t="shared" ca="1" si="7"/>
        <v>#NAME?</v>
      </c>
    </row>
    <row r="47" spans="1:14" x14ac:dyDescent="0.2">
      <c r="A47" s="12">
        <v>44</v>
      </c>
      <c r="B47" s="13">
        <v>1.8360000000000001</v>
      </c>
      <c r="C47" s="14">
        <f t="shared" si="4"/>
        <v>0.65571428571428581</v>
      </c>
      <c r="D47" s="29"/>
      <c r="F47" s="16">
        <f t="shared" si="5"/>
        <v>-0.42203012498285936</v>
      </c>
      <c r="K47" s="21">
        <v>5.3</v>
      </c>
      <c r="L47" s="22" t="e">
        <f t="shared" ca="1" si="6"/>
        <v>#NAME?</v>
      </c>
      <c r="M47" s="21">
        <v>44</v>
      </c>
      <c r="N47" s="22" t="e">
        <f t="shared" ca="1" si="7"/>
        <v>#NAME?</v>
      </c>
    </row>
    <row r="48" spans="1:14" x14ac:dyDescent="0.2">
      <c r="A48" s="12">
        <v>45</v>
      </c>
      <c r="B48" s="13">
        <v>1.702</v>
      </c>
      <c r="C48" s="14">
        <f t="shared" si="4"/>
        <v>0.60785714285714287</v>
      </c>
      <c r="D48" s="29"/>
      <c r="F48" s="16">
        <f t="shared" si="5"/>
        <v>-0.4978153870299758</v>
      </c>
      <c r="K48" s="21">
        <v>5.4</v>
      </c>
      <c r="L48" s="22" t="e">
        <f t="shared" ca="1" si="6"/>
        <v>#NAME?</v>
      </c>
      <c r="M48" s="21">
        <v>45</v>
      </c>
      <c r="N48" s="22" t="e">
        <f t="shared" ca="1" si="7"/>
        <v>#NAME?</v>
      </c>
    </row>
    <row r="49" spans="1:14" x14ac:dyDescent="0.2">
      <c r="A49" s="12">
        <v>46</v>
      </c>
      <c r="B49" s="13">
        <v>1.581</v>
      </c>
      <c r="C49" s="14">
        <f t="shared" si="4"/>
        <v>0.56464285714285711</v>
      </c>
      <c r="D49" s="29"/>
      <c r="F49" s="16">
        <f t="shared" si="5"/>
        <v>-0.57156185895382328</v>
      </c>
      <c r="K49" s="21">
        <v>5.5</v>
      </c>
      <c r="L49" s="22" t="e">
        <f t="shared" ca="1" si="6"/>
        <v>#NAME?</v>
      </c>
      <c r="M49" s="21">
        <v>46</v>
      </c>
      <c r="N49" s="22" t="e">
        <f t="shared" ca="1" si="7"/>
        <v>#NAME?</v>
      </c>
    </row>
    <row r="50" spans="1:14" x14ac:dyDescent="0.2">
      <c r="A50" s="12">
        <v>47</v>
      </c>
      <c r="B50" s="13">
        <v>1.474</v>
      </c>
      <c r="C50" s="14">
        <f t="shared" si="4"/>
        <v>0.52642857142857147</v>
      </c>
      <c r="D50" s="29"/>
      <c r="F50" s="16">
        <f t="shared" si="5"/>
        <v>-0.64163962341401326</v>
      </c>
      <c r="K50" s="21">
        <v>5.6</v>
      </c>
      <c r="L50" s="22" t="e">
        <f t="shared" ca="1" si="6"/>
        <v>#NAME?</v>
      </c>
      <c r="M50" s="21">
        <v>47</v>
      </c>
      <c r="N50" s="22" t="e">
        <f t="shared" ca="1" si="7"/>
        <v>#NAME?</v>
      </c>
    </row>
    <row r="51" spans="1:14" x14ac:dyDescent="0.2">
      <c r="A51" s="12">
        <v>48</v>
      </c>
      <c r="B51" s="13">
        <v>1.377</v>
      </c>
      <c r="C51" s="14">
        <f t="shared" si="4"/>
        <v>0.49178571428571433</v>
      </c>
      <c r="D51" s="29"/>
      <c r="F51" s="16">
        <f t="shared" si="5"/>
        <v>-0.70971219743464031</v>
      </c>
      <c r="K51" s="21">
        <v>5.7</v>
      </c>
      <c r="L51" s="22" t="e">
        <f t="shared" ca="1" si="6"/>
        <v>#NAME?</v>
      </c>
      <c r="M51" s="21">
        <v>48</v>
      </c>
      <c r="N51" s="22" t="e">
        <f t="shared" ca="1" si="7"/>
        <v>#NAME?</v>
      </c>
    </row>
    <row r="52" spans="1:14" x14ac:dyDescent="0.2">
      <c r="A52" s="12">
        <v>49</v>
      </c>
      <c r="B52" s="13">
        <v>1.2889999999999999</v>
      </c>
      <c r="C52" s="14">
        <f t="shared" si="4"/>
        <v>0.46035714285714285</v>
      </c>
      <c r="D52" s="29"/>
      <c r="F52" s="16">
        <f t="shared" si="5"/>
        <v>-0.77575269322410789</v>
      </c>
      <c r="K52" s="21">
        <v>5.8</v>
      </c>
      <c r="L52" s="22" t="e">
        <f t="shared" ca="1" si="6"/>
        <v>#NAME?</v>
      </c>
      <c r="M52" s="21">
        <v>49</v>
      </c>
      <c r="N52" s="22" t="e">
        <f t="shared" ca="1" si="7"/>
        <v>#NAME?</v>
      </c>
    </row>
    <row r="53" spans="1:14" x14ac:dyDescent="0.2">
      <c r="A53" s="30">
        <v>50</v>
      </c>
      <c r="B53" s="31">
        <v>1.2090000000000001</v>
      </c>
      <c r="C53" s="32">
        <f t="shared" si="4"/>
        <v>0.43178571428571433</v>
      </c>
      <c r="D53" s="33"/>
      <c r="F53" s="16">
        <f t="shared" si="5"/>
        <v>-0.83982584554850248</v>
      </c>
      <c r="K53" s="21">
        <v>5.9</v>
      </c>
      <c r="L53" s="22" t="e">
        <f t="shared" ca="1" si="6"/>
        <v>#NAME?</v>
      </c>
      <c r="M53" s="21">
        <v>50</v>
      </c>
      <c r="N53" s="22" t="e">
        <f t="shared" ca="1" si="7"/>
        <v>#NAME?</v>
      </c>
    </row>
    <row r="54" spans="1:14" x14ac:dyDescent="0.2">
      <c r="A54" s="34">
        <v>51</v>
      </c>
      <c r="B54" s="35">
        <f t="shared" ref="B54:B93" si="8">C54*2.8</f>
        <v>1.1199999999999999</v>
      </c>
      <c r="C54" s="36">
        <v>0.4</v>
      </c>
      <c r="D54" s="37" t="s">
        <v>21</v>
      </c>
      <c r="F54" s="16">
        <f t="shared" si="5"/>
        <v>-0.916290731874155</v>
      </c>
      <c r="K54" s="21">
        <v>6</v>
      </c>
      <c r="L54" s="22" t="e">
        <f t="shared" ca="1" si="6"/>
        <v>#NAME?</v>
      </c>
      <c r="M54" s="21">
        <v>51</v>
      </c>
      <c r="N54" s="22" t="e">
        <f t="shared" ca="1" si="7"/>
        <v>#NAME?</v>
      </c>
    </row>
    <row r="55" spans="1:14" x14ac:dyDescent="0.2">
      <c r="A55" s="38">
        <v>52</v>
      </c>
      <c r="B55" s="39">
        <f t="shared" si="8"/>
        <v>1.0639999999999998</v>
      </c>
      <c r="C55" s="40">
        <v>0.38</v>
      </c>
      <c r="D55" s="41" t="s">
        <v>21</v>
      </c>
      <c r="F55" s="16">
        <f t="shared" si="5"/>
        <v>-0.96758402626170559</v>
      </c>
      <c r="K55" s="21">
        <v>6.1</v>
      </c>
      <c r="L55" s="22" t="e">
        <f t="shared" ca="1" si="6"/>
        <v>#NAME?</v>
      </c>
      <c r="M55" s="21">
        <v>52</v>
      </c>
      <c r="N55" s="22" t="e">
        <f t="shared" ca="1" si="7"/>
        <v>#NAME?</v>
      </c>
    </row>
    <row r="56" spans="1:14" x14ac:dyDescent="0.2">
      <c r="A56" s="38">
        <v>53</v>
      </c>
      <c r="B56" s="39">
        <f t="shared" si="8"/>
        <v>1.008</v>
      </c>
      <c r="C56" s="40">
        <v>0.36</v>
      </c>
      <c r="D56" s="41" t="s">
        <v>21</v>
      </c>
      <c r="F56" s="16">
        <f t="shared" si="5"/>
        <v>-1.0216512475319814</v>
      </c>
      <c r="K56" s="21">
        <v>6.2</v>
      </c>
      <c r="L56" s="22" t="e">
        <f t="shared" ca="1" si="6"/>
        <v>#NAME?</v>
      </c>
      <c r="M56" s="21">
        <v>53</v>
      </c>
      <c r="N56" s="22" t="e">
        <f t="shared" ca="1" si="7"/>
        <v>#NAME?</v>
      </c>
    </row>
    <row r="57" spans="1:14" x14ac:dyDescent="0.2">
      <c r="A57" s="38">
        <v>54</v>
      </c>
      <c r="B57" s="39">
        <f t="shared" si="8"/>
        <v>0.95199999999999996</v>
      </c>
      <c r="C57" s="40">
        <v>0.34</v>
      </c>
      <c r="D57" s="41" t="s">
        <v>21</v>
      </c>
      <c r="F57" s="16">
        <f t="shared" si="5"/>
        <v>-1.0788096613719298</v>
      </c>
      <c r="K57" s="21">
        <v>6.3</v>
      </c>
      <c r="L57" s="22" t="e">
        <f t="shared" ca="1" si="6"/>
        <v>#NAME?</v>
      </c>
      <c r="M57" s="21">
        <v>54</v>
      </c>
      <c r="N57" s="22" t="e">
        <f t="shared" ca="1" si="7"/>
        <v>#NAME?</v>
      </c>
    </row>
    <row r="58" spans="1:14" x14ac:dyDescent="0.2">
      <c r="A58" s="38">
        <v>55</v>
      </c>
      <c r="B58" s="39">
        <f t="shared" si="8"/>
        <v>0.89599999999999991</v>
      </c>
      <c r="C58" s="40">
        <v>0.32</v>
      </c>
      <c r="D58" s="41" t="s">
        <v>21</v>
      </c>
      <c r="F58" s="16">
        <f t="shared" si="5"/>
        <v>-1.1394342831883648</v>
      </c>
      <c r="K58" s="21">
        <v>6.4</v>
      </c>
      <c r="L58" s="22" t="e">
        <f t="shared" ca="1" si="6"/>
        <v>#NAME?</v>
      </c>
      <c r="M58" s="21">
        <v>55</v>
      </c>
      <c r="N58" s="22" t="e">
        <f t="shared" ca="1" si="7"/>
        <v>#NAME?</v>
      </c>
    </row>
    <row r="59" spans="1:14" x14ac:dyDescent="0.2">
      <c r="A59" s="42">
        <v>56</v>
      </c>
      <c r="B59" s="39">
        <f t="shared" si="8"/>
        <v>0.84</v>
      </c>
      <c r="C59" s="43">
        <v>0.3</v>
      </c>
      <c r="D59" s="41" t="s">
        <v>21</v>
      </c>
      <c r="F59" s="16">
        <f t="shared" si="5"/>
        <v>-1.2039728043259361</v>
      </c>
      <c r="K59" s="21">
        <v>6.5000000000000098</v>
      </c>
      <c r="L59" s="22" t="e">
        <f t="shared" ca="1" si="6"/>
        <v>#NAME?</v>
      </c>
      <c r="M59" s="21">
        <v>56</v>
      </c>
      <c r="N59" s="22" t="e">
        <f t="shared" ca="1" si="7"/>
        <v>#NAME?</v>
      </c>
    </row>
    <row r="60" spans="1:14" x14ac:dyDescent="0.2">
      <c r="A60" s="42">
        <v>57</v>
      </c>
      <c r="B60" s="39">
        <f t="shared" si="8"/>
        <v>0.81199999999999994</v>
      </c>
      <c r="C60" s="43">
        <v>0.28999999999999998</v>
      </c>
      <c r="D60" s="41" t="s">
        <v>21</v>
      </c>
      <c r="F60" s="16">
        <f t="shared" si="5"/>
        <v>-1.2378743560016174</v>
      </c>
      <c r="K60" s="21">
        <v>6.6</v>
      </c>
      <c r="L60" s="22" t="e">
        <f t="shared" ca="1" si="6"/>
        <v>#NAME?</v>
      </c>
      <c r="M60" s="21">
        <v>57</v>
      </c>
      <c r="N60" s="22" t="e">
        <f t="shared" ca="1" si="7"/>
        <v>#NAME?</v>
      </c>
    </row>
    <row r="61" spans="1:14" x14ac:dyDescent="0.2">
      <c r="A61" s="42">
        <v>58</v>
      </c>
      <c r="B61" s="39">
        <f t="shared" si="8"/>
        <v>0.75600000000000001</v>
      </c>
      <c r="C61" s="43">
        <v>0.27</v>
      </c>
      <c r="D61" s="41" t="s">
        <v>21</v>
      </c>
      <c r="F61" s="16">
        <f t="shared" si="5"/>
        <v>-1.3093333199837622</v>
      </c>
      <c r="K61" s="21">
        <v>6.7</v>
      </c>
      <c r="L61" s="22" t="e">
        <f t="shared" ca="1" si="6"/>
        <v>#NAME?</v>
      </c>
      <c r="M61" s="21">
        <v>58</v>
      </c>
      <c r="N61" s="22" t="e">
        <f t="shared" ca="1" si="7"/>
        <v>#NAME?</v>
      </c>
    </row>
    <row r="62" spans="1:14" x14ac:dyDescent="0.2">
      <c r="A62" s="42">
        <v>59</v>
      </c>
      <c r="B62" s="39">
        <f t="shared" si="8"/>
        <v>0.7</v>
      </c>
      <c r="C62" s="43">
        <v>0.25</v>
      </c>
      <c r="D62" s="41" t="s">
        <v>21</v>
      </c>
      <c r="F62" s="16">
        <f t="shared" si="5"/>
        <v>-1.3862943611198906</v>
      </c>
      <c r="K62" s="21">
        <v>6.8000000000000096</v>
      </c>
      <c r="L62" s="22" t="e">
        <f t="shared" ca="1" si="6"/>
        <v>#NAME?</v>
      </c>
      <c r="M62" s="21">
        <v>59</v>
      </c>
      <c r="N62" s="22" t="e">
        <f t="shared" ca="1" si="7"/>
        <v>#NAME?</v>
      </c>
    </row>
    <row r="63" spans="1:14" x14ac:dyDescent="0.2">
      <c r="A63" s="42">
        <v>60</v>
      </c>
      <c r="B63" s="39">
        <f t="shared" si="8"/>
        <v>0.64400000000000002</v>
      </c>
      <c r="C63" s="43">
        <v>0.23</v>
      </c>
      <c r="D63" s="41" t="s">
        <v>21</v>
      </c>
      <c r="F63" s="16">
        <f t="shared" si="5"/>
        <v>-1.4696759700589417</v>
      </c>
      <c r="K63" s="21">
        <v>6.9000000000000101</v>
      </c>
      <c r="L63" s="22" t="e">
        <f t="shared" ca="1" si="6"/>
        <v>#NAME?</v>
      </c>
      <c r="M63" s="21">
        <v>60</v>
      </c>
      <c r="N63" s="22" t="e">
        <f t="shared" ca="1" si="7"/>
        <v>#NAME?</v>
      </c>
    </row>
    <row r="64" spans="1:14" x14ac:dyDescent="0.2">
      <c r="A64" s="42">
        <v>61</v>
      </c>
      <c r="B64" s="39">
        <f t="shared" si="8"/>
        <v>0.58799999999999997</v>
      </c>
      <c r="C64" s="43">
        <v>0.21</v>
      </c>
      <c r="D64" s="41" t="s">
        <v>21</v>
      </c>
      <c r="F64" s="16">
        <f t="shared" si="5"/>
        <v>-1.5606477482646683</v>
      </c>
      <c r="K64" s="21">
        <v>7.0000000000000098</v>
      </c>
      <c r="L64" s="22" t="e">
        <f t="shared" ca="1" si="6"/>
        <v>#NAME?</v>
      </c>
      <c r="M64" s="21">
        <v>61</v>
      </c>
      <c r="N64" s="22" t="e">
        <f t="shared" ca="1" si="7"/>
        <v>#NAME?</v>
      </c>
    </row>
    <row r="65" spans="1:14" x14ac:dyDescent="0.2">
      <c r="A65" s="42">
        <v>62</v>
      </c>
      <c r="B65" s="39">
        <f t="shared" si="8"/>
        <v>0.55999999999999994</v>
      </c>
      <c r="C65" s="43">
        <v>0.2</v>
      </c>
      <c r="D65" s="41" t="s">
        <v>21</v>
      </c>
      <c r="F65" s="16">
        <f t="shared" si="5"/>
        <v>-1.6094379124341003</v>
      </c>
      <c r="K65" s="21">
        <v>7.1</v>
      </c>
      <c r="L65" s="22" t="e">
        <f t="shared" ca="1" si="6"/>
        <v>#NAME?</v>
      </c>
      <c r="M65" s="21">
        <v>62</v>
      </c>
      <c r="N65" s="22" t="e">
        <f t="shared" ca="1" si="7"/>
        <v>#NAME?</v>
      </c>
    </row>
    <row r="66" spans="1:14" x14ac:dyDescent="0.2">
      <c r="A66" s="42">
        <v>63</v>
      </c>
      <c r="B66" s="39">
        <f t="shared" si="8"/>
        <v>0.53199999999999992</v>
      </c>
      <c r="C66" s="43">
        <v>0.19</v>
      </c>
      <c r="D66" s="41" t="s">
        <v>21</v>
      </c>
      <c r="F66" s="16">
        <f t="shared" si="5"/>
        <v>-1.6607312068216509</v>
      </c>
      <c r="K66" s="21">
        <v>7.2000000000000099</v>
      </c>
      <c r="L66" s="22" t="e">
        <f t="shared" ca="1" si="6"/>
        <v>#NAME?</v>
      </c>
      <c r="M66" s="21">
        <v>63</v>
      </c>
      <c r="N66" s="22" t="e">
        <f t="shared" ca="1" si="7"/>
        <v>#NAME?</v>
      </c>
    </row>
    <row r="67" spans="1:14" x14ac:dyDescent="0.2">
      <c r="A67" s="42">
        <v>64</v>
      </c>
      <c r="B67" s="39">
        <f t="shared" si="8"/>
        <v>0.504</v>
      </c>
      <c r="C67" s="43">
        <v>0.18</v>
      </c>
      <c r="D67" s="41" t="s">
        <v>21</v>
      </c>
      <c r="F67" s="16">
        <f t="shared" si="5"/>
        <v>-1.7147984280919266</v>
      </c>
      <c r="K67" s="21">
        <v>7.3000000000000096</v>
      </c>
      <c r="L67" s="22" t="e">
        <f t="shared" ca="1" si="6"/>
        <v>#NAME?</v>
      </c>
      <c r="M67" s="21">
        <v>64</v>
      </c>
      <c r="N67" s="22" t="e">
        <f t="shared" ca="1" si="7"/>
        <v>#NAME?</v>
      </c>
    </row>
    <row r="68" spans="1:14" x14ac:dyDescent="0.2">
      <c r="A68" s="42">
        <v>65</v>
      </c>
      <c r="B68" s="39">
        <f t="shared" si="8"/>
        <v>0.44799999999999995</v>
      </c>
      <c r="C68" s="43">
        <v>0.16</v>
      </c>
      <c r="D68" s="41" t="s">
        <v>21</v>
      </c>
      <c r="F68" s="16">
        <f t="shared" ref="F68:F93" si="9">LN(C68)</f>
        <v>-1.8325814637483102</v>
      </c>
      <c r="K68" s="21">
        <v>7.4000000000000101</v>
      </c>
      <c r="L68" s="22" t="e">
        <f t="shared" ref="L68:L93" ca="1" si="10">EXP(interpolate($A$4:$A$92, $F$4:$F$92, $K68,$H$2,1))</f>
        <v>#NAME?</v>
      </c>
      <c r="M68" s="21">
        <v>65</v>
      </c>
      <c r="N68" s="22" t="e">
        <f t="shared" ref="N68:N93" ca="1" si="11">EXP(interpolate($A$4:$A$93, $F$4:$F$93, M68,$H$2,1))</f>
        <v>#NAME?</v>
      </c>
    </row>
    <row r="69" spans="1:14" x14ac:dyDescent="0.2">
      <c r="A69" s="42">
        <v>66</v>
      </c>
      <c r="B69" s="39">
        <f t="shared" si="8"/>
        <v>0.39200000000000002</v>
      </c>
      <c r="C69" s="43">
        <v>0.14000000000000001</v>
      </c>
      <c r="D69" s="41" t="s">
        <v>21</v>
      </c>
      <c r="F69" s="16">
        <f t="shared" si="9"/>
        <v>-1.9661128563728327</v>
      </c>
      <c r="K69" s="21">
        <v>7.5000000000000098</v>
      </c>
      <c r="L69" s="22" t="e">
        <f t="shared" ca="1" si="10"/>
        <v>#NAME?</v>
      </c>
      <c r="M69" s="21">
        <v>66</v>
      </c>
      <c r="N69" s="22" t="e">
        <f t="shared" ca="1" si="11"/>
        <v>#NAME?</v>
      </c>
    </row>
    <row r="70" spans="1:14" x14ac:dyDescent="0.2">
      <c r="A70" s="42">
        <v>67</v>
      </c>
      <c r="B70" s="39">
        <f t="shared" si="8"/>
        <v>0.36399999999999999</v>
      </c>
      <c r="C70" s="43">
        <v>0.13</v>
      </c>
      <c r="D70" s="41" t="s">
        <v>21</v>
      </c>
      <c r="F70" s="16">
        <f t="shared" si="9"/>
        <v>-2.0402208285265546</v>
      </c>
      <c r="K70" s="21">
        <v>7.6000000000000103</v>
      </c>
      <c r="L70" s="22" t="e">
        <f t="shared" ca="1" si="10"/>
        <v>#NAME?</v>
      </c>
      <c r="M70" s="21">
        <v>67</v>
      </c>
      <c r="N70" s="22" t="e">
        <f t="shared" ca="1" si="11"/>
        <v>#NAME?</v>
      </c>
    </row>
    <row r="71" spans="1:14" x14ac:dyDescent="0.2">
      <c r="A71" s="42">
        <v>68</v>
      </c>
      <c r="B71" s="39">
        <f t="shared" si="8"/>
        <v>0.33599999999999997</v>
      </c>
      <c r="C71" s="43">
        <v>0.12</v>
      </c>
      <c r="D71" s="41" t="s">
        <v>21</v>
      </c>
      <c r="F71" s="16">
        <f t="shared" si="9"/>
        <v>-2.120263536200091</v>
      </c>
      <c r="K71" s="21">
        <v>7.7000000000000099</v>
      </c>
      <c r="L71" s="22" t="e">
        <f t="shared" ca="1" si="10"/>
        <v>#NAME?</v>
      </c>
      <c r="M71" s="21">
        <v>68</v>
      </c>
      <c r="N71" s="22" t="e">
        <f t="shared" ca="1" si="11"/>
        <v>#NAME?</v>
      </c>
    </row>
    <row r="72" spans="1:14" x14ac:dyDescent="0.2">
      <c r="A72" s="42">
        <v>69</v>
      </c>
      <c r="B72" s="39">
        <f t="shared" si="8"/>
        <v>0.308</v>
      </c>
      <c r="C72" s="43">
        <v>0.11</v>
      </c>
      <c r="D72" s="41" t="s">
        <v>21</v>
      </c>
      <c r="F72" s="16">
        <f t="shared" si="9"/>
        <v>-2.2072749131897207</v>
      </c>
      <c r="K72" s="21">
        <v>7.8000000000000096</v>
      </c>
      <c r="L72" s="22" t="e">
        <f t="shared" ca="1" si="10"/>
        <v>#NAME?</v>
      </c>
      <c r="M72" s="21">
        <v>69</v>
      </c>
      <c r="N72" s="22" t="e">
        <f t="shared" ca="1" si="11"/>
        <v>#NAME?</v>
      </c>
    </row>
    <row r="73" spans="1:14" x14ac:dyDescent="0.2">
      <c r="A73" s="42">
        <v>70</v>
      </c>
      <c r="B73" s="39">
        <f t="shared" si="8"/>
        <v>0.27999999999999997</v>
      </c>
      <c r="C73" s="43">
        <v>0.1</v>
      </c>
      <c r="D73" s="41" t="s">
        <v>21</v>
      </c>
      <c r="F73" s="16">
        <f t="shared" si="9"/>
        <v>-2.3025850929940455</v>
      </c>
      <c r="K73" s="21">
        <v>7.9000000000000101</v>
      </c>
      <c r="L73" s="22" t="e">
        <f t="shared" ca="1" si="10"/>
        <v>#NAME?</v>
      </c>
      <c r="M73" s="21">
        <v>70</v>
      </c>
      <c r="N73" s="22" t="e">
        <f t="shared" ca="1" si="11"/>
        <v>#NAME?</v>
      </c>
    </row>
    <row r="74" spans="1:14" x14ac:dyDescent="0.2">
      <c r="A74" s="42">
        <v>71</v>
      </c>
      <c r="B74" s="39">
        <f t="shared" si="8"/>
        <v>0.252</v>
      </c>
      <c r="C74" s="43">
        <v>0.09</v>
      </c>
      <c r="D74" s="41" t="s">
        <v>21</v>
      </c>
      <c r="F74" s="16">
        <f t="shared" si="9"/>
        <v>-2.4079456086518722</v>
      </c>
      <c r="K74" s="21">
        <v>8.0000000000000107</v>
      </c>
      <c r="L74" s="22" t="e">
        <f t="shared" ca="1" si="10"/>
        <v>#NAME?</v>
      </c>
      <c r="M74" s="21">
        <v>71</v>
      </c>
      <c r="N74" s="22" t="e">
        <f t="shared" ca="1" si="11"/>
        <v>#NAME?</v>
      </c>
    </row>
    <row r="75" spans="1:14" x14ac:dyDescent="0.2">
      <c r="A75" s="42">
        <v>72</v>
      </c>
      <c r="B75" s="39">
        <f t="shared" si="8"/>
        <v>0.22399999999999998</v>
      </c>
      <c r="C75" s="43">
        <v>0.08</v>
      </c>
      <c r="D75" s="41" t="s">
        <v>21</v>
      </c>
      <c r="F75" s="16">
        <f t="shared" si="9"/>
        <v>-2.5257286443082556</v>
      </c>
      <c r="K75" s="21">
        <v>8.1000000000000103</v>
      </c>
      <c r="L75" s="22" t="e">
        <f t="shared" ca="1" si="10"/>
        <v>#NAME?</v>
      </c>
      <c r="M75" s="21">
        <v>72</v>
      </c>
      <c r="N75" s="22" t="e">
        <f t="shared" ca="1" si="11"/>
        <v>#NAME?</v>
      </c>
    </row>
    <row r="76" spans="1:14" x14ac:dyDescent="0.2">
      <c r="A76" s="42">
        <v>73</v>
      </c>
      <c r="B76" s="39">
        <f t="shared" si="8"/>
        <v>0.19600000000000001</v>
      </c>
      <c r="C76" s="43">
        <v>7.0000000000000007E-2</v>
      </c>
      <c r="D76" s="41" t="s">
        <v>21</v>
      </c>
      <c r="F76" s="16">
        <f t="shared" si="9"/>
        <v>-2.6592600369327779</v>
      </c>
      <c r="K76" s="21">
        <v>8.2000000000000099</v>
      </c>
      <c r="L76" s="22" t="e">
        <f t="shared" ca="1" si="10"/>
        <v>#NAME?</v>
      </c>
      <c r="M76" s="21">
        <v>73</v>
      </c>
      <c r="N76" s="22" t="e">
        <f t="shared" ca="1" si="11"/>
        <v>#NAME?</v>
      </c>
    </row>
    <row r="77" spans="1:14" x14ac:dyDescent="0.2">
      <c r="A77" s="42">
        <v>74</v>
      </c>
      <c r="B77" s="39">
        <f t="shared" si="8"/>
        <v>0.18759999999999999</v>
      </c>
      <c r="C77" s="43">
        <v>6.7000000000000004E-2</v>
      </c>
      <c r="D77" s="41" t="s">
        <v>21</v>
      </c>
      <c r="F77" s="16">
        <f t="shared" si="9"/>
        <v>-2.7030626595911711</v>
      </c>
      <c r="K77" s="21">
        <v>8.3000000000000096</v>
      </c>
      <c r="L77" s="22" t="e">
        <f t="shared" ca="1" si="10"/>
        <v>#NAME?</v>
      </c>
      <c r="M77" s="21">
        <v>74</v>
      </c>
      <c r="N77" s="22" t="e">
        <f t="shared" ca="1" si="11"/>
        <v>#NAME?</v>
      </c>
    </row>
    <row r="78" spans="1:14" x14ac:dyDescent="0.2">
      <c r="A78" s="42">
        <v>75</v>
      </c>
      <c r="B78" s="39">
        <f t="shared" si="8"/>
        <v>0.1792</v>
      </c>
      <c r="C78" s="43">
        <v>6.4000000000000001E-2</v>
      </c>
      <c r="D78" s="41" t="s">
        <v>21</v>
      </c>
      <c r="F78" s="16">
        <f t="shared" si="9"/>
        <v>-2.7488721956224653</v>
      </c>
      <c r="K78" s="21">
        <v>8.4000000000000092</v>
      </c>
      <c r="L78" s="22" t="e">
        <f t="shared" ca="1" si="10"/>
        <v>#NAME?</v>
      </c>
      <c r="M78" s="21">
        <v>75</v>
      </c>
      <c r="N78" s="22" t="e">
        <f t="shared" ca="1" si="11"/>
        <v>#NAME?</v>
      </c>
    </row>
    <row r="79" spans="1:14" x14ac:dyDescent="0.2">
      <c r="A79" s="42">
        <v>76</v>
      </c>
      <c r="B79" s="39">
        <f t="shared" si="8"/>
        <v>0.17079999999999998</v>
      </c>
      <c r="C79" s="43">
        <v>6.0999999999999999E-2</v>
      </c>
      <c r="D79" s="41" t="s">
        <v>21</v>
      </c>
      <c r="F79" s="16">
        <f t="shared" si="9"/>
        <v>-2.7968814148088259</v>
      </c>
      <c r="K79" s="21">
        <v>8.5000000000000107</v>
      </c>
      <c r="L79" s="22" t="e">
        <f t="shared" ca="1" si="10"/>
        <v>#NAME?</v>
      </c>
      <c r="M79" s="21">
        <v>76</v>
      </c>
      <c r="N79" s="22" t="e">
        <f t="shared" ca="1" si="11"/>
        <v>#NAME?</v>
      </c>
    </row>
    <row r="80" spans="1:14" x14ac:dyDescent="0.2">
      <c r="A80" s="42">
        <v>77</v>
      </c>
      <c r="B80" s="39">
        <f t="shared" si="8"/>
        <v>0.16239999999999999</v>
      </c>
      <c r="C80" s="43">
        <v>5.8000000000000003E-2</v>
      </c>
      <c r="D80" s="41" t="s">
        <v>21</v>
      </c>
      <c r="F80" s="16">
        <f t="shared" si="9"/>
        <v>-2.8473122684357177</v>
      </c>
      <c r="K80" s="21">
        <v>8.6000000000000103</v>
      </c>
      <c r="L80" s="22" t="e">
        <f t="shared" ca="1" si="10"/>
        <v>#NAME?</v>
      </c>
      <c r="M80" s="21">
        <v>77</v>
      </c>
      <c r="N80" s="22" t="e">
        <f t="shared" ca="1" si="11"/>
        <v>#NAME?</v>
      </c>
    </row>
    <row r="81" spans="1:14" x14ac:dyDescent="0.2">
      <c r="A81" s="42">
        <v>78</v>
      </c>
      <c r="B81" s="39">
        <f t="shared" si="8"/>
        <v>0.154</v>
      </c>
      <c r="C81" s="43">
        <v>5.5E-2</v>
      </c>
      <c r="D81" s="41" t="s">
        <v>21</v>
      </c>
      <c r="F81" s="16">
        <f t="shared" si="9"/>
        <v>-2.9004220937496661</v>
      </c>
      <c r="K81" s="21">
        <v>8.7000000000000099</v>
      </c>
      <c r="L81" s="22" t="e">
        <f t="shared" ca="1" si="10"/>
        <v>#NAME?</v>
      </c>
      <c r="M81" s="21">
        <v>78</v>
      </c>
      <c r="N81" s="22" t="e">
        <f t="shared" ca="1" si="11"/>
        <v>#NAME?</v>
      </c>
    </row>
    <row r="82" spans="1:14" x14ac:dyDescent="0.2">
      <c r="A82" s="42">
        <v>79</v>
      </c>
      <c r="B82" s="39">
        <f t="shared" si="8"/>
        <v>0.14559999999999998</v>
      </c>
      <c r="C82" s="43">
        <v>5.1999999999999998E-2</v>
      </c>
      <c r="D82" s="41" t="s">
        <v>21</v>
      </c>
      <c r="F82" s="16">
        <f t="shared" si="9"/>
        <v>-2.9565115604007097</v>
      </c>
      <c r="K82" s="21">
        <v>8.8000000000000096</v>
      </c>
      <c r="L82" s="22" t="e">
        <f t="shared" ca="1" si="10"/>
        <v>#NAME?</v>
      </c>
      <c r="M82" s="21">
        <v>79</v>
      </c>
      <c r="N82" s="22" t="e">
        <f t="shared" ca="1" si="11"/>
        <v>#NAME?</v>
      </c>
    </row>
    <row r="83" spans="1:14" x14ac:dyDescent="0.2">
      <c r="A83" s="42">
        <v>80</v>
      </c>
      <c r="B83" s="39">
        <f t="shared" si="8"/>
        <v>0.13719999999999999</v>
      </c>
      <c r="C83" s="43">
        <v>4.9000000000000002E-2</v>
      </c>
      <c r="D83" s="41" t="s">
        <v>21</v>
      </c>
      <c r="F83" s="16">
        <f t="shared" si="9"/>
        <v>-3.0159349808715104</v>
      </c>
      <c r="K83" s="21">
        <v>8.9000000000000092</v>
      </c>
      <c r="L83" s="22" t="e">
        <f t="shared" ca="1" si="10"/>
        <v>#NAME?</v>
      </c>
      <c r="M83" s="21">
        <v>80</v>
      </c>
      <c r="N83" s="22" t="e">
        <f t="shared" ca="1" si="11"/>
        <v>#NAME?</v>
      </c>
    </row>
    <row r="84" spans="1:14" x14ac:dyDescent="0.2">
      <c r="A84" s="42">
        <v>81</v>
      </c>
      <c r="B84" s="39">
        <f t="shared" si="8"/>
        <v>0.1288</v>
      </c>
      <c r="C84" s="43">
        <v>4.5999999999999999E-2</v>
      </c>
      <c r="D84" s="41" t="s">
        <v>21</v>
      </c>
      <c r="F84" s="16">
        <f t="shared" si="9"/>
        <v>-3.0791138824930422</v>
      </c>
      <c r="K84" s="21">
        <v>9.0000000000000107</v>
      </c>
      <c r="L84" s="22" t="e">
        <f t="shared" ca="1" si="10"/>
        <v>#NAME?</v>
      </c>
      <c r="M84" s="21">
        <v>81</v>
      </c>
      <c r="N84" s="22" t="e">
        <f t="shared" ca="1" si="11"/>
        <v>#NAME?</v>
      </c>
    </row>
    <row r="85" spans="1:14" x14ac:dyDescent="0.2">
      <c r="A85" s="42">
        <v>82</v>
      </c>
      <c r="B85" s="39">
        <f t="shared" si="8"/>
        <v>0.12039999999999998</v>
      </c>
      <c r="C85" s="43">
        <v>4.2999999999999997E-2</v>
      </c>
      <c r="D85" s="41" t="s">
        <v>21</v>
      </c>
      <c r="F85" s="16">
        <f t="shared" si="9"/>
        <v>-3.1465551632885749</v>
      </c>
      <c r="K85" s="21">
        <v>9.1000000000000103</v>
      </c>
      <c r="L85" s="22" t="e">
        <f t="shared" ca="1" si="10"/>
        <v>#NAME?</v>
      </c>
      <c r="M85" s="21">
        <v>82</v>
      </c>
      <c r="N85" s="22" t="e">
        <f t="shared" ca="1" si="11"/>
        <v>#NAME?</v>
      </c>
    </row>
    <row r="86" spans="1:14" x14ac:dyDescent="0.2">
      <c r="A86" s="42">
        <v>83</v>
      </c>
      <c r="B86" s="39">
        <f t="shared" si="8"/>
        <v>0.11199999999999999</v>
      </c>
      <c r="C86" s="43">
        <v>0.04</v>
      </c>
      <c r="D86" s="41" t="s">
        <v>21</v>
      </c>
      <c r="F86" s="16">
        <f t="shared" si="9"/>
        <v>-3.2188758248682006</v>
      </c>
      <c r="K86" s="21">
        <v>9.2000000000000099</v>
      </c>
      <c r="L86" s="22" t="e">
        <f t="shared" ca="1" si="10"/>
        <v>#NAME?</v>
      </c>
      <c r="M86" s="21">
        <v>83</v>
      </c>
      <c r="N86" s="22" t="e">
        <f t="shared" ca="1" si="11"/>
        <v>#NAME?</v>
      </c>
    </row>
    <row r="87" spans="1:14" x14ac:dyDescent="0.2">
      <c r="A87" s="42">
        <v>84</v>
      </c>
      <c r="B87" s="39">
        <f t="shared" si="8"/>
        <v>0.10359999999999998</v>
      </c>
      <c r="C87" s="43">
        <v>3.6999999999999998E-2</v>
      </c>
      <c r="D87" s="41" t="s">
        <v>21</v>
      </c>
      <c r="F87" s="16">
        <f t="shared" si="9"/>
        <v>-3.2968373663379125</v>
      </c>
      <c r="K87" s="21">
        <v>9.3000000000000096</v>
      </c>
      <c r="L87" s="22" t="e">
        <f t="shared" ca="1" si="10"/>
        <v>#NAME?</v>
      </c>
      <c r="M87" s="21">
        <v>84</v>
      </c>
      <c r="N87" s="22" t="e">
        <f t="shared" ca="1" si="11"/>
        <v>#NAME?</v>
      </c>
    </row>
    <row r="88" spans="1:14" x14ac:dyDescent="0.2">
      <c r="A88" s="42">
        <v>85</v>
      </c>
      <c r="B88" s="39">
        <f t="shared" si="8"/>
        <v>9.5200000000000007E-2</v>
      </c>
      <c r="C88" s="43">
        <v>3.4000000000000002E-2</v>
      </c>
      <c r="D88" s="41" t="s">
        <v>21</v>
      </c>
      <c r="F88" s="16">
        <f t="shared" si="9"/>
        <v>-3.3813947543659757</v>
      </c>
      <c r="K88" s="21">
        <v>9.4000000000000092</v>
      </c>
      <c r="L88" s="22" t="e">
        <f t="shared" ca="1" si="10"/>
        <v>#NAME?</v>
      </c>
      <c r="M88" s="21">
        <v>85</v>
      </c>
      <c r="N88" s="22" t="e">
        <f t="shared" ca="1" si="11"/>
        <v>#NAME?</v>
      </c>
    </row>
    <row r="89" spans="1:14" x14ac:dyDescent="0.2">
      <c r="A89" s="42">
        <v>86</v>
      </c>
      <c r="B89" s="39">
        <f t="shared" si="8"/>
        <v>8.6799999999999988E-2</v>
      </c>
      <c r="C89" s="43">
        <v>3.1E-2</v>
      </c>
      <c r="D89" s="41" t="s">
        <v>21</v>
      </c>
      <c r="F89" s="16">
        <f t="shared" si="9"/>
        <v>-3.473768074496991</v>
      </c>
      <c r="K89" s="21">
        <v>9.5000000000000107</v>
      </c>
      <c r="L89" s="22" t="e">
        <f t="shared" ca="1" si="10"/>
        <v>#NAME?</v>
      </c>
      <c r="M89" s="21">
        <v>86</v>
      </c>
      <c r="N89" s="22" t="e">
        <f t="shared" ca="1" si="11"/>
        <v>#NAME?</v>
      </c>
    </row>
    <row r="90" spans="1:14" x14ac:dyDescent="0.2">
      <c r="A90" s="42">
        <v>87</v>
      </c>
      <c r="B90" s="39">
        <f t="shared" si="8"/>
        <v>7.8399999999999997E-2</v>
      </c>
      <c r="C90" s="43">
        <v>2.8000000000000001E-2</v>
      </c>
      <c r="D90" s="41" t="s">
        <v>21</v>
      </c>
      <c r="F90" s="16">
        <f t="shared" si="9"/>
        <v>-3.575550768806933</v>
      </c>
      <c r="K90" s="21">
        <v>9.6000000000000103</v>
      </c>
      <c r="L90" s="22" t="e">
        <f t="shared" ca="1" si="10"/>
        <v>#NAME?</v>
      </c>
      <c r="M90" s="21">
        <v>87</v>
      </c>
      <c r="N90" s="22" t="e">
        <f t="shared" ca="1" si="11"/>
        <v>#NAME?</v>
      </c>
    </row>
    <row r="91" spans="1:14" x14ac:dyDescent="0.2">
      <c r="A91" s="42">
        <v>88</v>
      </c>
      <c r="B91" s="39">
        <f t="shared" si="8"/>
        <v>6.9999999999999993E-2</v>
      </c>
      <c r="C91" s="43">
        <v>2.5000000000000001E-2</v>
      </c>
      <c r="D91" s="41" t="s">
        <v>21</v>
      </c>
      <c r="F91" s="16">
        <f t="shared" si="9"/>
        <v>-3.6888794541139363</v>
      </c>
      <c r="K91" s="21">
        <v>9.7000000000000099</v>
      </c>
      <c r="L91" s="22" t="e">
        <f t="shared" ca="1" si="10"/>
        <v>#NAME?</v>
      </c>
      <c r="M91" s="21">
        <v>88</v>
      </c>
      <c r="N91" s="22" t="e">
        <f t="shared" ca="1" si="11"/>
        <v>#NAME?</v>
      </c>
    </row>
    <row r="92" spans="1:14" x14ac:dyDescent="0.2">
      <c r="A92" s="42">
        <v>89</v>
      </c>
      <c r="B92" s="39">
        <f t="shared" si="8"/>
        <v>6.1599999999999995E-2</v>
      </c>
      <c r="C92" s="43">
        <v>2.1999999999999999E-2</v>
      </c>
      <c r="D92" s="41" t="s">
        <v>21</v>
      </c>
      <c r="F92" s="16">
        <f t="shared" si="9"/>
        <v>-3.8167128256238212</v>
      </c>
      <c r="K92" s="21">
        <v>9.8000000000000096</v>
      </c>
      <c r="L92" s="22" t="e">
        <f t="shared" ca="1" si="10"/>
        <v>#NAME?</v>
      </c>
      <c r="M92" s="21">
        <v>89</v>
      </c>
      <c r="N92" s="22" t="e">
        <f t="shared" ca="1" si="11"/>
        <v>#NAME?</v>
      </c>
    </row>
    <row r="93" spans="1:14" x14ac:dyDescent="0.2">
      <c r="A93" s="44">
        <v>90</v>
      </c>
      <c r="B93" s="45">
        <f t="shared" si="8"/>
        <v>5.5999999999999994E-2</v>
      </c>
      <c r="C93" s="46">
        <v>0.02</v>
      </c>
      <c r="D93" s="47" t="s">
        <v>21</v>
      </c>
      <c r="F93" s="48">
        <f t="shared" si="9"/>
        <v>-3.912023005428146</v>
      </c>
      <c r="K93" s="49">
        <v>9.9000000000000092</v>
      </c>
      <c r="L93" s="50" t="e">
        <f t="shared" ca="1" si="10"/>
        <v>#NAME?</v>
      </c>
      <c r="M93" s="49">
        <v>90</v>
      </c>
      <c r="N93" s="50" t="e">
        <f t="shared" ca="1" si="11"/>
        <v>#NAME?</v>
      </c>
    </row>
  </sheetData>
  <sheetProtection password="DCDE" sheet="1" objects="1" scenarios="1"/>
  <pageMargins left="0.50972222222222197" right="0.24027777777777801" top="0.80972222222222201" bottom="0.27986111111111101" header="0.5" footer="0.51180555555555496"/>
  <pageSetup paperSize="9" firstPageNumber="0" orientation="portrait" horizontalDpi="300" verticalDpi="300"/>
  <headerFooter>
    <oddHeader>&amp;C&amp;"Arial,Bold"&amp;14Contamination Monitoring Product Calibration - Twin Light Source 30-1 Look Up Tables</odd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6484F-A7E2-4487-9B92-2D00C59A556D}">
  <dimension ref="A1:V52"/>
  <sheetViews>
    <sheetView view="pageLayout" zoomScaleNormal="100" workbookViewId="0">
      <selection activeCell="X7" sqref="X7"/>
    </sheetView>
  </sheetViews>
  <sheetFormatPr defaultColWidth="7.42578125" defaultRowHeight="0" customHeight="1" zeroHeight="1" x14ac:dyDescent="0.2"/>
  <cols>
    <col min="1" max="1" width="11.5703125" style="269" customWidth="1"/>
    <col min="2" max="2" width="11.28515625" style="269" customWidth="1"/>
    <col min="3" max="3" width="10.28515625" style="269" customWidth="1"/>
    <col min="4" max="4" width="7.5703125" style="269" customWidth="1"/>
    <col min="5" max="5" width="7.28515625" style="269" customWidth="1"/>
    <col min="6" max="6" width="9.7109375" style="269" customWidth="1"/>
    <col min="7" max="7" width="12.5703125" style="269" customWidth="1"/>
    <col min="8" max="8" width="8.7109375" style="269" customWidth="1"/>
    <col min="9" max="9" width="7.7109375" style="269" customWidth="1"/>
    <col min="10" max="10" width="8.7109375" style="269" customWidth="1"/>
    <col min="11" max="11" width="5.28515625" style="269" customWidth="1"/>
    <col min="12" max="12" width="9.28515625" style="269" customWidth="1"/>
    <col min="13" max="13" width="9.28515625" style="269" hidden="1" customWidth="1"/>
    <col min="14" max="16" width="9.28515625" style="269" customWidth="1"/>
    <col min="17" max="17" width="7.5703125" style="269" customWidth="1"/>
    <col min="18" max="18" width="12.5703125" style="269" hidden="1" customWidth="1"/>
    <col min="19" max="19" width="0.7109375" style="269" hidden="1" customWidth="1"/>
    <col min="20" max="20" width="9.7109375" style="269" hidden="1" customWidth="1"/>
    <col min="21" max="21" width="12.85546875" style="269" hidden="1" customWidth="1"/>
    <col min="22" max="255" width="9.28515625" style="269" customWidth="1"/>
    <col min="256" max="16384" width="7.42578125" style="269"/>
  </cols>
  <sheetData>
    <row r="1" spans="1:22" s="270" customFormat="1" ht="12" customHeight="1" x14ac:dyDescent="0.2">
      <c r="A1" s="265"/>
      <c r="B1" s="266"/>
      <c r="C1" s="267"/>
      <c r="D1" s="267"/>
      <c r="E1" s="267"/>
      <c r="F1" s="267"/>
      <c r="G1" s="267"/>
      <c r="H1" s="267"/>
      <c r="I1" s="267"/>
      <c r="J1" s="267"/>
      <c r="K1" s="268" t="s">
        <v>405</v>
      </c>
      <c r="L1" s="269"/>
      <c r="M1" s="269"/>
      <c r="N1" s="269"/>
      <c r="O1" s="269"/>
      <c r="P1" s="269"/>
      <c r="Q1" s="269"/>
      <c r="R1" s="269" t="s">
        <v>101</v>
      </c>
      <c r="S1" s="269" t="s">
        <v>101</v>
      </c>
      <c r="T1" s="269" t="s">
        <v>101</v>
      </c>
      <c r="U1" s="269" t="s">
        <v>101</v>
      </c>
      <c r="V1" s="269"/>
    </row>
    <row r="2" spans="1:22" s="270" customFormat="1" ht="12" customHeight="1" x14ac:dyDescent="0.2">
      <c r="A2" s="271"/>
      <c r="B2" s="272"/>
      <c r="K2" s="273" t="s">
        <v>406</v>
      </c>
      <c r="L2" s="269"/>
      <c r="M2" s="269">
        <f>IF(C20="MK II",7000,3900)</f>
        <v>3900</v>
      </c>
      <c r="N2" s="269"/>
      <c r="O2" s="269"/>
      <c r="P2" s="269"/>
      <c r="Q2" s="269"/>
      <c r="R2" s="269" t="s">
        <v>348</v>
      </c>
      <c r="S2" s="269" t="s">
        <v>349</v>
      </c>
      <c r="T2" s="269" t="s">
        <v>350</v>
      </c>
      <c r="U2" s="269" t="s">
        <v>351</v>
      </c>
      <c r="V2" s="269"/>
    </row>
    <row r="3" spans="1:22" s="270" customFormat="1" ht="15" customHeight="1" x14ac:dyDescent="0.2">
      <c r="A3" s="426" t="s">
        <v>22</v>
      </c>
      <c r="B3" s="426"/>
      <c r="C3" s="444"/>
      <c r="D3" s="444"/>
      <c r="E3" s="426" t="s">
        <v>352</v>
      </c>
      <c r="F3" s="426"/>
      <c r="G3" s="445"/>
      <c r="H3" s="446"/>
      <c r="I3" s="274"/>
      <c r="J3" s="274"/>
      <c r="K3" s="274"/>
      <c r="L3" s="269"/>
      <c r="M3" s="269"/>
      <c r="N3" s="269"/>
      <c r="O3" s="269"/>
      <c r="P3" s="269"/>
      <c r="Q3" s="269"/>
      <c r="R3" s="269" t="s">
        <v>353</v>
      </c>
      <c r="S3" s="269" t="s">
        <v>354</v>
      </c>
      <c r="T3" s="270">
        <v>0</v>
      </c>
      <c r="U3" s="269" t="s">
        <v>355</v>
      </c>
      <c r="V3" s="269"/>
    </row>
    <row r="4" spans="1:22" s="270" customFormat="1" ht="15" customHeight="1" x14ac:dyDescent="0.2">
      <c r="A4" s="426" t="s">
        <v>24</v>
      </c>
      <c r="B4" s="426"/>
      <c r="C4" s="427"/>
      <c r="D4" s="428"/>
      <c r="E4" s="428"/>
      <c r="F4" s="428"/>
      <c r="G4" s="428"/>
      <c r="H4" s="429"/>
      <c r="I4" s="274"/>
      <c r="J4" s="274"/>
      <c r="K4" s="274"/>
      <c r="L4" s="269"/>
      <c r="M4" s="269"/>
      <c r="N4" s="269"/>
      <c r="O4" s="269"/>
      <c r="P4" s="269"/>
      <c r="Q4" s="269"/>
      <c r="R4" s="269" t="s">
        <v>356</v>
      </c>
      <c r="S4" s="269" t="s">
        <v>357</v>
      </c>
      <c r="T4" s="269">
        <v>1</v>
      </c>
      <c r="U4" s="269" t="s">
        <v>358</v>
      </c>
      <c r="V4" s="269"/>
    </row>
    <row r="5" spans="1:22" s="270" customFormat="1" ht="15.75" customHeight="1" x14ac:dyDescent="0.2">
      <c r="A5" s="426" t="s">
        <v>25</v>
      </c>
      <c r="B5" s="426"/>
      <c r="C5" s="441"/>
      <c r="D5" s="441"/>
      <c r="E5" s="426" t="s">
        <v>26</v>
      </c>
      <c r="F5" s="426"/>
      <c r="G5" s="442"/>
      <c r="H5" s="442"/>
      <c r="I5" s="275"/>
      <c r="J5" s="275"/>
      <c r="K5" s="275"/>
      <c r="L5" s="269"/>
      <c r="M5" s="269"/>
      <c r="N5" s="269"/>
      <c r="O5" s="269"/>
      <c r="P5" s="269"/>
      <c r="Q5" s="269"/>
      <c r="R5" s="269" t="s">
        <v>359</v>
      </c>
      <c r="S5" s="269" t="s">
        <v>360</v>
      </c>
      <c r="T5" s="269">
        <v>2</v>
      </c>
      <c r="U5" s="269"/>
      <c r="V5" s="269"/>
    </row>
    <row r="6" spans="1:22" s="270" customFormat="1" ht="17.25" customHeight="1" x14ac:dyDescent="0.2">
      <c r="A6" s="426" t="s">
        <v>27</v>
      </c>
      <c r="B6" s="426"/>
      <c r="C6" s="443"/>
      <c r="D6" s="443"/>
      <c r="E6" s="426" t="s">
        <v>28</v>
      </c>
      <c r="F6" s="426"/>
      <c r="G6" s="442"/>
      <c r="H6" s="442"/>
      <c r="I6" s="275"/>
      <c r="J6" s="275"/>
      <c r="K6" s="275"/>
      <c r="L6" s="269"/>
      <c r="M6" s="269"/>
      <c r="N6" s="269"/>
      <c r="O6" s="269"/>
      <c r="P6" s="269"/>
      <c r="Q6" s="269"/>
      <c r="R6" s="269" t="s">
        <v>361</v>
      </c>
      <c r="S6" s="269" t="s">
        <v>362</v>
      </c>
      <c r="T6" s="269">
        <v>3</v>
      </c>
      <c r="U6" s="269"/>
      <c r="V6" s="269"/>
    </row>
    <row r="7" spans="1:22" s="270" customFormat="1" ht="17.25" customHeight="1" x14ac:dyDescent="0.2">
      <c r="A7" s="426" t="s">
        <v>29</v>
      </c>
      <c r="B7" s="426"/>
      <c r="C7" s="427"/>
      <c r="D7" s="428"/>
      <c r="E7" s="428"/>
      <c r="F7" s="428"/>
      <c r="G7" s="428"/>
      <c r="H7" s="429"/>
      <c r="I7" s="276"/>
      <c r="J7" s="276"/>
      <c r="K7" s="276"/>
      <c r="L7" s="269"/>
      <c r="M7" s="269"/>
      <c r="N7" s="269"/>
      <c r="O7" s="269"/>
      <c r="P7" s="269"/>
      <c r="Q7" s="269"/>
      <c r="R7" s="269" t="s">
        <v>35</v>
      </c>
      <c r="S7" s="269" t="s">
        <v>363</v>
      </c>
      <c r="T7" s="269">
        <v>4</v>
      </c>
      <c r="U7" s="269"/>
      <c r="V7" s="269"/>
    </row>
    <row r="8" spans="1:22" s="281" customFormat="1" ht="15" customHeight="1" thickBot="1" x14ac:dyDescent="0.25">
      <c r="A8" s="430" t="s">
        <v>364</v>
      </c>
      <c r="B8" s="431"/>
      <c r="C8" s="431"/>
      <c r="D8" s="432" t="s">
        <v>101</v>
      </c>
      <c r="E8" s="433"/>
      <c r="F8" s="434"/>
      <c r="G8" s="277"/>
      <c r="H8" s="278"/>
      <c r="I8" s="279"/>
      <c r="J8" s="279"/>
      <c r="K8" s="280"/>
      <c r="L8" s="269"/>
      <c r="M8" s="269"/>
      <c r="N8" s="269"/>
      <c r="O8" s="269"/>
      <c r="P8" s="269"/>
      <c r="Q8" s="269"/>
      <c r="R8" s="269" t="s">
        <v>365</v>
      </c>
      <c r="S8" s="269" t="s">
        <v>366</v>
      </c>
      <c r="T8" s="269">
        <v>5</v>
      </c>
      <c r="U8" s="269"/>
      <c r="V8" s="269"/>
    </row>
    <row r="9" spans="1:22" ht="15.75" customHeight="1" x14ac:dyDescent="0.2">
      <c r="A9" s="435" t="s">
        <v>30</v>
      </c>
      <c r="B9" s="436"/>
      <c r="C9" s="282" t="s">
        <v>31</v>
      </c>
      <c r="D9" s="437" t="s">
        <v>32</v>
      </c>
      <c r="E9" s="438"/>
      <c r="F9" s="283" t="s">
        <v>33</v>
      </c>
      <c r="G9" s="284"/>
      <c r="H9" s="439" t="s">
        <v>101</v>
      </c>
      <c r="I9" s="439"/>
      <c r="J9" s="439"/>
      <c r="K9" s="440"/>
      <c r="R9" s="269" t="s">
        <v>367</v>
      </c>
      <c r="T9" s="269">
        <v>6</v>
      </c>
    </row>
    <row r="10" spans="1:22" ht="15.75" customHeight="1" thickBot="1" x14ac:dyDescent="0.25">
      <c r="A10" s="285" t="s">
        <v>34</v>
      </c>
      <c r="B10" s="286" t="s">
        <v>368</v>
      </c>
      <c r="C10" s="359"/>
      <c r="D10" s="398"/>
      <c r="E10" s="399"/>
      <c r="F10" s="287" t="s">
        <v>369</v>
      </c>
      <c r="G10" s="288"/>
      <c r="H10" s="400" t="s">
        <v>101</v>
      </c>
      <c r="I10" s="400"/>
      <c r="J10" s="400"/>
      <c r="K10" s="401"/>
      <c r="R10" s="269" t="s">
        <v>407</v>
      </c>
      <c r="T10" s="269">
        <v>7</v>
      </c>
    </row>
    <row r="11" spans="1:22" ht="15.75" customHeight="1" thickBot="1" x14ac:dyDescent="0.25">
      <c r="A11" s="285" t="s">
        <v>36</v>
      </c>
      <c r="B11" s="286"/>
      <c r="C11" s="359"/>
      <c r="D11" s="398"/>
      <c r="E11" s="399"/>
      <c r="F11" s="402" t="s">
        <v>37</v>
      </c>
      <c r="G11" s="402"/>
      <c r="H11" s="402"/>
      <c r="I11" s="383" t="s">
        <v>38</v>
      </c>
      <c r="J11" s="384"/>
      <c r="K11" s="403"/>
    </row>
    <row r="12" spans="1:22" s="270" customFormat="1" ht="15.75" customHeight="1" x14ac:dyDescent="0.2">
      <c r="A12" s="285" t="s">
        <v>39</v>
      </c>
      <c r="B12" s="286"/>
      <c r="C12" s="359"/>
      <c r="D12" s="398"/>
      <c r="E12" s="399"/>
      <c r="F12" s="289" t="s">
        <v>40</v>
      </c>
      <c r="G12" s="290"/>
      <c r="H12" s="255" t="b">
        <v>0</v>
      </c>
      <c r="I12" s="404"/>
      <c r="J12" s="405"/>
      <c r="K12" s="406"/>
      <c r="L12" s="269"/>
      <c r="M12" s="269"/>
      <c r="N12" s="269"/>
      <c r="O12" s="269"/>
      <c r="P12" s="269"/>
      <c r="Q12" s="269"/>
      <c r="R12" s="269"/>
      <c r="S12" s="269"/>
      <c r="T12" s="269"/>
      <c r="U12" s="269"/>
      <c r="V12" s="269"/>
    </row>
    <row r="13" spans="1:22" s="270" customFormat="1" ht="15.75" customHeight="1" x14ac:dyDescent="0.2">
      <c r="A13" s="413" t="s">
        <v>41</v>
      </c>
      <c r="B13" s="414"/>
      <c r="C13" s="415"/>
      <c r="D13" s="415"/>
      <c r="E13" s="416"/>
      <c r="F13" s="289" t="s">
        <v>42</v>
      </c>
      <c r="G13" s="290"/>
      <c r="H13" s="255" t="b">
        <v>0</v>
      </c>
      <c r="I13" s="407"/>
      <c r="J13" s="408"/>
      <c r="K13" s="409"/>
      <c r="L13" s="269"/>
      <c r="M13" s="269"/>
      <c r="N13" s="269"/>
      <c r="O13" s="269"/>
      <c r="P13" s="269"/>
      <c r="Q13" s="269"/>
      <c r="R13" s="269"/>
      <c r="S13" s="269"/>
      <c r="T13" s="269"/>
      <c r="U13" s="269"/>
      <c r="V13" s="269"/>
    </row>
    <row r="14" spans="1:22" s="270" customFormat="1" ht="15" customHeight="1" x14ac:dyDescent="0.2">
      <c r="A14" s="285" t="s">
        <v>43</v>
      </c>
      <c r="B14" s="286"/>
      <c r="C14" s="391" t="s">
        <v>101</v>
      </c>
      <c r="D14" s="417"/>
      <c r="E14" s="392"/>
      <c r="F14" s="289" t="s">
        <v>370</v>
      </c>
      <c r="G14" s="290"/>
      <c r="H14" s="255" t="b">
        <v>0</v>
      </c>
      <c r="I14" s="407"/>
      <c r="J14" s="408"/>
      <c r="K14" s="409"/>
      <c r="L14" s="269"/>
      <c r="M14" s="269"/>
      <c r="N14" s="291"/>
      <c r="O14" s="269"/>
      <c r="P14" s="269"/>
      <c r="Q14" s="269"/>
      <c r="R14" s="269"/>
      <c r="S14" s="269"/>
      <c r="T14" s="269"/>
      <c r="U14" s="269"/>
      <c r="V14" s="269"/>
    </row>
    <row r="15" spans="1:22" s="270" customFormat="1" ht="15" customHeight="1" x14ac:dyDescent="0.2">
      <c r="A15" s="285" t="s">
        <v>44</v>
      </c>
      <c r="B15" s="286"/>
      <c r="C15" s="418" t="b">
        <v>0</v>
      </c>
      <c r="D15" s="419"/>
      <c r="E15" s="420"/>
      <c r="F15" s="289" t="s">
        <v>45</v>
      </c>
      <c r="G15" s="290"/>
      <c r="H15" s="255" t="b">
        <v>0</v>
      </c>
      <c r="I15" s="407"/>
      <c r="J15" s="408"/>
      <c r="K15" s="409"/>
      <c r="L15" s="269"/>
      <c r="M15" s="269"/>
      <c r="N15" s="291"/>
      <c r="O15" s="291"/>
      <c r="P15" s="269"/>
      <c r="Q15" s="269"/>
      <c r="R15" s="269"/>
      <c r="S15" s="269"/>
      <c r="T15" s="269"/>
      <c r="U15" s="269"/>
      <c r="V15" s="269"/>
    </row>
    <row r="16" spans="1:22" s="270" customFormat="1" ht="15" customHeight="1" x14ac:dyDescent="0.2">
      <c r="A16" s="285" t="s">
        <v>371</v>
      </c>
      <c r="B16" s="286"/>
      <c r="C16" s="418" t="b">
        <v>0</v>
      </c>
      <c r="D16" s="419"/>
      <c r="E16" s="420"/>
      <c r="F16" s="289" t="s">
        <v>46</v>
      </c>
      <c r="G16" s="290"/>
      <c r="H16" s="255" t="b">
        <v>0</v>
      </c>
      <c r="I16" s="407"/>
      <c r="J16" s="408"/>
      <c r="K16" s="409"/>
      <c r="L16" s="269"/>
      <c r="M16" s="269"/>
      <c r="N16" s="269"/>
      <c r="O16" s="291"/>
      <c r="P16" s="269"/>
      <c r="Q16" s="269"/>
      <c r="R16" s="269"/>
      <c r="S16" s="269"/>
      <c r="T16" s="269"/>
      <c r="U16" s="269"/>
      <c r="V16" s="269"/>
    </row>
    <row r="17" spans="1:22" s="270" customFormat="1" ht="15" customHeight="1" thickBot="1" x14ac:dyDescent="0.25">
      <c r="A17" s="292" t="s">
        <v>47</v>
      </c>
      <c r="B17" s="293"/>
      <c r="C17" s="381" t="s">
        <v>101</v>
      </c>
      <c r="D17" s="382"/>
      <c r="E17" s="421"/>
      <c r="F17" s="289" t="s">
        <v>372</v>
      </c>
      <c r="G17" s="290"/>
      <c r="H17" s="358"/>
      <c r="I17" s="407"/>
      <c r="J17" s="408"/>
      <c r="K17" s="409"/>
      <c r="L17" s="269"/>
      <c r="M17" s="269"/>
      <c r="N17" s="269"/>
      <c r="O17" s="291"/>
      <c r="P17" s="269"/>
      <c r="Q17" s="269"/>
      <c r="R17" s="269"/>
      <c r="S17" s="269"/>
      <c r="T17" s="269"/>
      <c r="U17" s="269"/>
      <c r="V17" s="269"/>
    </row>
    <row r="18" spans="1:22" s="270" customFormat="1" ht="15" customHeight="1" thickBot="1" x14ac:dyDescent="0.25">
      <c r="A18" s="294"/>
      <c r="B18" s="295"/>
      <c r="C18" s="295"/>
      <c r="D18" s="295"/>
      <c r="E18" s="296"/>
      <c r="F18" s="297" t="s">
        <v>48</v>
      </c>
      <c r="G18" s="298"/>
      <c r="H18" s="256"/>
      <c r="I18" s="407"/>
      <c r="J18" s="408"/>
      <c r="K18" s="409"/>
      <c r="L18" s="269"/>
      <c r="M18" s="269"/>
      <c r="N18" s="269"/>
      <c r="O18" s="291"/>
      <c r="P18" s="269"/>
      <c r="Q18" s="269"/>
      <c r="R18" s="269"/>
      <c r="S18" s="269"/>
      <c r="T18" s="269"/>
      <c r="U18" s="269"/>
      <c r="V18" s="269"/>
    </row>
    <row r="19" spans="1:22" s="270" customFormat="1" ht="15" customHeight="1" thickBot="1" x14ac:dyDescent="0.25">
      <c r="A19" s="383" t="s">
        <v>49</v>
      </c>
      <c r="B19" s="384"/>
      <c r="C19" s="384"/>
      <c r="D19" s="384"/>
      <c r="E19" s="403"/>
      <c r="F19" s="295"/>
      <c r="G19" s="295"/>
      <c r="H19" s="295"/>
      <c r="I19" s="407"/>
      <c r="J19" s="408"/>
      <c r="K19" s="409"/>
      <c r="L19" s="269"/>
      <c r="M19" s="269"/>
      <c r="N19" s="269"/>
      <c r="O19" s="291"/>
      <c r="P19" s="269"/>
      <c r="Q19" s="269"/>
      <c r="R19" s="269"/>
      <c r="S19" s="269"/>
      <c r="T19" s="269"/>
      <c r="U19" s="269"/>
      <c r="V19" s="269"/>
    </row>
    <row r="20" spans="1:22" s="270" customFormat="1" ht="15" customHeight="1" x14ac:dyDescent="0.2">
      <c r="A20" s="299" t="s">
        <v>51</v>
      </c>
      <c r="B20" s="300"/>
      <c r="C20" s="422" t="s">
        <v>101</v>
      </c>
      <c r="D20" s="423"/>
      <c r="E20" s="424"/>
      <c r="F20" s="383" t="s">
        <v>373</v>
      </c>
      <c r="G20" s="384"/>
      <c r="H20" s="384"/>
      <c r="I20" s="407"/>
      <c r="J20" s="408"/>
      <c r="K20" s="409"/>
      <c r="L20" s="269"/>
      <c r="M20" s="269"/>
      <c r="N20" s="269"/>
      <c r="O20" s="291"/>
      <c r="P20" s="269"/>
      <c r="Q20" s="269"/>
      <c r="R20" s="269"/>
      <c r="S20" s="269"/>
      <c r="T20" s="269"/>
      <c r="U20" s="269"/>
      <c r="V20" s="269"/>
    </row>
    <row r="21" spans="1:22" s="270" customFormat="1" ht="15" customHeight="1" thickBot="1" x14ac:dyDescent="0.25">
      <c r="A21" s="285" t="s">
        <v>53</v>
      </c>
      <c r="B21" s="301"/>
      <c r="C21" s="378"/>
      <c r="D21" s="379"/>
      <c r="E21" s="380"/>
      <c r="F21" s="302" t="s">
        <v>374</v>
      </c>
      <c r="G21" s="381"/>
      <c r="H21" s="382"/>
      <c r="I21" s="407"/>
      <c r="J21" s="408"/>
      <c r="K21" s="409"/>
      <c r="L21" s="269"/>
      <c r="M21" s="269"/>
      <c r="N21" s="269"/>
      <c r="O21" s="291"/>
      <c r="P21" s="269"/>
      <c r="Q21" s="269"/>
      <c r="R21" s="269"/>
      <c r="S21" s="269"/>
      <c r="T21" s="269"/>
      <c r="U21" s="269"/>
      <c r="V21" s="269"/>
    </row>
    <row r="22" spans="1:22" s="270" customFormat="1" ht="15" customHeight="1" thickBot="1" x14ac:dyDescent="0.25">
      <c r="A22" s="285" t="s">
        <v>375</v>
      </c>
      <c r="B22" s="301"/>
      <c r="C22" s="378"/>
      <c r="D22" s="379"/>
      <c r="E22" s="380"/>
      <c r="F22" s="303"/>
      <c r="G22" s="303"/>
      <c r="H22" s="303"/>
      <c r="I22" s="407"/>
      <c r="J22" s="408"/>
      <c r="K22" s="409"/>
      <c r="L22" s="269"/>
      <c r="M22" s="269"/>
      <c r="N22" s="269"/>
      <c r="O22" s="291"/>
      <c r="P22" s="269"/>
      <c r="Q22" s="269"/>
      <c r="R22" s="269"/>
      <c r="S22" s="269"/>
      <c r="T22" s="269"/>
      <c r="U22" s="269"/>
      <c r="V22" s="269"/>
    </row>
    <row r="23" spans="1:22" s="270" customFormat="1" ht="15" customHeight="1" x14ac:dyDescent="0.2">
      <c r="A23" s="285" t="s">
        <v>376</v>
      </c>
      <c r="B23" s="301"/>
      <c r="C23" s="388" t="b">
        <v>0</v>
      </c>
      <c r="D23" s="389"/>
      <c r="E23" s="390"/>
      <c r="F23" s="383" t="s">
        <v>50</v>
      </c>
      <c r="G23" s="384"/>
      <c r="H23" s="384"/>
      <c r="I23" s="407"/>
      <c r="J23" s="408"/>
      <c r="K23" s="409"/>
      <c r="L23" s="269"/>
      <c r="M23" s="269"/>
      <c r="N23" s="269"/>
      <c r="O23" s="291"/>
      <c r="P23" s="269"/>
      <c r="Q23" s="269"/>
      <c r="R23" s="269"/>
      <c r="S23" s="269"/>
      <c r="T23" s="269"/>
      <c r="U23" s="269"/>
      <c r="V23" s="269"/>
    </row>
    <row r="24" spans="1:22" s="270" customFormat="1" ht="15" customHeight="1" x14ac:dyDescent="0.2">
      <c r="A24" s="285" t="s">
        <v>377</v>
      </c>
      <c r="B24" s="301"/>
      <c r="C24" s="378"/>
      <c r="D24" s="379"/>
      <c r="E24" s="380"/>
      <c r="F24" s="302" t="s">
        <v>52</v>
      </c>
      <c r="G24" s="391"/>
      <c r="H24" s="392"/>
      <c r="I24" s="407"/>
      <c r="J24" s="408"/>
      <c r="K24" s="409"/>
      <c r="L24" s="269"/>
      <c r="M24" s="269"/>
      <c r="N24" s="269"/>
      <c r="O24" s="291"/>
      <c r="P24" s="269"/>
      <c r="Q24" s="269"/>
      <c r="R24" s="269"/>
      <c r="S24" s="269"/>
      <c r="T24" s="269"/>
      <c r="U24" s="269"/>
      <c r="V24" s="269"/>
    </row>
    <row r="25" spans="1:22" s="270" customFormat="1" ht="15" customHeight="1" x14ac:dyDescent="0.2">
      <c r="A25" s="285" t="s">
        <v>378</v>
      </c>
      <c r="B25" s="301"/>
      <c r="C25" s="388" t="b">
        <v>0</v>
      </c>
      <c r="D25" s="389"/>
      <c r="E25" s="390"/>
      <c r="F25" s="304" t="s">
        <v>54</v>
      </c>
      <c r="G25" s="391"/>
      <c r="H25" s="392"/>
      <c r="I25" s="407"/>
      <c r="J25" s="408"/>
      <c r="K25" s="409"/>
      <c r="L25" s="269"/>
      <c r="M25" s="269"/>
      <c r="N25" s="269"/>
      <c r="O25" s="291"/>
      <c r="P25" s="269"/>
      <c r="Q25" s="269"/>
      <c r="R25" s="269"/>
      <c r="S25" s="269"/>
      <c r="T25" s="269"/>
      <c r="U25" s="269"/>
      <c r="V25" s="269"/>
    </row>
    <row r="26" spans="1:22" s="270" customFormat="1" ht="15" customHeight="1" thickBot="1" x14ac:dyDescent="0.25">
      <c r="A26" s="292" t="s">
        <v>379</v>
      </c>
      <c r="B26" s="305"/>
      <c r="C26" s="388" t="b">
        <v>0</v>
      </c>
      <c r="D26" s="389"/>
      <c r="E26" s="390"/>
      <c r="F26" s="295"/>
      <c r="G26" s="295"/>
      <c r="H26" s="295"/>
      <c r="I26" s="407"/>
      <c r="J26" s="408"/>
      <c r="K26" s="409"/>
      <c r="L26" s="269"/>
      <c r="M26" s="269"/>
      <c r="N26" s="269"/>
      <c r="O26" s="291"/>
      <c r="P26" s="269"/>
      <c r="Q26" s="269"/>
      <c r="R26" s="269"/>
      <c r="S26" s="269"/>
      <c r="T26" s="269"/>
      <c r="U26" s="269"/>
      <c r="V26" s="269"/>
    </row>
    <row r="27" spans="1:22" s="270" customFormat="1" ht="15" customHeight="1" thickBot="1" x14ac:dyDescent="0.25">
      <c r="A27" s="306"/>
      <c r="B27" s="295"/>
      <c r="C27" s="295"/>
      <c r="D27" s="295"/>
      <c r="E27" s="295"/>
      <c r="F27" s="295"/>
      <c r="G27" s="295"/>
      <c r="H27" s="295"/>
      <c r="I27" s="407"/>
      <c r="J27" s="408"/>
      <c r="K27" s="409"/>
      <c r="L27" s="269"/>
      <c r="M27" s="269"/>
      <c r="N27" s="269"/>
      <c r="O27" s="269"/>
      <c r="P27" s="269"/>
      <c r="Q27" s="269"/>
      <c r="R27" s="269"/>
      <c r="S27" s="269"/>
      <c r="T27" s="269"/>
      <c r="U27" s="269"/>
      <c r="V27" s="269"/>
    </row>
    <row r="28" spans="1:22" s="270" customFormat="1" ht="15" customHeight="1" thickBot="1" x14ac:dyDescent="0.25">
      <c r="A28" s="393" t="s">
        <v>55</v>
      </c>
      <c r="B28" s="394"/>
      <c r="C28" s="394"/>
      <c r="D28" s="395"/>
      <c r="E28" s="307"/>
      <c r="F28" s="295"/>
      <c r="G28" s="295"/>
      <c r="H28" s="308"/>
      <c r="I28" s="407"/>
      <c r="J28" s="408"/>
      <c r="K28" s="409"/>
      <c r="L28" s="269"/>
      <c r="M28" s="269"/>
      <c r="N28" s="269"/>
      <c r="O28" s="269"/>
      <c r="P28" s="269"/>
      <c r="Q28" s="269"/>
      <c r="R28" s="269"/>
      <c r="S28" s="269"/>
      <c r="T28" s="269"/>
      <c r="U28" s="269"/>
      <c r="V28" s="269"/>
    </row>
    <row r="29" spans="1:22" s="270" customFormat="1" ht="15" customHeight="1" thickBot="1" x14ac:dyDescent="0.25">
      <c r="A29" s="294"/>
      <c r="B29" s="309">
        <v>4</v>
      </c>
      <c r="C29" s="310">
        <v>6</v>
      </c>
      <c r="D29" s="396">
        <v>14</v>
      </c>
      <c r="E29" s="397"/>
      <c r="F29" s="311" t="s">
        <v>56</v>
      </c>
      <c r="G29" s="312" t="s">
        <v>39</v>
      </c>
      <c r="H29" s="308"/>
      <c r="I29" s="407"/>
      <c r="J29" s="408"/>
      <c r="K29" s="409"/>
      <c r="L29" s="269"/>
      <c r="M29" s="269"/>
      <c r="N29" s="269"/>
      <c r="O29" s="269"/>
      <c r="P29" s="269"/>
      <c r="Q29" s="269"/>
      <c r="R29" s="269"/>
      <c r="S29" s="269"/>
      <c r="T29" s="269"/>
      <c r="U29" s="269"/>
      <c r="V29" s="269"/>
    </row>
    <row r="30" spans="1:22" s="270" customFormat="1" ht="15" customHeight="1" x14ac:dyDescent="0.2">
      <c r="A30" s="313" t="s">
        <v>57</v>
      </c>
      <c r="B30" s="257"/>
      <c r="C30" s="258"/>
      <c r="D30" s="374"/>
      <c r="E30" s="375"/>
      <c r="F30" s="259"/>
      <c r="G30" s="260"/>
      <c r="H30" s="308"/>
      <c r="I30" s="407"/>
      <c r="J30" s="408"/>
      <c r="K30" s="409"/>
      <c r="L30" s="269"/>
      <c r="M30" s="269"/>
      <c r="N30" s="269"/>
      <c r="O30" s="269"/>
      <c r="P30" s="269"/>
      <c r="Q30" s="269"/>
      <c r="R30" s="269"/>
      <c r="S30" s="269"/>
      <c r="T30" s="269"/>
      <c r="U30" s="269"/>
      <c r="V30" s="269"/>
    </row>
    <row r="31" spans="1:22" s="270" customFormat="1" ht="15" customHeight="1" x14ac:dyDescent="0.2">
      <c r="A31" s="314" t="s">
        <v>58</v>
      </c>
      <c r="B31" s="261"/>
      <c r="C31" s="262"/>
      <c r="D31" s="376"/>
      <c r="E31" s="377"/>
      <c r="F31" s="263"/>
      <c r="G31" s="264"/>
      <c r="H31" s="308"/>
      <c r="I31" s="407"/>
      <c r="J31" s="408"/>
      <c r="K31" s="409"/>
      <c r="L31" s="269"/>
      <c r="M31" s="269"/>
      <c r="N31" s="269"/>
      <c r="O31" s="269"/>
      <c r="P31" s="269"/>
      <c r="Q31" s="269"/>
      <c r="R31" s="269"/>
      <c r="S31" s="269"/>
      <c r="T31" s="269"/>
      <c r="U31" s="269"/>
      <c r="V31" s="269"/>
    </row>
    <row r="32" spans="1:22" s="270" customFormat="1" ht="15" customHeight="1" thickBot="1" x14ac:dyDescent="0.25">
      <c r="A32" s="315" t="s">
        <v>59</v>
      </c>
      <c r="B32" s="425"/>
      <c r="C32" s="382"/>
      <c r="D32" s="382"/>
      <c r="E32" s="382"/>
      <c r="F32" s="382"/>
      <c r="G32" s="421"/>
      <c r="H32" s="308"/>
      <c r="I32" s="410"/>
      <c r="J32" s="411"/>
      <c r="K32" s="412"/>
      <c r="L32" s="269"/>
      <c r="M32" s="269"/>
      <c r="N32" s="269"/>
      <c r="O32" s="269"/>
      <c r="P32" s="269"/>
      <c r="Q32" s="269"/>
      <c r="R32" s="269"/>
      <c r="S32" s="269"/>
      <c r="T32" s="269"/>
      <c r="U32" s="269"/>
      <c r="V32" s="269"/>
    </row>
    <row r="33" spans="1:22" s="270" customFormat="1" ht="11.25" customHeight="1" thickBot="1" x14ac:dyDescent="0.25">
      <c r="A33" s="306"/>
      <c r="B33" s="307"/>
      <c r="C33" s="307"/>
      <c r="D33" s="307"/>
      <c r="E33" s="307"/>
      <c r="F33" s="307"/>
      <c r="G33" s="307"/>
      <c r="H33" s="295"/>
      <c r="I33" s="295"/>
      <c r="J33" s="295"/>
      <c r="K33" s="316"/>
      <c r="L33" s="269"/>
      <c r="M33" s="269"/>
      <c r="N33" s="269"/>
      <c r="O33" s="269"/>
      <c r="P33" s="269"/>
      <c r="Q33" s="269"/>
      <c r="R33" s="269"/>
      <c r="S33" s="269"/>
      <c r="T33" s="269"/>
      <c r="U33" s="269"/>
      <c r="V33" s="269"/>
    </row>
    <row r="34" spans="1:22" s="270" customFormat="1" ht="15" customHeight="1" x14ac:dyDescent="0.2">
      <c r="A34" s="383" t="s">
        <v>60</v>
      </c>
      <c r="B34" s="384"/>
      <c r="C34" s="317" t="s">
        <v>61</v>
      </c>
      <c r="D34" s="317" t="s">
        <v>62</v>
      </c>
      <c r="E34" s="318" t="s">
        <v>63</v>
      </c>
      <c r="F34" s="295"/>
      <c r="G34" s="385" t="s">
        <v>64</v>
      </c>
      <c r="H34" s="386"/>
      <c r="I34" s="386"/>
      <c r="J34" s="386"/>
      <c r="K34" s="387"/>
      <c r="L34" s="269"/>
      <c r="M34" s="269"/>
      <c r="N34" s="269"/>
      <c r="O34" s="269"/>
      <c r="P34" s="269"/>
      <c r="Q34" s="269"/>
      <c r="R34" s="269"/>
      <c r="S34" s="269"/>
      <c r="T34" s="269"/>
      <c r="U34" s="269"/>
      <c r="V34" s="269"/>
    </row>
    <row r="35" spans="1:22" s="270" customFormat="1" ht="15" customHeight="1" x14ac:dyDescent="0.2">
      <c r="A35" s="360" t="s">
        <v>65</v>
      </c>
      <c r="B35" s="361"/>
      <c r="C35" s="364"/>
      <c r="D35" s="364"/>
      <c r="E35" s="366"/>
      <c r="F35" s="295"/>
      <c r="G35" s="368"/>
      <c r="H35" s="369"/>
      <c r="I35" s="369"/>
      <c r="J35" s="369"/>
      <c r="K35" s="370"/>
      <c r="L35" s="269"/>
      <c r="M35" s="269"/>
      <c r="N35" s="269"/>
      <c r="O35" s="269"/>
      <c r="P35" s="269"/>
      <c r="Q35" s="269"/>
      <c r="R35" s="269"/>
      <c r="S35" s="269"/>
      <c r="T35" s="269"/>
      <c r="U35" s="269"/>
      <c r="V35" s="269"/>
    </row>
    <row r="36" spans="1:22" s="270" customFormat="1" ht="15" customHeight="1" thickBot="1" x14ac:dyDescent="0.25">
      <c r="A36" s="362"/>
      <c r="B36" s="363"/>
      <c r="C36" s="365"/>
      <c r="D36" s="365"/>
      <c r="E36" s="367"/>
      <c r="F36" s="295"/>
      <c r="G36" s="371"/>
      <c r="H36" s="372"/>
      <c r="I36" s="372"/>
      <c r="J36" s="372"/>
      <c r="K36" s="373"/>
      <c r="L36" s="269"/>
      <c r="M36" s="269"/>
      <c r="N36" s="269"/>
      <c r="O36" s="269"/>
      <c r="P36" s="269"/>
      <c r="Q36" s="269"/>
      <c r="R36" s="269"/>
      <c r="S36" s="269"/>
      <c r="T36" s="269"/>
      <c r="U36" s="269"/>
      <c r="V36" s="269"/>
    </row>
    <row r="37" spans="1:22" s="270" customFormat="1" ht="15" customHeight="1" thickBot="1" x14ac:dyDescent="0.25">
      <c r="A37" s="319"/>
      <c r="B37" s="320"/>
      <c r="C37" s="320"/>
      <c r="D37" s="320"/>
      <c r="E37" s="320"/>
      <c r="F37" s="320"/>
      <c r="G37" s="320"/>
      <c r="H37" s="320"/>
      <c r="I37" s="321"/>
      <c r="J37" s="321"/>
      <c r="K37" s="322"/>
      <c r="L37" s="269"/>
      <c r="M37" s="269"/>
      <c r="N37" s="269"/>
      <c r="O37" s="269"/>
      <c r="P37" s="269"/>
      <c r="Q37" s="269"/>
      <c r="R37" s="269"/>
      <c r="S37" s="269"/>
      <c r="T37" s="269"/>
      <c r="U37" s="269"/>
      <c r="V37" s="269"/>
    </row>
    <row r="38" spans="1:22" s="270" customFormat="1" ht="10.15" hidden="1" customHeight="1" x14ac:dyDescent="0.2">
      <c r="A38" s="323"/>
      <c r="B38" s="269"/>
      <c r="C38" s="269"/>
      <c r="D38" s="269"/>
      <c r="E38" s="269"/>
      <c r="F38" s="269"/>
      <c r="G38" s="269"/>
      <c r="H38" s="269"/>
      <c r="I38" s="269"/>
      <c r="J38" s="269"/>
      <c r="K38" s="269"/>
      <c r="L38" s="269"/>
      <c r="M38" s="269"/>
      <c r="N38" s="269"/>
      <c r="O38" s="269"/>
      <c r="P38" s="269"/>
      <c r="Q38" s="269"/>
      <c r="R38" s="269"/>
      <c r="S38" s="269"/>
      <c r="T38" s="269"/>
      <c r="U38" s="269"/>
      <c r="V38" s="269"/>
    </row>
    <row r="39" spans="1:22" s="270" customFormat="1" ht="15" hidden="1" customHeight="1" x14ac:dyDescent="0.2">
      <c r="A39" s="323"/>
      <c r="B39" s="269"/>
      <c r="C39" s="269"/>
      <c r="D39" s="269"/>
      <c r="E39" s="269"/>
      <c r="F39" s="269"/>
      <c r="G39" s="269"/>
      <c r="H39" s="269"/>
      <c r="I39" s="269"/>
      <c r="J39" s="269"/>
      <c r="K39" s="269"/>
      <c r="L39" s="269"/>
      <c r="M39" s="269"/>
      <c r="N39" s="269"/>
      <c r="O39" s="269"/>
      <c r="P39" s="269"/>
      <c r="Q39" s="269"/>
      <c r="R39" s="269"/>
      <c r="S39" s="269"/>
      <c r="T39" s="269"/>
      <c r="U39" s="269"/>
      <c r="V39" s="269"/>
    </row>
    <row r="40" spans="1:22" s="270" customFormat="1" ht="3" hidden="1" customHeight="1" x14ac:dyDescent="0.2">
      <c r="A40" s="323"/>
      <c r="B40" s="269"/>
      <c r="C40" s="269"/>
      <c r="D40" s="269"/>
      <c r="E40" s="269"/>
      <c r="F40" s="269"/>
      <c r="G40" s="269"/>
      <c r="H40" s="269"/>
      <c r="I40" s="269"/>
      <c r="J40" s="269"/>
      <c r="K40" s="269"/>
      <c r="L40" s="269"/>
      <c r="M40" s="269"/>
      <c r="N40" s="269"/>
      <c r="O40" s="269"/>
      <c r="P40" s="269"/>
      <c r="Q40" s="269"/>
      <c r="R40" s="269"/>
      <c r="S40" s="269"/>
      <c r="T40" s="269"/>
      <c r="U40" s="269"/>
      <c r="V40" s="269"/>
    </row>
    <row r="41" spans="1:22" ht="12.75" hidden="1" x14ac:dyDescent="0.2"/>
    <row r="42" spans="1:22" ht="12.75" hidden="1" x14ac:dyDescent="0.2"/>
    <row r="43" spans="1:22" ht="12.75" x14ac:dyDescent="0.2">
      <c r="A43"/>
      <c r="B43"/>
      <c r="C43"/>
      <c r="D43"/>
      <c r="E43"/>
      <c r="F43"/>
      <c r="G43"/>
      <c r="H43"/>
      <c r="I43"/>
      <c r="J43"/>
    </row>
    <row r="44" spans="1:22" ht="12.75" customHeight="1" x14ac:dyDescent="0.2">
      <c r="A44"/>
      <c r="B44"/>
      <c r="C44"/>
      <c r="D44"/>
      <c r="E44"/>
      <c r="F44"/>
      <c r="G44"/>
      <c r="H44"/>
      <c r="I44"/>
      <c r="J44"/>
    </row>
    <row r="45" spans="1:22" ht="12.75" customHeight="1" x14ac:dyDescent="0.2">
      <c r="A45"/>
      <c r="B45"/>
      <c r="C45"/>
      <c r="D45"/>
      <c r="E45"/>
      <c r="F45"/>
      <c r="G45"/>
      <c r="H45"/>
      <c r="I45"/>
      <c r="J45"/>
    </row>
    <row r="46" spans="1:22" ht="12.75" customHeight="1" x14ac:dyDescent="0.2">
      <c r="A46"/>
      <c r="B46"/>
      <c r="C46"/>
      <c r="D46"/>
      <c r="E46"/>
      <c r="F46"/>
      <c r="G46"/>
      <c r="H46"/>
      <c r="I46"/>
      <c r="J46"/>
    </row>
    <row r="47" spans="1:22" ht="12.75" customHeight="1" x14ac:dyDescent="0.2">
      <c r="A47"/>
      <c r="B47"/>
      <c r="C47"/>
      <c r="D47"/>
      <c r="E47"/>
      <c r="F47"/>
      <c r="G47"/>
      <c r="H47"/>
      <c r="I47"/>
      <c r="J47"/>
    </row>
    <row r="48" spans="1:22" ht="12.75" customHeight="1" x14ac:dyDescent="0.2">
      <c r="A48"/>
      <c r="B48"/>
      <c r="C48"/>
      <c r="D48"/>
      <c r="E48"/>
      <c r="F48"/>
      <c r="G48"/>
      <c r="H48"/>
      <c r="I48"/>
      <c r="J48"/>
    </row>
    <row r="49" spans="1:10" ht="12.75" customHeight="1" x14ac:dyDescent="0.2">
      <c r="A49"/>
      <c r="B49"/>
      <c r="C49"/>
      <c r="D49"/>
      <c r="E49"/>
      <c r="F49"/>
      <c r="G49"/>
      <c r="H49"/>
      <c r="I49"/>
      <c r="J49"/>
    </row>
    <row r="50" spans="1:10" ht="12.75" customHeight="1" x14ac:dyDescent="0.2">
      <c r="A50"/>
      <c r="B50"/>
      <c r="C50"/>
      <c r="D50"/>
      <c r="E50"/>
      <c r="F50"/>
      <c r="G50"/>
      <c r="H50"/>
      <c r="I50"/>
      <c r="J50"/>
    </row>
    <row r="51" spans="1:10" ht="12.75" customHeight="1" x14ac:dyDescent="0.2">
      <c r="A51"/>
      <c r="B51"/>
      <c r="C51"/>
      <c r="D51"/>
      <c r="E51"/>
      <c r="F51"/>
      <c r="G51"/>
      <c r="H51"/>
      <c r="I51"/>
      <c r="J51"/>
    </row>
    <row r="52" spans="1:10" ht="12.75" customHeight="1" x14ac:dyDescent="0.2"/>
  </sheetData>
  <sheetProtection selectLockedCells="1"/>
  <mergeCells count="58">
    <mergeCell ref="A3:B3"/>
    <mergeCell ref="C3:D3"/>
    <mergeCell ref="E3:F3"/>
    <mergeCell ref="G3:H3"/>
    <mergeCell ref="A4:B4"/>
    <mergeCell ref="C4:H4"/>
    <mergeCell ref="A5:B5"/>
    <mergeCell ref="C5:D5"/>
    <mergeCell ref="E5:F5"/>
    <mergeCell ref="G5:H5"/>
    <mergeCell ref="A6:B6"/>
    <mergeCell ref="C6:D6"/>
    <mergeCell ref="E6:F6"/>
    <mergeCell ref="G6:H6"/>
    <mergeCell ref="A7:B7"/>
    <mergeCell ref="C7:H7"/>
    <mergeCell ref="A8:C8"/>
    <mergeCell ref="D8:F8"/>
    <mergeCell ref="A9:B9"/>
    <mergeCell ref="D9:E9"/>
    <mergeCell ref="H9:K9"/>
    <mergeCell ref="D12:E12"/>
    <mergeCell ref="I12:K32"/>
    <mergeCell ref="A13:E13"/>
    <mergeCell ref="C14:E14"/>
    <mergeCell ref="C15:E15"/>
    <mergeCell ref="C16:E16"/>
    <mergeCell ref="C17:E17"/>
    <mergeCell ref="A19:E19"/>
    <mergeCell ref="C20:E20"/>
    <mergeCell ref="F20:H20"/>
    <mergeCell ref="B32:G32"/>
    <mergeCell ref="C22:E22"/>
    <mergeCell ref="C23:E23"/>
    <mergeCell ref="F23:H23"/>
    <mergeCell ref="C24:E24"/>
    <mergeCell ref="G24:H24"/>
    <mergeCell ref="D10:E10"/>
    <mergeCell ref="H10:K10"/>
    <mergeCell ref="D11:E11"/>
    <mergeCell ref="F11:H11"/>
    <mergeCell ref="I11:K11"/>
    <mergeCell ref="D30:E30"/>
    <mergeCell ref="D31:E31"/>
    <mergeCell ref="C21:E21"/>
    <mergeCell ref="G21:H21"/>
    <mergeCell ref="A34:B34"/>
    <mergeCell ref="G34:K34"/>
    <mergeCell ref="C25:E25"/>
    <mergeCell ref="G25:H25"/>
    <mergeCell ref="C26:E26"/>
    <mergeCell ref="A28:D28"/>
    <mergeCell ref="D29:E29"/>
    <mergeCell ref="A35:B36"/>
    <mergeCell ref="C35:C36"/>
    <mergeCell ref="D35:D36"/>
    <mergeCell ref="E35:E36"/>
    <mergeCell ref="G35:K36"/>
  </mergeCells>
  <conditionalFormatting sqref="C10">
    <cfRule type="cellIs" dxfId="97" priority="7" operator="lessThan">
      <formula>$M$2</formula>
    </cfRule>
  </conditionalFormatting>
  <conditionalFormatting sqref="C12">
    <cfRule type="cellIs" dxfId="96" priority="3" operator="notBetween">
      <formula>5</formula>
      <formula>40</formula>
    </cfRule>
  </conditionalFormatting>
  <conditionalFormatting sqref="C10:E10">
    <cfRule type="containsBlanks" dxfId="95" priority="6">
      <formula>LEN(TRIM(C10))=0</formula>
    </cfRule>
  </conditionalFormatting>
  <conditionalFormatting sqref="C11:E11">
    <cfRule type="cellIs" dxfId="94" priority="5" operator="notBetween">
      <formula>5</formula>
      <formula>80</formula>
    </cfRule>
  </conditionalFormatting>
  <conditionalFormatting sqref="C11:E12">
    <cfRule type="containsBlanks" dxfId="93" priority="1">
      <formula>LEN(TRIM(C11))=0</formula>
    </cfRule>
  </conditionalFormatting>
  <conditionalFormatting sqref="D12:E12">
    <cfRule type="cellIs" dxfId="92" priority="2" operator="notBetween">
      <formula>25</formula>
      <formula>50</formula>
    </cfRule>
  </conditionalFormatting>
  <dataValidations count="4">
    <dataValidation type="list" allowBlank="1" showInputMessage="1" showErrorMessage="1" sqref="C20:E20" xr:uid="{B0866F0B-F5B7-46BC-932F-D8F48C0117A2}">
      <formula1>$U$1:$U$4</formula1>
    </dataValidation>
    <dataValidation type="list" allowBlank="1" showInputMessage="1" showErrorMessage="1" sqref="C17:E17" xr:uid="{5923A2A5-B9A4-4F50-A417-E4C1944E441A}">
      <formula1>$T$1:$T$10</formula1>
    </dataValidation>
    <dataValidation type="list" allowBlank="1" showInputMessage="1" showErrorMessage="1" sqref="C14:E14" xr:uid="{DC0273E6-46FA-484C-800A-E025AFC483AD}">
      <formula1>$S$1:$S$8</formula1>
    </dataValidation>
    <dataValidation type="list" allowBlank="1" showInputMessage="1" showErrorMessage="1" sqref="H9:K10 D8" xr:uid="{5A558853-6BDD-4E26-8133-4071AB448D2E}">
      <formula1>$R$1:$R$10</formula1>
    </dataValidation>
  </dataValidations>
  <pageMargins left="0.23622047244094491" right="0.19685039370078741" top="0" bottom="0" header="0.51181102362204722" footer="0.19685039370078741"/>
  <pageSetup paperSize="9" firstPageNumber="0" orientation="portrait" r:id="rId1"/>
  <headerFooter alignWithMargins="0">
    <oddFooter>&amp;C&amp;"Times New Roman,Regular"&amp;12Page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2529" r:id="rId4" name="Check Box 1">
              <controlPr defaultSize="0" autoFill="0" autoLine="0" autoPict="0" altText="TICKED">
                <anchor moveWithCells="1">
                  <from>
                    <xdr:col>3</xdr:col>
                    <xdr:colOff>57150</xdr:colOff>
                    <xdr:row>13</xdr:row>
                    <xdr:rowOff>171450</xdr:rowOff>
                  </from>
                  <to>
                    <xdr:col>3</xdr:col>
                    <xdr:colOff>314325</xdr:colOff>
                    <xdr:row>15</xdr:row>
                    <xdr:rowOff>9525</xdr:rowOff>
                  </to>
                </anchor>
              </controlPr>
            </control>
          </mc:Choice>
        </mc:AlternateContent>
        <mc:AlternateContent xmlns:mc="http://schemas.openxmlformats.org/markup-compatibility/2006">
          <mc:Choice Requires="x14">
            <control shapeId="22530" r:id="rId5" name="Check Box 2">
              <controlPr defaultSize="0" autoFill="0" autoLine="0" autoPict="0">
                <anchor moveWithCells="1">
                  <from>
                    <xdr:col>7</xdr:col>
                    <xdr:colOff>190500</xdr:colOff>
                    <xdr:row>11</xdr:row>
                    <xdr:rowOff>19050</xdr:rowOff>
                  </from>
                  <to>
                    <xdr:col>7</xdr:col>
                    <xdr:colOff>438150</xdr:colOff>
                    <xdr:row>12</xdr:row>
                    <xdr:rowOff>0</xdr:rowOff>
                  </to>
                </anchor>
              </controlPr>
            </control>
          </mc:Choice>
        </mc:AlternateContent>
        <mc:AlternateContent xmlns:mc="http://schemas.openxmlformats.org/markup-compatibility/2006">
          <mc:Choice Requires="x14">
            <control shapeId="22531" r:id="rId6" name="Check Box 3">
              <controlPr defaultSize="0" autoFill="0" autoLine="0" autoPict="0">
                <anchor moveWithCells="1">
                  <from>
                    <xdr:col>3</xdr:col>
                    <xdr:colOff>38100</xdr:colOff>
                    <xdr:row>21</xdr:row>
                    <xdr:rowOff>180975</xdr:rowOff>
                  </from>
                  <to>
                    <xdr:col>4</xdr:col>
                    <xdr:colOff>295275</xdr:colOff>
                    <xdr:row>23</xdr:row>
                    <xdr:rowOff>19050</xdr:rowOff>
                  </to>
                </anchor>
              </controlPr>
            </control>
          </mc:Choice>
        </mc:AlternateContent>
        <mc:AlternateContent xmlns:mc="http://schemas.openxmlformats.org/markup-compatibility/2006">
          <mc:Choice Requires="x14">
            <control shapeId="22532" r:id="rId7" name="Check Box 4">
              <controlPr defaultSize="0" autoFill="0" autoLine="0" autoPict="0">
                <anchor moveWithCells="1">
                  <from>
                    <xdr:col>3</xdr:col>
                    <xdr:colOff>47625</xdr:colOff>
                    <xdr:row>23</xdr:row>
                    <xdr:rowOff>171450</xdr:rowOff>
                  </from>
                  <to>
                    <xdr:col>4</xdr:col>
                    <xdr:colOff>304800</xdr:colOff>
                    <xdr:row>25</xdr:row>
                    <xdr:rowOff>9525</xdr:rowOff>
                  </to>
                </anchor>
              </controlPr>
            </control>
          </mc:Choice>
        </mc:AlternateContent>
        <mc:AlternateContent xmlns:mc="http://schemas.openxmlformats.org/markup-compatibility/2006">
          <mc:Choice Requires="x14">
            <control shapeId="22533" r:id="rId8" name="Check Box 5">
              <controlPr defaultSize="0" autoFill="0" autoLine="0" autoPict="0">
                <anchor moveWithCells="1">
                  <from>
                    <xdr:col>3</xdr:col>
                    <xdr:colOff>47625</xdr:colOff>
                    <xdr:row>24</xdr:row>
                    <xdr:rowOff>171450</xdr:rowOff>
                  </from>
                  <to>
                    <xdr:col>4</xdr:col>
                    <xdr:colOff>304800</xdr:colOff>
                    <xdr:row>26</xdr:row>
                    <xdr:rowOff>9525</xdr:rowOff>
                  </to>
                </anchor>
              </controlPr>
            </control>
          </mc:Choice>
        </mc:AlternateContent>
        <mc:AlternateContent xmlns:mc="http://schemas.openxmlformats.org/markup-compatibility/2006">
          <mc:Choice Requires="x14">
            <control shapeId="22534" r:id="rId9" name="Check Box 6">
              <controlPr defaultSize="0" autoFill="0" autoLine="0" autoPict="0">
                <anchor moveWithCells="1">
                  <from>
                    <xdr:col>3</xdr:col>
                    <xdr:colOff>57150</xdr:colOff>
                    <xdr:row>14</xdr:row>
                    <xdr:rowOff>171450</xdr:rowOff>
                  </from>
                  <to>
                    <xdr:col>4</xdr:col>
                    <xdr:colOff>314325</xdr:colOff>
                    <xdr:row>16</xdr:row>
                    <xdr:rowOff>9525</xdr:rowOff>
                  </to>
                </anchor>
              </controlPr>
            </control>
          </mc:Choice>
        </mc:AlternateContent>
        <mc:AlternateContent xmlns:mc="http://schemas.openxmlformats.org/markup-compatibility/2006">
          <mc:Choice Requires="x14">
            <control shapeId="22535" r:id="rId10" name="Check Box 7">
              <controlPr defaultSize="0" autoFill="0" autoLine="0" autoPict="0">
                <anchor moveWithCells="1">
                  <from>
                    <xdr:col>7</xdr:col>
                    <xdr:colOff>190500</xdr:colOff>
                    <xdr:row>12</xdr:row>
                    <xdr:rowOff>19050</xdr:rowOff>
                  </from>
                  <to>
                    <xdr:col>7</xdr:col>
                    <xdr:colOff>438150</xdr:colOff>
                    <xdr:row>13</xdr:row>
                    <xdr:rowOff>0</xdr:rowOff>
                  </to>
                </anchor>
              </controlPr>
            </control>
          </mc:Choice>
        </mc:AlternateContent>
        <mc:AlternateContent xmlns:mc="http://schemas.openxmlformats.org/markup-compatibility/2006">
          <mc:Choice Requires="x14">
            <control shapeId="22536" r:id="rId11" name="Check Box 8">
              <controlPr defaultSize="0" autoFill="0" autoLine="0" autoPict="0">
                <anchor moveWithCells="1">
                  <from>
                    <xdr:col>7</xdr:col>
                    <xdr:colOff>190500</xdr:colOff>
                    <xdr:row>13</xdr:row>
                    <xdr:rowOff>0</xdr:rowOff>
                  </from>
                  <to>
                    <xdr:col>7</xdr:col>
                    <xdr:colOff>438150</xdr:colOff>
                    <xdr:row>13</xdr:row>
                    <xdr:rowOff>180975</xdr:rowOff>
                  </to>
                </anchor>
              </controlPr>
            </control>
          </mc:Choice>
        </mc:AlternateContent>
        <mc:AlternateContent xmlns:mc="http://schemas.openxmlformats.org/markup-compatibility/2006">
          <mc:Choice Requires="x14">
            <control shapeId="22537" r:id="rId12" name="Check Box 9">
              <controlPr defaultSize="0" autoFill="0" autoLine="0" autoPict="0">
                <anchor moveWithCells="1">
                  <from>
                    <xdr:col>7</xdr:col>
                    <xdr:colOff>190500</xdr:colOff>
                    <xdr:row>14</xdr:row>
                    <xdr:rowOff>0</xdr:rowOff>
                  </from>
                  <to>
                    <xdr:col>7</xdr:col>
                    <xdr:colOff>438150</xdr:colOff>
                    <xdr:row>14</xdr:row>
                    <xdr:rowOff>180975</xdr:rowOff>
                  </to>
                </anchor>
              </controlPr>
            </control>
          </mc:Choice>
        </mc:AlternateContent>
        <mc:AlternateContent xmlns:mc="http://schemas.openxmlformats.org/markup-compatibility/2006">
          <mc:Choice Requires="x14">
            <control shapeId="22538" r:id="rId13" name="Check Box 10">
              <controlPr defaultSize="0" autoFill="0" autoLine="0" autoPict="0">
                <anchor moveWithCells="1">
                  <from>
                    <xdr:col>7</xdr:col>
                    <xdr:colOff>190500</xdr:colOff>
                    <xdr:row>15</xdr:row>
                    <xdr:rowOff>0</xdr:rowOff>
                  </from>
                  <to>
                    <xdr:col>7</xdr:col>
                    <xdr:colOff>438150</xdr:colOff>
                    <xdr:row>15</xdr:row>
                    <xdr:rowOff>180975</xdr:rowOff>
                  </to>
                </anchor>
              </controlPr>
            </control>
          </mc:Choice>
        </mc:AlternateContent>
        <mc:AlternateContent xmlns:mc="http://schemas.openxmlformats.org/markup-compatibility/2006">
          <mc:Choice Requires="x14">
            <control shapeId="22539" r:id="rId14" name="Check Box 11">
              <controlPr defaultSize="0" autoFill="0" autoLine="0" autoPict="0">
                <anchor moveWithCells="1">
                  <from>
                    <xdr:col>6</xdr:col>
                    <xdr:colOff>628650</xdr:colOff>
                    <xdr:row>19</xdr:row>
                    <xdr:rowOff>171450</xdr:rowOff>
                  </from>
                  <to>
                    <xdr:col>7</xdr:col>
                    <xdr:colOff>533400</xdr:colOff>
                    <xdr:row>21</xdr:row>
                    <xdr:rowOff>0</xdr:rowOff>
                  </to>
                </anchor>
              </controlPr>
            </control>
          </mc:Choice>
        </mc:AlternateContent>
        <mc:AlternateContent xmlns:mc="http://schemas.openxmlformats.org/markup-compatibility/2006">
          <mc:Choice Requires="x14">
            <control shapeId="22540" r:id="rId15" name="Check Box 12">
              <controlPr defaultSize="0" autoFill="0" autoLine="0" autoPict="0">
                <anchor moveWithCells="1">
                  <from>
                    <xdr:col>6</xdr:col>
                    <xdr:colOff>647700</xdr:colOff>
                    <xdr:row>22</xdr:row>
                    <xdr:rowOff>161925</xdr:rowOff>
                  </from>
                  <to>
                    <xdr:col>7</xdr:col>
                    <xdr:colOff>0</xdr:colOff>
                    <xdr:row>24</xdr:row>
                    <xdr:rowOff>28575</xdr:rowOff>
                  </to>
                </anchor>
              </controlPr>
            </control>
          </mc:Choice>
        </mc:AlternateContent>
        <mc:AlternateContent xmlns:mc="http://schemas.openxmlformats.org/markup-compatibility/2006">
          <mc:Choice Requires="x14">
            <control shapeId="22541" r:id="rId16" name="Check Box 13">
              <controlPr defaultSize="0" autoFill="0" autoLine="0" autoPict="0">
                <anchor moveWithCells="1">
                  <from>
                    <xdr:col>6</xdr:col>
                    <xdr:colOff>647700</xdr:colOff>
                    <xdr:row>23</xdr:row>
                    <xdr:rowOff>161925</xdr:rowOff>
                  </from>
                  <to>
                    <xdr:col>7</xdr:col>
                    <xdr:colOff>0</xdr:colOff>
                    <xdr:row>25</xdr:row>
                    <xdr:rowOff>28575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MK48"/>
  <sheetViews>
    <sheetView showGridLines="0" zoomScale="95" zoomScaleNormal="95" workbookViewId="0">
      <selection activeCell="A10" sqref="A10"/>
    </sheetView>
  </sheetViews>
  <sheetFormatPr defaultRowHeight="12.75" x14ac:dyDescent="0.2"/>
  <cols>
    <col min="1" max="1" width="18.28515625" style="51" customWidth="1"/>
    <col min="2" max="2" width="2.7109375" style="51" customWidth="1"/>
    <col min="3" max="3" width="4.140625" style="51" customWidth="1"/>
    <col min="4" max="4" width="8.85546875" style="51" customWidth="1"/>
    <col min="5" max="5" width="7.140625" style="51" customWidth="1"/>
    <col min="6" max="1025" width="9.140625" style="51" customWidth="1"/>
  </cols>
  <sheetData>
    <row r="2" spans="1:6" ht="18.75" x14ac:dyDescent="0.3">
      <c r="A2" s="52" t="s">
        <v>22</v>
      </c>
      <c r="C2" s="448">
        <f>'ICM Job Card 2022'!C3</f>
        <v>0</v>
      </c>
      <c r="D2" s="448"/>
      <c r="E2" s="53"/>
      <c r="F2" s="53"/>
    </row>
    <row r="3" spans="1:6" ht="18.75" x14ac:dyDescent="0.3">
      <c r="A3" s="52" t="s">
        <v>66</v>
      </c>
      <c r="C3" s="448">
        <f>'ICM Job Card 2022'!G5</f>
        <v>0</v>
      </c>
      <c r="D3" s="448"/>
      <c r="E3" s="448"/>
      <c r="F3" s="448"/>
    </row>
    <row r="4" spans="1:6" ht="18.75" x14ac:dyDescent="0.3">
      <c r="A4" s="52" t="s">
        <v>24</v>
      </c>
      <c r="C4" s="448">
        <f>'ICM Job Card 2022'!C4</f>
        <v>0</v>
      </c>
      <c r="D4" s="448"/>
      <c r="E4" s="448"/>
      <c r="F4" s="448"/>
    </row>
    <row r="5" spans="1:6" ht="18.75" x14ac:dyDescent="0.3">
      <c r="A5" s="52" t="s">
        <v>27</v>
      </c>
      <c r="C5" s="448">
        <f>'ICM Job Card 2022'!C6</f>
        <v>0</v>
      </c>
      <c r="D5" s="448"/>
      <c r="E5" s="448"/>
      <c r="F5" s="448"/>
    </row>
    <row r="6" spans="1:6" ht="18.75" x14ac:dyDescent="0.3">
      <c r="A6" s="52" t="s">
        <v>23</v>
      </c>
      <c r="C6" s="448">
        <f>'ICM Job Card 2022'!G3</f>
        <v>0</v>
      </c>
      <c r="D6" s="448"/>
      <c r="E6" s="448"/>
      <c r="F6" s="448"/>
    </row>
    <row r="8" spans="1:6" ht="18.75" x14ac:dyDescent="0.3">
      <c r="A8" s="54" t="s">
        <v>67</v>
      </c>
    </row>
    <row r="10" spans="1:6" x14ac:dyDescent="0.2">
      <c r="A10" s="55"/>
    </row>
    <row r="15" spans="1:6" s="56" customFormat="1" x14ac:dyDescent="0.2"/>
    <row r="16" spans="1:6" s="56" customFormat="1" x14ac:dyDescent="0.2"/>
    <row r="17" spans="1:1" s="56" customFormat="1" x14ac:dyDescent="0.2"/>
    <row r="18" spans="1:1" s="56" customFormat="1" x14ac:dyDescent="0.2"/>
    <row r="19" spans="1:1" s="56" customFormat="1" x14ac:dyDescent="0.2"/>
    <row r="20" spans="1:1" s="56" customFormat="1" x14ac:dyDescent="0.2"/>
    <row r="21" spans="1:1" s="56" customFormat="1" x14ac:dyDescent="0.2"/>
    <row r="22" spans="1:1" ht="18.75" x14ac:dyDescent="0.3">
      <c r="A22" s="54" t="s">
        <v>68</v>
      </c>
    </row>
    <row r="23" spans="1:1" s="51" customFormat="1" x14ac:dyDescent="0.2"/>
    <row r="24" spans="1:1" s="51" customFormat="1" x14ac:dyDescent="0.2"/>
    <row r="25" spans="1:1" s="51" customFormat="1" x14ac:dyDescent="0.2"/>
    <row r="26" spans="1:1" s="51" customFormat="1" x14ac:dyDescent="0.2"/>
    <row r="27" spans="1:1" s="51" customFormat="1" x14ac:dyDescent="0.2"/>
    <row r="28" spans="1:1" s="56" customFormat="1" x14ac:dyDescent="0.2"/>
    <row r="29" spans="1:1" s="56" customFormat="1" x14ac:dyDescent="0.2"/>
    <row r="30" spans="1:1" s="56" customFormat="1" x14ac:dyDescent="0.2"/>
    <row r="31" spans="1:1" s="56" customFormat="1" x14ac:dyDescent="0.2"/>
    <row r="32" spans="1:1" s="56" customFormat="1" x14ac:dyDescent="0.2"/>
    <row r="33" spans="1:5" s="56" customFormat="1" x14ac:dyDescent="0.2"/>
    <row r="34" spans="1:5" s="56" customFormat="1" x14ac:dyDescent="0.2"/>
    <row r="35" spans="1:5" s="56" customFormat="1" x14ac:dyDescent="0.2"/>
    <row r="36" spans="1:5" s="56" customFormat="1" x14ac:dyDescent="0.2"/>
    <row r="37" spans="1:5" s="56" customFormat="1" x14ac:dyDescent="0.2"/>
    <row r="38" spans="1:5" s="56" customFormat="1" x14ac:dyDescent="0.2"/>
    <row r="39" spans="1:5" ht="18.75" x14ac:dyDescent="0.3">
      <c r="A39" s="54" t="s">
        <v>69</v>
      </c>
    </row>
    <row r="40" spans="1:5" s="56" customFormat="1" x14ac:dyDescent="0.2"/>
    <row r="41" spans="1:5" s="56" customFormat="1" x14ac:dyDescent="0.2"/>
    <row r="42" spans="1:5" s="56" customFormat="1" x14ac:dyDescent="0.2"/>
    <row r="43" spans="1:5" s="56" customFormat="1" x14ac:dyDescent="0.2"/>
    <row r="44" spans="1:5" s="56" customFormat="1" x14ac:dyDescent="0.2"/>
    <row r="45" spans="1:5" s="56" customFormat="1" x14ac:dyDescent="0.2"/>
    <row r="46" spans="1:5" s="56" customFormat="1" x14ac:dyDescent="0.2"/>
    <row r="48" spans="1:5" x14ac:dyDescent="0.2">
      <c r="A48" s="51" t="s">
        <v>70</v>
      </c>
      <c r="C48" s="447" t="s">
        <v>101</v>
      </c>
      <c r="D48" s="447"/>
      <c r="E48" s="447"/>
    </row>
  </sheetData>
  <sheetProtection selectLockedCells="1"/>
  <mergeCells count="6">
    <mergeCell ref="C48:E48"/>
    <mergeCell ref="C2:D2"/>
    <mergeCell ref="C3:F3"/>
    <mergeCell ref="C4:F4"/>
    <mergeCell ref="C5:F5"/>
    <mergeCell ref="C6:F6"/>
  </mergeCells>
  <conditionalFormatting sqref="A10:J21">
    <cfRule type="cellIs" dxfId="91" priority="2" operator="equal">
      <formula>0</formula>
    </cfRule>
  </conditionalFormatting>
  <conditionalFormatting sqref="A23:J38">
    <cfRule type="cellIs" dxfId="90" priority="3" operator="equal">
      <formula>0</formula>
    </cfRule>
  </conditionalFormatting>
  <pageMargins left="0.7" right="0.7" top="0.75" bottom="0.75" header="0.51180555555555496" footer="0.51180555555555496"/>
  <pageSetup firstPageNumber="0" orientation="portrait" horizontalDpi="300" verticalDpi="30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400-000000000000}">
          <x14:formula1>
            <xm:f>'ICM Job Card 2022'!$R$1:$R$10</xm:f>
          </x14:formula1>
          <xm:sqref>C48:E48</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K59"/>
  <sheetViews>
    <sheetView zoomScale="95" zoomScaleNormal="95" workbookViewId="0">
      <selection activeCell="I32" sqref="I32"/>
    </sheetView>
  </sheetViews>
  <sheetFormatPr defaultRowHeight="12.75" x14ac:dyDescent="0.2"/>
  <cols>
    <col min="1" max="1" width="9.140625" style="57" customWidth="1"/>
    <col min="2" max="2" width="6.5703125" style="57" customWidth="1"/>
    <col min="3" max="4" width="9.140625" style="57" customWidth="1"/>
    <col min="5" max="5" width="18" style="57" customWidth="1"/>
    <col min="6" max="8" width="9.140625" style="57" customWidth="1"/>
    <col min="9" max="9" width="9.7109375" style="57" customWidth="1"/>
    <col min="10" max="10" width="10.7109375" style="57" customWidth="1"/>
    <col min="11" max="257" width="9.140625" style="51" customWidth="1"/>
    <col min="258" max="258" width="6.5703125" style="51" customWidth="1"/>
    <col min="259" max="260" width="9.140625" style="51" customWidth="1"/>
    <col min="261" max="261" width="18" style="51" customWidth="1"/>
    <col min="262" max="264" width="9.140625" style="51" customWidth="1"/>
    <col min="265" max="265" width="9.7109375" style="51" customWidth="1"/>
    <col min="266" max="266" width="10.7109375" style="51" customWidth="1"/>
    <col min="267" max="513" width="9.140625" style="51" customWidth="1"/>
    <col min="514" max="514" width="6.5703125" style="51" customWidth="1"/>
    <col min="515" max="516" width="9.140625" style="51" customWidth="1"/>
    <col min="517" max="517" width="18" style="51" customWidth="1"/>
    <col min="518" max="520" width="9.140625" style="51" customWidth="1"/>
    <col min="521" max="521" width="9.7109375" style="51" customWidth="1"/>
    <col min="522" max="522" width="10.7109375" style="51" customWidth="1"/>
    <col min="523" max="769" width="9.140625" style="51" customWidth="1"/>
    <col min="770" max="770" width="6.5703125" style="51" customWidth="1"/>
    <col min="771" max="772" width="9.140625" style="51" customWidth="1"/>
    <col min="773" max="773" width="18" style="51" customWidth="1"/>
    <col min="774" max="776" width="9.140625" style="51" customWidth="1"/>
    <col min="777" max="777" width="9.7109375" style="51" customWidth="1"/>
    <col min="778" max="778" width="10.7109375" style="51" customWidth="1"/>
    <col min="779" max="1025" width="9.140625" style="51" customWidth="1"/>
  </cols>
  <sheetData>
    <row r="1" spans="1:10" x14ac:dyDescent="0.2">
      <c r="A1" s="58"/>
      <c r="B1" s="59"/>
      <c r="C1" s="59"/>
      <c r="D1" s="59"/>
      <c r="E1" s="59"/>
      <c r="G1" s="60"/>
      <c r="H1" s="60"/>
      <c r="I1" s="60"/>
      <c r="J1" s="61"/>
    </row>
    <row r="2" spans="1:10" ht="21" x14ac:dyDescent="0.35">
      <c r="A2" s="62" t="s">
        <v>71</v>
      </c>
      <c r="B2" s="63"/>
      <c r="C2" s="63"/>
      <c r="D2" s="449" t="e">
        <f>"SQ"&amp;#REF!</f>
        <v>#REF!</v>
      </c>
      <c r="E2" s="449"/>
      <c r="J2" s="64"/>
    </row>
    <row r="3" spans="1:10" x14ac:dyDescent="0.2">
      <c r="A3" s="65"/>
      <c r="B3" s="66"/>
      <c r="C3" s="66"/>
      <c r="D3" s="66"/>
      <c r="E3" s="66"/>
      <c r="J3" s="64"/>
    </row>
    <row r="4" spans="1:10" ht="18.75" x14ac:dyDescent="0.3">
      <c r="A4" s="67" t="s">
        <v>72</v>
      </c>
      <c r="B4" s="63"/>
      <c r="C4" s="63"/>
      <c r="D4" s="449" t="e">
        <f>#REF!</f>
        <v>#REF!</v>
      </c>
      <c r="E4" s="449"/>
      <c r="J4" s="64"/>
    </row>
    <row r="5" spans="1:10" ht="12" customHeight="1" x14ac:dyDescent="0.25">
      <c r="A5" s="68"/>
      <c r="B5" s="66"/>
      <c r="C5" s="66"/>
      <c r="D5" s="66"/>
      <c r="E5" s="66"/>
      <c r="J5" s="64"/>
    </row>
    <row r="6" spans="1:10" ht="18.75" customHeight="1" x14ac:dyDescent="0.3">
      <c r="A6" s="67" t="s">
        <v>73</v>
      </c>
      <c r="B6" s="63"/>
      <c r="C6" s="450" t="e">
        <f>#REF!</f>
        <v>#REF!</v>
      </c>
      <c r="D6" s="450"/>
      <c r="E6" s="450"/>
      <c r="F6" s="69"/>
      <c r="G6" s="69"/>
      <c r="H6" s="69"/>
      <c r="I6" s="69"/>
      <c r="J6" s="70"/>
    </row>
    <row r="7" spans="1:10" ht="12.75" customHeight="1" x14ac:dyDescent="0.3">
      <c r="A7" s="71"/>
      <c r="B7" s="72"/>
      <c r="C7" s="73"/>
      <c r="D7" s="73"/>
      <c r="E7" s="73"/>
      <c r="F7" s="69"/>
      <c r="G7" s="69"/>
      <c r="H7" s="69"/>
      <c r="I7" s="69"/>
      <c r="J7" s="70"/>
    </row>
    <row r="8" spans="1:10" ht="18.75" customHeight="1" x14ac:dyDescent="0.3">
      <c r="A8" s="67" t="s">
        <v>74</v>
      </c>
      <c r="B8" s="451" t="e">
        <f>#REF!</f>
        <v>#REF!</v>
      </c>
      <c r="C8" s="451"/>
      <c r="D8" s="451"/>
      <c r="E8" s="451"/>
      <c r="F8" s="69"/>
      <c r="G8" s="74"/>
      <c r="H8" s="69"/>
      <c r="I8" s="69"/>
      <c r="J8" s="70"/>
    </row>
    <row r="9" spans="1:10" x14ac:dyDescent="0.2">
      <c r="A9" s="65"/>
      <c r="B9" s="66"/>
      <c r="C9" s="66"/>
      <c r="D9" s="66"/>
      <c r="E9" s="66"/>
      <c r="F9" s="66"/>
      <c r="G9" s="66"/>
      <c r="H9" s="66"/>
      <c r="I9" s="66"/>
      <c r="J9" s="75"/>
    </row>
    <row r="10" spans="1:10" ht="15.75" x14ac:dyDescent="0.25">
      <c r="A10" s="76" t="s">
        <v>75</v>
      </c>
      <c r="B10" s="77"/>
      <c r="C10" s="452"/>
      <c r="D10" s="452"/>
      <c r="E10" s="452"/>
      <c r="F10" s="452"/>
      <c r="G10" s="452"/>
      <c r="H10" s="452"/>
      <c r="I10" s="452"/>
      <c r="J10" s="452"/>
    </row>
    <row r="11" spans="1:10" x14ac:dyDescent="0.2">
      <c r="A11" s="453" t="s">
        <v>76</v>
      </c>
      <c r="B11" s="453"/>
      <c r="C11" s="453"/>
      <c r="D11" s="453"/>
      <c r="E11" s="453"/>
      <c r="F11" s="453"/>
      <c r="G11" s="453"/>
      <c r="H11" s="453"/>
      <c r="I11" s="453"/>
      <c r="J11" s="453"/>
    </row>
    <row r="12" spans="1:10" x14ac:dyDescent="0.2">
      <c r="A12" s="454">
        <f>'Service Report'!A10</f>
        <v>0</v>
      </c>
      <c r="B12" s="454"/>
      <c r="C12" s="454"/>
      <c r="D12" s="454"/>
      <c r="E12" s="454"/>
      <c r="F12" s="454"/>
      <c r="G12" s="454"/>
      <c r="H12" s="454"/>
      <c r="I12" s="454"/>
      <c r="J12" s="454"/>
    </row>
    <row r="13" spans="1:10" x14ac:dyDescent="0.2">
      <c r="A13" s="454">
        <f>'Service Report'!A11</f>
        <v>0</v>
      </c>
      <c r="B13" s="454"/>
      <c r="C13" s="454"/>
      <c r="D13" s="454"/>
      <c r="E13" s="454"/>
      <c r="F13" s="454"/>
      <c r="G13" s="454"/>
      <c r="H13" s="454"/>
      <c r="I13" s="454"/>
      <c r="J13" s="454"/>
    </row>
    <row r="14" spans="1:10" x14ac:dyDescent="0.2">
      <c r="A14" s="454">
        <f>'Service Report'!A12</f>
        <v>0</v>
      </c>
      <c r="B14" s="454"/>
      <c r="C14" s="454"/>
      <c r="D14" s="454"/>
      <c r="E14" s="454"/>
      <c r="F14" s="454"/>
      <c r="G14" s="454"/>
      <c r="H14" s="454"/>
      <c r="I14" s="454"/>
      <c r="J14" s="454"/>
    </row>
    <row r="15" spans="1:10" x14ac:dyDescent="0.2">
      <c r="A15" s="454">
        <f>'Service Report'!A13</f>
        <v>0</v>
      </c>
      <c r="B15" s="454"/>
      <c r="C15" s="454"/>
      <c r="D15" s="454"/>
      <c r="E15" s="454"/>
      <c r="F15" s="454"/>
      <c r="G15" s="454"/>
      <c r="H15" s="454"/>
      <c r="I15" s="454"/>
      <c r="J15" s="454"/>
    </row>
    <row r="16" spans="1:10" x14ac:dyDescent="0.2">
      <c r="A16" s="454">
        <f>'Service Report'!A14</f>
        <v>0</v>
      </c>
      <c r="B16" s="454"/>
      <c r="C16" s="454"/>
      <c r="D16" s="454"/>
      <c r="E16" s="454"/>
      <c r="F16" s="454"/>
      <c r="G16" s="454"/>
      <c r="H16" s="454"/>
      <c r="I16" s="454"/>
      <c r="J16" s="454"/>
    </row>
    <row r="17" spans="1:10" x14ac:dyDescent="0.2">
      <c r="A17" s="454">
        <f>'Service Report'!A37</f>
        <v>0</v>
      </c>
      <c r="B17" s="454"/>
      <c r="C17" s="454"/>
      <c r="D17" s="454"/>
      <c r="E17" s="454"/>
      <c r="F17" s="454"/>
      <c r="G17" s="454"/>
      <c r="H17" s="454"/>
      <c r="I17" s="454"/>
      <c r="J17" s="454"/>
    </row>
    <row r="18" spans="1:10" x14ac:dyDescent="0.2">
      <c r="A18" s="453" t="s">
        <v>77</v>
      </c>
      <c r="B18" s="453"/>
      <c r="C18" s="453"/>
      <c r="D18" s="453"/>
      <c r="E18" s="453"/>
      <c r="F18" s="453"/>
      <c r="G18" s="453"/>
      <c r="H18" s="453"/>
      <c r="I18" s="453"/>
      <c r="J18" s="453"/>
    </row>
    <row r="19" spans="1:10" x14ac:dyDescent="0.2">
      <c r="A19" s="454">
        <f>'Service Report'!A24</f>
        <v>0</v>
      </c>
      <c r="B19" s="454"/>
      <c r="C19" s="454"/>
      <c r="D19" s="454"/>
      <c r="E19" s="454"/>
      <c r="F19" s="454"/>
      <c r="G19" s="454"/>
      <c r="H19" s="454"/>
      <c r="I19" s="454"/>
      <c r="J19" s="454"/>
    </row>
    <row r="20" spans="1:10" x14ac:dyDescent="0.2">
      <c r="A20" s="454">
        <f>'Service Report'!A25</f>
        <v>0</v>
      </c>
      <c r="B20" s="454"/>
      <c r="C20" s="454"/>
      <c r="D20" s="454"/>
      <c r="E20" s="454"/>
      <c r="F20" s="454"/>
      <c r="G20" s="454"/>
      <c r="H20" s="454"/>
      <c r="I20" s="454"/>
      <c r="J20" s="454"/>
    </row>
    <row r="21" spans="1:10" x14ac:dyDescent="0.2">
      <c r="A21" s="454">
        <f>'Service Report'!A26</f>
        <v>0</v>
      </c>
      <c r="B21" s="454"/>
      <c r="C21" s="454"/>
      <c r="D21" s="454"/>
      <c r="E21" s="454"/>
      <c r="F21" s="454"/>
      <c r="G21" s="454"/>
      <c r="H21" s="454"/>
      <c r="I21" s="454"/>
      <c r="J21" s="454"/>
    </row>
    <row r="22" spans="1:10" x14ac:dyDescent="0.2">
      <c r="A22" s="454">
        <f>'Service Report'!A27</f>
        <v>0</v>
      </c>
      <c r="B22" s="454"/>
      <c r="C22" s="454"/>
      <c r="D22" s="454"/>
      <c r="E22" s="454"/>
      <c r="F22" s="454"/>
      <c r="G22" s="454"/>
      <c r="H22" s="454"/>
      <c r="I22" s="454"/>
      <c r="J22" s="454"/>
    </row>
    <row r="23" spans="1:10" x14ac:dyDescent="0.2">
      <c r="A23" s="454">
        <f>'Service Report'!A35</f>
        <v>0</v>
      </c>
      <c r="B23" s="454"/>
      <c r="C23" s="454"/>
      <c r="D23" s="454"/>
      <c r="E23" s="454"/>
      <c r="F23" s="454"/>
      <c r="G23" s="454"/>
      <c r="H23" s="454"/>
      <c r="I23" s="454"/>
      <c r="J23" s="454"/>
    </row>
    <row r="24" spans="1:10" x14ac:dyDescent="0.2">
      <c r="A24" s="454">
        <f>'Service Report'!A36</f>
        <v>0</v>
      </c>
      <c r="B24" s="454"/>
      <c r="C24" s="454"/>
      <c r="D24" s="454"/>
      <c r="E24" s="454"/>
      <c r="F24" s="454"/>
      <c r="G24" s="454"/>
      <c r="H24" s="454"/>
      <c r="I24" s="454"/>
      <c r="J24" s="454"/>
    </row>
    <row r="25" spans="1:10" x14ac:dyDescent="0.2">
      <c r="A25" s="455"/>
      <c r="B25" s="455"/>
      <c r="C25" s="455"/>
      <c r="D25" s="455"/>
      <c r="E25" s="455"/>
      <c r="F25" s="455"/>
      <c r="G25" s="455"/>
      <c r="H25" s="455"/>
      <c r="I25" s="455"/>
      <c r="J25" s="455"/>
    </row>
    <row r="26" spans="1:10" x14ac:dyDescent="0.2">
      <c r="A26" s="65"/>
      <c r="B26" s="66"/>
      <c r="C26" s="66"/>
      <c r="D26" s="66"/>
      <c r="E26" s="66"/>
      <c r="F26" s="66"/>
      <c r="G26" s="66"/>
      <c r="H26" s="66"/>
      <c r="I26" s="66"/>
      <c r="J26" s="75"/>
    </row>
    <row r="27" spans="1:10" ht="15.75" x14ac:dyDescent="0.25">
      <c r="A27" s="78" t="s">
        <v>78</v>
      </c>
      <c r="B27" s="79"/>
      <c r="C27" s="66"/>
      <c r="D27" s="80" t="s">
        <v>79</v>
      </c>
      <c r="E27" s="66"/>
      <c r="F27" s="66"/>
      <c r="G27" s="66"/>
      <c r="H27" s="66"/>
      <c r="I27" s="66"/>
      <c r="J27" s="75"/>
    </row>
    <row r="28" spans="1:10" ht="5.25" customHeight="1" x14ac:dyDescent="0.2">
      <c r="A28" s="65"/>
      <c r="B28" s="66"/>
      <c r="C28" s="66"/>
      <c r="D28" s="66"/>
      <c r="E28" s="66"/>
      <c r="F28" s="66"/>
      <c r="G28" s="66"/>
      <c r="H28" s="66"/>
      <c r="I28" s="66"/>
      <c r="J28" s="75"/>
    </row>
    <row r="29" spans="1:10" x14ac:dyDescent="0.2">
      <c r="A29" s="456" t="s">
        <v>80</v>
      </c>
      <c r="B29" s="456"/>
      <c r="C29" s="457" t="s">
        <v>81</v>
      </c>
      <c r="D29" s="457"/>
      <c r="E29" s="457"/>
      <c r="F29" s="81"/>
      <c r="G29" s="82" t="s">
        <v>82</v>
      </c>
      <c r="H29" s="82" t="s">
        <v>83</v>
      </c>
      <c r="I29" s="82" t="s">
        <v>84</v>
      </c>
      <c r="J29" s="83" t="s">
        <v>85</v>
      </c>
    </row>
    <row r="30" spans="1:10" x14ac:dyDescent="0.2">
      <c r="A30" s="458">
        <f>IF(G30=1,15.005,0)</f>
        <v>15.005000000000001</v>
      </c>
      <c r="B30" s="458"/>
      <c r="C30" s="459" t="str">
        <f>IF(G30=1,"ICM Recalibration",0)</f>
        <v>ICM Recalibration</v>
      </c>
      <c r="D30" s="459"/>
      <c r="E30" s="459"/>
      <c r="F30" s="459"/>
      <c r="G30" s="84">
        <f>IF(A31=15.012,0,IF(A32=15.013,0,1))</f>
        <v>1</v>
      </c>
      <c r="H30" s="85">
        <f>IF(G30=1,178,0)</f>
        <v>178</v>
      </c>
      <c r="I30" s="84"/>
      <c r="J30" s="86">
        <f t="shared" ref="J30:J41" si="0">(G30*H30)*((100-I30)/100)</f>
        <v>178</v>
      </c>
    </row>
    <row r="31" spans="1:10" x14ac:dyDescent="0.2">
      <c r="A31" s="460">
        <f>IF(A20=0,0,15.012)</f>
        <v>0</v>
      </c>
      <c r="B31" s="460"/>
      <c r="C31" s="461">
        <f>IF(A31=15.012,"ICM repair of PCB-K - INC Recal",0)</f>
        <v>0</v>
      </c>
      <c r="D31" s="461"/>
      <c r="E31" s="461"/>
      <c r="F31" s="461"/>
      <c r="G31" s="87">
        <f>IF(A31=15.012,1,0)</f>
        <v>0</v>
      </c>
      <c r="H31" s="88">
        <f>IF(A31=15.012,604.4,0)</f>
        <v>0</v>
      </c>
      <c r="I31" s="87"/>
      <c r="J31" s="89">
        <f t="shared" si="0"/>
        <v>0</v>
      </c>
    </row>
    <row r="32" spans="1:10" x14ac:dyDescent="0.2">
      <c r="A32" s="460">
        <f>IF(A19=0,0,15.013)</f>
        <v>0</v>
      </c>
      <c r="B32" s="460"/>
      <c r="C32" s="461">
        <f>IF(A32=15.013,"ICM repair of PCB-R - INC Recal",0)</f>
        <v>0</v>
      </c>
      <c r="D32" s="461"/>
      <c r="E32" s="461"/>
      <c r="F32" s="461"/>
      <c r="G32" s="87">
        <f>IF(A32=15.013,1,0)</f>
        <v>0</v>
      </c>
      <c r="H32" s="88">
        <f>IF(A32=15.013,370.31,0)</f>
        <v>0</v>
      </c>
      <c r="I32" s="87"/>
      <c r="J32" s="89">
        <f t="shared" si="0"/>
        <v>0</v>
      </c>
    </row>
    <row r="33" spans="1:10" x14ac:dyDescent="0.2">
      <c r="A33" s="460">
        <f>IF(A22=0,0,11.004)</f>
        <v>0</v>
      </c>
      <c r="B33" s="460"/>
      <c r="C33" s="461">
        <f>IF(A33=11.004,"ICM Repair of PCB-T",0)</f>
        <v>0</v>
      </c>
      <c r="D33" s="461"/>
      <c r="E33" s="461"/>
      <c r="F33" s="461"/>
      <c r="G33" s="87">
        <f>IF(A33=11.004,1,0)</f>
        <v>0</v>
      </c>
      <c r="H33" s="88"/>
      <c r="I33" s="87"/>
      <c r="J33" s="89">
        <f t="shared" si="0"/>
        <v>0</v>
      </c>
    </row>
    <row r="34" spans="1:10" x14ac:dyDescent="0.2">
      <c r="A34" s="460">
        <f>IF(A21=0,0,11.06)</f>
        <v>0</v>
      </c>
      <c r="B34" s="460"/>
      <c r="C34" s="461">
        <f>IF(A34=11.06,"Chassis Cable",0)</f>
        <v>0</v>
      </c>
      <c r="D34" s="461"/>
      <c r="E34" s="461"/>
      <c r="F34" s="461"/>
      <c r="G34" s="87">
        <f>IF(A34=11.06,1,0)</f>
        <v>0</v>
      </c>
      <c r="H34" s="88"/>
      <c r="I34" s="87"/>
      <c r="J34" s="89">
        <f t="shared" si="0"/>
        <v>0</v>
      </c>
    </row>
    <row r="35" spans="1:10" x14ac:dyDescent="0.2">
      <c r="A35" s="460"/>
      <c r="B35" s="460"/>
      <c r="C35" s="461"/>
      <c r="D35" s="461"/>
      <c r="E35" s="461"/>
      <c r="F35" s="461"/>
      <c r="G35" s="87"/>
      <c r="H35" s="88"/>
      <c r="I35" s="87"/>
      <c r="J35" s="89">
        <f t="shared" si="0"/>
        <v>0</v>
      </c>
    </row>
    <row r="36" spans="1:10" x14ac:dyDescent="0.2">
      <c r="A36" s="460"/>
      <c r="B36" s="460"/>
      <c r="C36" s="461"/>
      <c r="D36" s="461"/>
      <c r="E36" s="461"/>
      <c r="F36" s="461"/>
      <c r="G36" s="87"/>
      <c r="H36" s="88"/>
      <c r="I36" s="87"/>
      <c r="J36" s="89">
        <f t="shared" si="0"/>
        <v>0</v>
      </c>
    </row>
    <row r="37" spans="1:10" x14ac:dyDescent="0.2">
      <c r="A37" s="460"/>
      <c r="B37" s="460"/>
      <c r="C37" s="461"/>
      <c r="D37" s="461"/>
      <c r="E37" s="461"/>
      <c r="F37" s="461"/>
      <c r="G37" s="87"/>
      <c r="H37" s="88"/>
      <c r="I37" s="87"/>
      <c r="J37" s="89">
        <f t="shared" si="0"/>
        <v>0</v>
      </c>
    </row>
    <row r="38" spans="1:10" x14ac:dyDescent="0.2">
      <c r="A38" s="460"/>
      <c r="B38" s="460"/>
      <c r="C38" s="461"/>
      <c r="D38" s="461"/>
      <c r="E38" s="461"/>
      <c r="F38" s="461"/>
      <c r="G38" s="87"/>
      <c r="H38" s="88"/>
      <c r="I38" s="87"/>
      <c r="J38" s="89">
        <f t="shared" si="0"/>
        <v>0</v>
      </c>
    </row>
    <row r="39" spans="1:10" x14ac:dyDescent="0.2">
      <c r="A39" s="460"/>
      <c r="B39" s="460"/>
      <c r="C39" s="461"/>
      <c r="D39" s="461"/>
      <c r="E39" s="461"/>
      <c r="F39" s="461"/>
      <c r="G39" s="87"/>
      <c r="H39" s="88"/>
      <c r="I39" s="87"/>
      <c r="J39" s="89">
        <f t="shared" si="0"/>
        <v>0</v>
      </c>
    </row>
    <row r="40" spans="1:10" x14ac:dyDescent="0.2">
      <c r="A40" s="460"/>
      <c r="B40" s="460"/>
      <c r="C40" s="461"/>
      <c r="D40" s="461"/>
      <c r="E40" s="461"/>
      <c r="F40" s="461"/>
      <c r="G40" s="90"/>
      <c r="H40" s="90"/>
      <c r="I40" s="90"/>
      <c r="J40" s="89">
        <f t="shared" si="0"/>
        <v>0</v>
      </c>
    </row>
    <row r="41" spans="1:10" x14ac:dyDescent="0.2">
      <c r="A41" s="462"/>
      <c r="B41" s="462"/>
      <c r="C41" s="463"/>
      <c r="D41" s="463"/>
      <c r="E41" s="463"/>
      <c r="F41" s="463"/>
      <c r="G41" s="91"/>
      <c r="H41" s="91"/>
      <c r="I41" s="91"/>
      <c r="J41" s="92">
        <f t="shared" si="0"/>
        <v>0</v>
      </c>
    </row>
    <row r="42" spans="1:10" x14ac:dyDescent="0.2">
      <c r="A42" s="65"/>
      <c r="B42" s="66"/>
      <c r="C42" s="66"/>
      <c r="D42" s="66"/>
      <c r="E42" s="66"/>
      <c r="F42" s="66"/>
      <c r="G42" s="66"/>
      <c r="H42" s="66"/>
      <c r="I42" s="93" t="s">
        <v>86</v>
      </c>
      <c r="J42" s="94">
        <f>SUM(J30:J41)</f>
        <v>178</v>
      </c>
    </row>
    <row r="43" spans="1:10" ht="12" customHeight="1" x14ac:dyDescent="0.2">
      <c r="A43" s="65"/>
      <c r="B43" s="66"/>
      <c r="C43" s="66"/>
      <c r="D43" s="66"/>
      <c r="E43" s="66"/>
      <c r="F43" s="66"/>
      <c r="G43" s="66"/>
      <c r="H43" s="66"/>
      <c r="I43" s="93" t="s">
        <v>87</v>
      </c>
      <c r="J43" s="94">
        <f>J42*0.2</f>
        <v>35.6</v>
      </c>
    </row>
    <row r="44" spans="1:10" ht="12" customHeight="1" x14ac:dyDescent="0.2">
      <c r="A44" s="65"/>
      <c r="B44" s="66"/>
      <c r="C44" s="66"/>
      <c r="D44" s="66"/>
      <c r="E44" s="66"/>
      <c r="F44" s="66"/>
      <c r="G44" s="66"/>
      <c r="H44" s="66"/>
      <c r="I44" s="93" t="s">
        <v>88</v>
      </c>
      <c r="J44" s="94">
        <f>J42+J43</f>
        <v>213.6</v>
      </c>
    </row>
    <row r="45" spans="1:10" ht="12" customHeight="1" x14ac:dyDescent="0.2">
      <c r="A45" s="65"/>
      <c r="B45" s="66"/>
      <c r="C45" s="66"/>
      <c r="D45" s="66"/>
      <c r="E45" s="66"/>
      <c r="F45" s="66"/>
      <c r="G45" s="66"/>
      <c r="H45" s="66"/>
      <c r="I45" s="66"/>
      <c r="J45" s="75"/>
    </row>
    <row r="46" spans="1:10" x14ac:dyDescent="0.2">
      <c r="A46" s="65"/>
      <c r="B46" s="66"/>
      <c r="C46" s="66"/>
      <c r="D46" s="66"/>
      <c r="E46" s="66"/>
      <c r="F46" s="66"/>
      <c r="G46" s="66"/>
      <c r="H46" s="66"/>
      <c r="I46" s="66"/>
      <c r="J46" s="75"/>
    </row>
    <row r="47" spans="1:10" x14ac:dyDescent="0.2">
      <c r="A47" s="65"/>
      <c r="B47" s="66"/>
      <c r="C47" s="66"/>
      <c r="D47" s="66"/>
      <c r="E47" s="66"/>
      <c r="F47" s="66"/>
      <c r="G47" s="66"/>
      <c r="H47" s="66"/>
      <c r="I47" s="66"/>
      <c r="J47" s="75"/>
    </row>
    <row r="48" spans="1:10" x14ac:dyDescent="0.2">
      <c r="A48" s="65"/>
      <c r="B48" s="66"/>
      <c r="C48" s="66"/>
      <c r="D48" s="66"/>
      <c r="E48" s="66"/>
      <c r="F48" s="66"/>
      <c r="G48" s="66"/>
      <c r="H48" s="66"/>
      <c r="I48" s="66"/>
      <c r="J48" s="75"/>
    </row>
    <row r="49" spans="1:10" x14ac:dyDescent="0.2">
      <c r="A49" s="65"/>
      <c r="B49" s="66"/>
      <c r="C49" s="66"/>
      <c r="D49" s="66"/>
      <c r="E49" s="66"/>
      <c r="F49" s="66"/>
      <c r="G49" s="66"/>
      <c r="H49" s="66"/>
      <c r="I49" s="66"/>
      <c r="J49" s="75"/>
    </row>
    <row r="50" spans="1:10" x14ac:dyDescent="0.2">
      <c r="A50" s="65"/>
      <c r="B50" s="66"/>
      <c r="C50" s="66"/>
      <c r="D50" s="66"/>
      <c r="E50" s="66"/>
      <c r="F50" s="66"/>
      <c r="G50" s="66"/>
      <c r="H50" s="66"/>
      <c r="I50" s="66"/>
      <c r="J50" s="75"/>
    </row>
    <row r="51" spans="1:10" x14ac:dyDescent="0.2">
      <c r="A51" s="65"/>
      <c r="B51" s="66"/>
      <c r="C51" s="66"/>
      <c r="D51" s="66"/>
      <c r="E51" s="66"/>
      <c r="F51" s="66"/>
      <c r="G51" s="66"/>
      <c r="H51" s="66"/>
      <c r="I51" s="66"/>
      <c r="J51" s="75"/>
    </row>
    <row r="52" spans="1:10" ht="15.75" x14ac:dyDescent="0.25">
      <c r="A52" s="464" t="s">
        <v>89</v>
      </c>
      <c r="B52" s="464"/>
      <c r="C52" s="464"/>
      <c r="D52" s="95" t="s">
        <v>90</v>
      </c>
      <c r="E52" s="96"/>
      <c r="F52" s="96"/>
      <c r="G52" s="96"/>
      <c r="H52" s="96"/>
      <c r="I52" s="96"/>
      <c r="J52" s="97"/>
    </row>
    <row r="53" spans="1:10" x14ac:dyDescent="0.2">
      <c r="A53" s="98"/>
      <c r="J53" s="64"/>
    </row>
    <row r="54" spans="1:10" x14ac:dyDescent="0.2">
      <c r="A54" s="98" t="s">
        <v>91</v>
      </c>
      <c r="J54" s="64"/>
    </row>
    <row r="55" spans="1:10" ht="13.5" customHeight="1" x14ac:dyDescent="0.2">
      <c r="A55" s="98" t="s">
        <v>92</v>
      </c>
      <c r="J55" s="64"/>
    </row>
    <row r="56" spans="1:10" x14ac:dyDescent="0.2">
      <c r="A56" s="98"/>
      <c r="J56" s="64"/>
    </row>
    <row r="57" spans="1:10" x14ac:dyDescent="0.2">
      <c r="A57" s="98"/>
      <c r="J57" s="64"/>
    </row>
    <row r="58" spans="1:10" x14ac:dyDescent="0.2">
      <c r="A58" s="465" t="s">
        <v>93</v>
      </c>
      <c r="B58" s="465"/>
      <c r="C58" s="465"/>
      <c r="D58" s="465"/>
      <c r="E58" s="465"/>
      <c r="F58" s="465"/>
      <c r="G58" s="465"/>
      <c r="H58" s="99" t="s">
        <v>94</v>
      </c>
      <c r="I58" s="99"/>
      <c r="J58" s="100" t="e">
        <f>D2</f>
        <v>#REF!</v>
      </c>
    </row>
    <row r="59" spans="1:10" x14ac:dyDescent="0.2">
      <c r="A59" s="101"/>
      <c r="B59" s="102"/>
      <c r="C59" s="102"/>
      <c r="D59" s="102"/>
      <c r="E59" s="102"/>
      <c r="F59" s="102"/>
      <c r="G59" s="102"/>
      <c r="H59" s="103" t="s">
        <v>95</v>
      </c>
      <c r="I59" s="103"/>
      <c r="J59" s="104" t="e">
        <f>B8</f>
        <v>#REF!</v>
      </c>
    </row>
  </sheetData>
  <mergeCells count="48">
    <mergeCell ref="A41:B41"/>
    <mergeCell ref="C41:F41"/>
    <mergeCell ref="A52:C52"/>
    <mergeCell ref="A58:G58"/>
    <mergeCell ref="A38:B38"/>
    <mergeCell ref="C38:F38"/>
    <mergeCell ref="A39:B39"/>
    <mergeCell ref="C39:F39"/>
    <mergeCell ref="A40:B40"/>
    <mergeCell ref="C40:F40"/>
    <mergeCell ref="A35:B35"/>
    <mergeCell ref="C35:F35"/>
    <mergeCell ref="A36:B36"/>
    <mergeCell ref="C36:F36"/>
    <mergeCell ref="A37:B37"/>
    <mergeCell ref="C37:F37"/>
    <mergeCell ref="A32:B32"/>
    <mergeCell ref="C32:F32"/>
    <mergeCell ref="A33:B33"/>
    <mergeCell ref="C33:F33"/>
    <mergeCell ref="A34:B34"/>
    <mergeCell ref="C34:F34"/>
    <mergeCell ref="A29:B29"/>
    <mergeCell ref="C29:E29"/>
    <mergeCell ref="A30:B30"/>
    <mergeCell ref="C30:F30"/>
    <mergeCell ref="A31:B31"/>
    <mergeCell ref="C31:F31"/>
    <mergeCell ref="A21:J21"/>
    <mergeCell ref="A22:J22"/>
    <mergeCell ref="A23:J23"/>
    <mergeCell ref="A24:J24"/>
    <mergeCell ref="A25:J25"/>
    <mergeCell ref="A16:J16"/>
    <mergeCell ref="A17:J17"/>
    <mergeCell ref="A18:J18"/>
    <mergeCell ref="A19:J19"/>
    <mergeCell ref="A20:J20"/>
    <mergeCell ref="A11:J11"/>
    <mergeCell ref="A12:J12"/>
    <mergeCell ref="A13:J13"/>
    <mergeCell ref="A14:J14"/>
    <mergeCell ref="A15:J15"/>
    <mergeCell ref="D2:E2"/>
    <mergeCell ref="D4:E4"/>
    <mergeCell ref="C6:E6"/>
    <mergeCell ref="B8:E8"/>
    <mergeCell ref="C10:J10"/>
  </mergeCells>
  <conditionalFormatting sqref="A30:H41">
    <cfRule type="cellIs" dxfId="89" priority="3" operator="equal">
      <formula>0</formula>
    </cfRule>
  </conditionalFormatting>
  <conditionalFormatting sqref="A11:J24">
    <cfRule type="cellIs" dxfId="88" priority="2" operator="equal">
      <formula>0</formula>
    </cfRule>
  </conditionalFormatting>
  <pageMargins left="0" right="0" top="0" bottom="0" header="0.51180555555555496" footer="0.51180555555555496"/>
  <pageSetup firstPageNumber="0" orientation="portrait" horizontalDpi="300" verticalDpi="300"/>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K59"/>
  <sheetViews>
    <sheetView zoomScale="95" zoomScaleNormal="95" workbookViewId="0">
      <selection activeCell="I32" sqref="I32"/>
    </sheetView>
  </sheetViews>
  <sheetFormatPr defaultRowHeight="12.75" x14ac:dyDescent="0.2"/>
  <cols>
    <col min="1" max="1" width="9.140625" style="57" customWidth="1"/>
    <col min="2" max="2" width="6.5703125" style="57" customWidth="1"/>
    <col min="3" max="4" width="9.140625" style="57" customWidth="1"/>
    <col min="5" max="5" width="18" style="57" customWidth="1"/>
    <col min="6" max="7" width="9.140625" style="57" customWidth="1"/>
    <col min="8" max="8" width="8.7109375" style="57" customWidth="1"/>
    <col min="9" max="9" width="10.42578125" style="57" customWidth="1"/>
    <col min="10" max="10" width="10.7109375" style="57" customWidth="1"/>
    <col min="11" max="257" width="9.140625" style="51" customWidth="1"/>
    <col min="258" max="258" width="6.5703125" style="51" customWidth="1"/>
    <col min="259" max="260" width="9.140625" style="51" customWidth="1"/>
    <col min="261" max="261" width="18" style="51" customWidth="1"/>
    <col min="262" max="263" width="9.140625" style="51" customWidth="1"/>
    <col min="264" max="264" width="8.7109375" style="51" customWidth="1"/>
    <col min="265" max="265" width="10.42578125" style="51" customWidth="1"/>
    <col min="266" max="513" width="9.140625" style="51" customWidth="1"/>
    <col min="514" max="514" width="6.5703125" style="51" customWidth="1"/>
    <col min="515" max="516" width="9.140625" style="51" customWidth="1"/>
    <col min="517" max="517" width="18" style="51" customWidth="1"/>
    <col min="518" max="519" width="9.140625" style="51" customWidth="1"/>
    <col min="520" max="520" width="8.7109375" style="51" customWidth="1"/>
    <col min="521" max="521" width="10.42578125" style="51" customWidth="1"/>
    <col min="522" max="769" width="9.140625" style="51" customWidth="1"/>
    <col min="770" max="770" width="6.5703125" style="51" customWidth="1"/>
    <col min="771" max="772" width="9.140625" style="51" customWidth="1"/>
    <col min="773" max="773" width="18" style="51" customWidth="1"/>
    <col min="774" max="775" width="9.140625" style="51" customWidth="1"/>
    <col min="776" max="776" width="8.7109375" style="51" customWidth="1"/>
    <col min="777" max="777" width="10.42578125" style="51" customWidth="1"/>
    <col min="778" max="1025" width="9.140625" style="51" customWidth="1"/>
  </cols>
  <sheetData>
    <row r="1" spans="1:10" x14ac:dyDescent="0.2">
      <c r="A1" s="58"/>
      <c r="B1" s="59"/>
      <c r="C1" s="59"/>
      <c r="D1" s="59"/>
      <c r="E1" s="59"/>
      <c r="F1" s="60"/>
      <c r="G1" s="60"/>
      <c r="H1" s="60"/>
      <c r="I1" s="60"/>
      <c r="J1" s="61"/>
    </row>
    <row r="2" spans="1:10" ht="21" x14ac:dyDescent="0.35">
      <c r="A2" s="62" t="s">
        <v>71</v>
      </c>
      <c r="B2" s="63"/>
      <c r="C2" s="63"/>
      <c r="D2" s="449" t="e">
        <f>'UK Sterling service quote'!D2</f>
        <v>#REF!</v>
      </c>
      <c r="E2" s="449"/>
      <c r="J2" s="64"/>
    </row>
    <row r="3" spans="1:10" x14ac:dyDescent="0.2">
      <c r="A3" s="65"/>
      <c r="B3" s="66"/>
      <c r="C3" s="66"/>
      <c r="D3" s="66"/>
      <c r="E3" s="66"/>
      <c r="J3" s="64"/>
    </row>
    <row r="4" spans="1:10" ht="18.75" x14ac:dyDescent="0.3">
      <c r="A4" s="67" t="s">
        <v>72</v>
      </c>
      <c r="B4" s="63"/>
      <c r="C4" s="63"/>
      <c r="D4" s="449" t="e">
        <f>'UK Sterling service quote'!D4</f>
        <v>#REF!</v>
      </c>
      <c r="E4" s="449"/>
      <c r="J4" s="64"/>
    </row>
    <row r="5" spans="1:10" ht="12.75" customHeight="1" x14ac:dyDescent="0.25">
      <c r="A5" s="68"/>
      <c r="B5" s="66"/>
      <c r="C5" s="66"/>
      <c r="D5" s="66"/>
      <c r="E5" s="66"/>
      <c r="J5" s="64"/>
    </row>
    <row r="6" spans="1:10" ht="18.75" customHeight="1" x14ac:dyDescent="0.3">
      <c r="A6" s="67" t="s">
        <v>73</v>
      </c>
      <c r="B6" s="63"/>
      <c r="C6" s="450" t="e">
        <f>'UK Sterling service quote'!C6</f>
        <v>#REF!</v>
      </c>
      <c r="D6" s="450"/>
      <c r="E6" s="450"/>
      <c r="F6" s="69"/>
      <c r="G6" s="69"/>
      <c r="H6" s="69"/>
      <c r="I6" s="69"/>
      <c r="J6" s="70"/>
    </row>
    <row r="7" spans="1:10" ht="12.75" customHeight="1" x14ac:dyDescent="0.3">
      <c r="A7" s="71"/>
      <c r="B7" s="72"/>
      <c r="C7" s="73"/>
      <c r="D7" s="73"/>
      <c r="E7" s="73"/>
      <c r="F7" s="69"/>
      <c r="G7" s="69"/>
      <c r="H7" s="69"/>
      <c r="I7" s="69"/>
      <c r="J7" s="70"/>
    </row>
    <row r="8" spans="1:10" ht="18.75" customHeight="1" x14ac:dyDescent="0.3">
      <c r="A8" s="67" t="s">
        <v>74</v>
      </c>
      <c r="B8" s="451" t="e">
        <f>'UK Sterling service quote'!B8</f>
        <v>#REF!</v>
      </c>
      <c r="C8" s="451"/>
      <c r="D8" s="451"/>
      <c r="E8" s="451"/>
      <c r="F8" s="69"/>
      <c r="G8" s="69"/>
      <c r="H8" s="69"/>
      <c r="I8" s="69"/>
      <c r="J8" s="70"/>
    </row>
    <row r="9" spans="1:10" x14ac:dyDescent="0.2">
      <c r="A9" s="65"/>
      <c r="B9" s="66"/>
      <c r="C9" s="66"/>
      <c r="D9" s="66"/>
      <c r="E9" s="66"/>
      <c r="F9" s="66"/>
      <c r="G9" s="66"/>
      <c r="H9" s="66"/>
      <c r="I9" s="66"/>
      <c r="J9" s="75"/>
    </row>
    <row r="10" spans="1:10" ht="15.75" x14ac:dyDescent="0.25">
      <c r="A10" s="76" t="s">
        <v>75</v>
      </c>
      <c r="B10" s="77"/>
      <c r="C10" s="452"/>
      <c r="D10" s="452"/>
      <c r="E10" s="452"/>
      <c r="F10" s="452"/>
      <c r="G10" s="452"/>
      <c r="H10" s="452"/>
      <c r="I10" s="452"/>
      <c r="J10" s="452"/>
    </row>
    <row r="11" spans="1:10" x14ac:dyDescent="0.2">
      <c r="A11" s="454">
        <f>'UK Sterling service quote'!A12</f>
        <v>0</v>
      </c>
      <c r="B11" s="454"/>
      <c r="C11" s="454"/>
      <c r="D11" s="454"/>
      <c r="E11" s="454"/>
      <c r="F11" s="454"/>
      <c r="G11" s="454"/>
      <c r="H11" s="454"/>
      <c r="I11" s="454"/>
      <c r="J11" s="454"/>
    </row>
    <row r="12" spans="1:10" x14ac:dyDescent="0.2">
      <c r="A12" s="454">
        <f>'UK Sterling service quote'!A13</f>
        <v>0</v>
      </c>
      <c r="B12" s="454"/>
      <c r="C12" s="454"/>
      <c r="D12" s="454"/>
      <c r="E12" s="454"/>
      <c r="F12" s="454"/>
      <c r="G12" s="454"/>
      <c r="H12" s="454"/>
      <c r="I12" s="454"/>
      <c r="J12" s="454"/>
    </row>
    <row r="13" spans="1:10" x14ac:dyDescent="0.2">
      <c r="A13" s="454">
        <f>'UK Sterling service quote'!A14</f>
        <v>0</v>
      </c>
      <c r="B13" s="454"/>
      <c r="C13" s="454"/>
      <c r="D13" s="454"/>
      <c r="E13" s="454"/>
      <c r="F13" s="454"/>
      <c r="G13" s="454"/>
      <c r="H13" s="454"/>
      <c r="I13" s="454"/>
      <c r="J13" s="454"/>
    </row>
    <row r="14" spans="1:10" x14ac:dyDescent="0.2">
      <c r="A14" s="454">
        <f>'UK Sterling service quote'!A15</f>
        <v>0</v>
      </c>
      <c r="B14" s="454"/>
      <c r="C14" s="454"/>
      <c r="D14" s="454"/>
      <c r="E14" s="454"/>
      <c r="F14" s="454"/>
      <c r="G14" s="454"/>
      <c r="H14" s="454"/>
      <c r="I14" s="454"/>
      <c r="J14" s="454"/>
    </row>
    <row r="15" spans="1:10" x14ac:dyDescent="0.2">
      <c r="A15" s="454">
        <f>'UK Sterling service quote'!A16</f>
        <v>0</v>
      </c>
      <c r="B15" s="454"/>
      <c r="C15" s="454"/>
      <c r="D15" s="454"/>
      <c r="E15" s="454"/>
      <c r="F15" s="454"/>
      <c r="G15" s="454"/>
      <c r="H15" s="454"/>
      <c r="I15" s="454"/>
      <c r="J15" s="454"/>
    </row>
    <row r="16" spans="1:10" x14ac:dyDescent="0.2">
      <c r="A16" s="454" t="str">
        <f>'UK Sterling service quote'!A11</f>
        <v>Fault Found</v>
      </c>
      <c r="B16" s="454"/>
      <c r="C16" s="454"/>
      <c r="D16" s="454"/>
      <c r="E16" s="454"/>
      <c r="F16" s="454"/>
      <c r="G16" s="454"/>
      <c r="H16" s="454"/>
      <c r="I16" s="454"/>
      <c r="J16" s="454"/>
    </row>
    <row r="17" spans="1:10" x14ac:dyDescent="0.2">
      <c r="A17" s="454" t="str">
        <f>'UK Sterling service quote'!A18</f>
        <v>Work Done</v>
      </c>
      <c r="B17" s="454"/>
      <c r="C17" s="454"/>
      <c r="D17" s="454"/>
      <c r="E17" s="454"/>
      <c r="F17" s="454"/>
      <c r="G17" s="454"/>
      <c r="H17" s="454"/>
      <c r="I17" s="454"/>
      <c r="J17" s="454"/>
    </row>
    <row r="18" spans="1:10" x14ac:dyDescent="0.2">
      <c r="A18" s="454">
        <f>'UK Sterling service quote'!A19</f>
        <v>0</v>
      </c>
      <c r="B18" s="454"/>
      <c r="C18" s="454"/>
      <c r="D18" s="454"/>
      <c r="E18" s="454"/>
      <c r="F18" s="454"/>
      <c r="G18" s="454"/>
      <c r="H18" s="454"/>
      <c r="I18" s="454"/>
      <c r="J18" s="454"/>
    </row>
    <row r="19" spans="1:10" x14ac:dyDescent="0.2">
      <c r="A19" s="454">
        <f>'UK Sterling service quote'!A20</f>
        <v>0</v>
      </c>
      <c r="B19" s="454"/>
      <c r="C19" s="454"/>
      <c r="D19" s="454"/>
      <c r="E19" s="454"/>
      <c r="F19" s="454"/>
      <c r="G19" s="454"/>
      <c r="H19" s="454"/>
      <c r="I19" s="454"/>
      <c r="J19" s="454"/>
    </row>
    <row r="20" spans="1:10" x14ac:dyDescent="0.2">
      <c r="A20" s="454">
        <f>'UK Sterling service quote'!A21</f>
        <v>0</v>
      </c>
      <c r="B20" s="454"/>
      <c r="C20" s="454"/>
      <c r="D20" s="454"/>
      <c r="E20" s="454"/>
      <c r="F20" s="454"/>
      <c r="G20" s="454"/>
      <c r="H20" s="454"/>
      <c r="I20" s="454"/>
      <c r="J20" s="454"/>
    </row>
    <row r="21" spans="1:10" x14ac:dyDescent="0.2">
      <c r="A21" s="454">
        <f>'UK Sterling service quote'!A22</f>
        <v>0</v>
      </c>
      <c r="B21" s="454"/>
      <c r="C21" s="454"/>
      <c r="D21" s="454"/>
      <c r="E21" s="454"/>
      <c r="F21" s="454"/>
      <c r="G21" s="454"/>
      <c r="H21" s="454"/>
      <c r="I21" s="454"/>
      <c r="J21" s="454"/>
    </row>
    <row r="22" spans="1:10" x14ac:dyDescent="0.2">
      <c r="A22" s="454">
        <f>'UK Sterling service quote'!A23</f>
        <v>0</v>
      </c>
      <c r="B22" s="454"/>
      <c r="C22" s="454"/>
      <c r="D22" s="454"/>
      <c r="E22" s="454"/>
      <c r="F22" s="454"/>
      <c r="G22" s="454"/>
      <c r="H22" s="454"/>
      <c r="I22" s="454"/>
      <c r="J22" s="454"/>
    </row>
    <row r="23" spans="1:10" x14ac:dyDescent="0.2">
      <c r="A23" s="454">
        <f>'UK Sterling service quote'!A24</f>
        <v>0</v>
      </c>
      <c r="B23" s="454"/>
      <c r="C23" s="454"/>
      <c r="D23" s="454"/>
      <c r="E23" s="454"/>
      <c r="F23" s="454"/>
      <c r="G23" s="454"/>
      <c r="H23" s="454"/>
      <c r="I23" s="454"/>
      <c r="J23" s="454"/>
    </row>
    <row r="24" spans="1:10" x14ac:dyDescent="0.2">
      <c r="A24" s="454">
        <f>'UK Sterling service quote'!A17</f>
        <v>0</v>
      </c>
      <c r="B24" s="454"/>
      <c r="C24" s="454"/>
      <c r="D24" s="454"/>
      <c r="E24" s="454"/>
      <c r="F24" s="454"/>
      <c r="G24" s="454"/>
      <c r="H24" s="454"/>
      <c r="I24" s="454"/>
      <c r="J24" s="454"/>
    </row>
    <row r="25" spans="1:10" x14ac:dyDescent="0.2">
      <c r="A25" s="455"/>
      <c r="B25" s="455"/>
      <c r="C25" s="455"/>
      <c r="D25" s="455"/>
      <c r="E25" s="455"/>
      <c r="F25" s="455"/>
      <c r="G25" s="455"/>
      <c r="H25" s="455"/>
      <c r="I25" s="455"/>
      <c r="J25" s="455"/>
    </row>
    <row r="26" spans="1:10" x14ac:dyDescent="0.2">
      <c r="A26" s="65"/>
      <c r="B26" s="66"/>
      <c r="C26" s="66"/>
      <c r="D26" s="66"/>
      <c r="E26" s="66"/>
      <c r="F26" s="66"/>
      <c r="G26" s="66"/>
      <c r="H26" s="66"/>
      <c r="I26" s="66"/>
      <c r="J26" s="75"/>
    </row>
    <row r="27" spans="1:10" ht="15.75" x14ac:dyDescent="0.25">
      <c r="A27" s="78" t="s">
        <v>78</v>
      </c>
      <c r="B27" s="79"/>
      <c r="C27" s="66"/>
      <c r="D27" s="80" t="s">
        <v>79</v>
      </c>
      <c r="E27" s="66"/>
      <c r="F27" s="66"/>
      <c r="G27" s="66"/>
      <c r="H27" s="66"/>
      <c r="I27" s="66"/>
      <c r="J27" s="75"/>
    </row>
    <row r="28" spans="1:10" ht="5.25" customHeight="1" x14ac:dyDescent="0.2">
      <c r="A28" s="65"/>
      <c r="B28" s="66"/>
      <c r="C28" s="66"/>
      <c r="D28" s="66"/>
      <c r="E28" s="66"/>
      <c r="F28" s="66"/>
      <c r="G28" s="66"/>
      <c r="H28" s="66"/>
      <c r="I28" s="66"/>
      <c r="J28" s="75"/>
    </row>
    <row r="29" spans="1:10" x14ac:dyDescent="0.2">
      <c r="A29" s="456" t="s">
        <v>80</v>
      </c>
      <c r="B29" s="456"/>
      <c r="C29" s="457" t="s">
        <v>81</v>
      </c>
      <c r="D29" s="457"/>
      <c r="E29" s="457"/>
      <c r="F29" s="82" t="s">
        <v>82</v>
      </c>
      <c r="G29" s="466" t="s">
        <v>83</v>
      </c>
      <c r="H29" s="466"/>
      <c r="I29" s="82" t="s">
        <v>84</v>
      </c>
      <c r="J29" s="83" t="s">
        <v>85</v>
      </c>
    </row>
    <row r="30" spans="1:10" x14ac:dyDescent="0.2">
      <c r="A30" s="458">
        <f>'UK Sterling service quote'!A30</f>
        <v>15.005000000000001</v>
      </c>
      <c r="B30" s="458"/>
      <c r="C30" s="459" t="str">
        <f>'UK Sterling service quote'!C30</f>
        <v>ICM Recalibration</v>
      </c>
      <c r="D30" s="459"/>
      <c r="E30" s="459"/>
      <c r="F30" s="84">
        <f>'UK Sterling service quote'!G30</f>
        <v>1</v>
      </c>
      <c r="G30" s="467">
        <f>'UK Sterling service quote'!H30</f>
        <v>178</v>
      </c>
      <c r="H30" s="467"/>
      <c r="I30" s="84"/>
      <c r="J30" s="86">
        <f t="shared" ref="J30:J41" si="0">(F30*G30)*((100-I30)/100)</f>
        <v>178</v>
      </c>
    </row>
    <row r="31" spans="1:10" x14ac:dyDescent="0.2">
      <c r="A31" s="460">
        <f>'UK Sterling service quote'!A31</f>
        <v>0</v>
      </c>
      <c r="B31" s="460"/>
      <c r="C31" s="461">
        <f>'UK Sterling service quote'!C31</f>
        <v>0</v>
      </c>
      <c r="D31" s="461"/>
      <c r="E31" s="461"/>
      <c r="F31" s="87">
        <f>'UK Sterling service quote'!G31</f>
        <v>0</v>
      </c>
      <c r="G31" s="468">
        <f>'UK Sterling service quote'!H31</f>
        <v>0</v>
      </c>
      <c r="H31" s="468"/>
      <c r="I31" s="105"/>
      <c r="J31" s="89">
        <f t="shared" si="0"/>
        <v>0</v>
      </c>
    </row>
    <row r="32" spans="1:10" x14ac:dyDescent="0.2">
      <c r="A32" s="460">
        <f>'UK Sterling service quote'!A32</f>
        <v>0</v>
      </c>
      <c r="B32" s="460"/>
      <c r="C32" s="461">
        <f>'UK Sterling service quote'!C32</f>
        <v>0</v>
      </c>
      <c r="D32" s="461"/>
      <c r="E32" s="461"/>
      <c r="F32" s="87">
        <f>'UK Sterling service quote'!G32</f>
        <v>0</v>
      </c>
      <c r="G32" s="468">
        <f>'UK Sterling service quote'!H32</f>
        <v>0</v>
      </c>
      <c r="H32" s="468"/>
      <c r="I32" s="105"/>
      <c r="J32" s="89">
        <f t="shared" si="0"/>
        <v>0</v>
      </c>
    </row>
    <row r="33" spans="1:10" x14ac:dyDescent="0.2">
      <c r="A33" s="460">
        <f>'UK Sterling service quote'!A33</f>
        <v>0</v>
      </c>
      <c r="B33" s="460"/>
      <c r="C33" s="461">
        <f>'UK Sterling service quote'!C33</f>
        <v>0</v>
      </c>
      <c r="D33" s="461"/>
      <c r="E33" s="461"/>
      <c r="F33" s="87">
        <f>'UK Sterling service quote'!G33</f>
        <v>0</v>
      </c>
      <c r="G33" s="468">
        <f>'UK Sterling service quote'!H33</f>
        <v>0</v>
      </c>
      <c r="H33" s="468"/>
      <c r="I33" s="105"/>
      <c r="J33" s="89">
        <f t="shared" si="0"/>
        <v>0</v>
      </c>
    </row>
    <row r="34" spans="1:10" x14ac:dyDescent="0.2">
      <c r="A34" s="460">
        <f>'UK Sterling service quote'!A34</f>
        <v>0</v>
      </c>
      <c r="B34" s="460"/>
      <c r="C34" s="461">
        <f>'UK Sterling service quote'!C34</f>
        <v>0</v>
      </c>
      <c r="D34" s="461"/>
      <c r="E34" s="461"/>
      <c r="F34" s="87">
        <f>'UK Sterling service quote'!G34</f>
        <v>0</v>
      </c>
      <c r="G34" s="468">
        <f>'UK Sterling service quote'!H34</f>
        <v>0</v>
      </c>
      <c r="H34" s="468"/>
      <c r="I34" s="105"/>
      <c r="J34" s="89">
        <f t="shared" si="0"/>
        <v>0</v>
      </c>
    </row>
    <row r="35" spans="1:10" x14ac:dyDescent="0.2">
      <c r="A35" s="460"/>
      <c r="B35" s="460"/>
      <c r="C35" s="461">
        <f>'UK Sterling service quote'!C35</f>
        <v>0</v>
      </c>
      <c r="D35" s="461"/>
      <c r="E35" s="461"/>
      <c r="F35" s="87">
        <f>'UK Sterling service quote'!G35</f>
        <v>0</v>
      </c>
      <c r="G35" s="468">
        <f>'UK Sterling service quote'!H35</f>
        <v>0</v>
      </c>
      <c r="H35" s="468"/>
      <c r="I35" s="105"/>
      <c r="J35" s="89">
        <f t="shared" si="0"/>
        <v>0</v>
      </c>
    </row>
    <row r="36" spans="1:10" x14ac:dyDescent="0.2">
      <c r="A36" s="460"/>
      <c r="B36" s="460"/>
      <c r="C36" s="461"/>
      <c r="D36" s="461"/>
      <c r="E36" s="461"/>
      <c r="F36" s="87"/>
      <c r="G36" s="468"/>
      <c r="H36" s="468"/>
      <c r="I36" s="105"/>
      <c r="J36" s="89">
        <f t="shared" si="0"/>
        <v>0</v>
      </c>
    </row>
    <row r="37" spans="1:10" x14ac:dyDescent="0.2">
      <c r="A37" s="460"/>
      <c r="B37" s="460"/>
      <c r="C37" s="461"/>
      <c r="D37" s="461"/>
      <c r="E37" s="461"/>
      <c r="F37" s="87"/>
      <c r="G37" s="468"/>
      <c r="H37" s="468"/>
      <c r="I37" s="105"/>
      <c r="J37" s="89">
        <f t="shared" si="0"/>
        <v>0</v>
      </c>
    </row>
    <row r="38" spans="1:10" x14ac:dyDescent="0.2">
      <c r="A38" s="460"/>
      <c r="B38" s="460"/>
      <c r="C38" s="461"/>
      <c r="D38" s="461"/>
      <c r="E38" s="461"/>
      <c r="F38" s="87"/>
      <c r="G38" s="468"/>
      <c r="H38" s="468"/>
      <c r="I38" s="105"/>
      <c r="J38" s="89">
        <f t="shared" si="0"/>
        <v>0</v>
      </c>
    </row>
    <row r="39" spans="1:10" x14ac:dyDescent="0.2">
      <c r="A39" s="460"/>
      <c r="B39" s="460"/>
      <c r="C39" s="461"/>
      <c r="D39" s="461"/>
      <c r="E39" s="461"/>
      <c r="F39" s="87"/>
      <c r="G39" s="468"/>
      <c r="H39" s="468"/>
      <c r="I39" s="105"/>
      <c r="J39" s="89">
        <f t="shared" si="0"/>
        <v>0</v>
      </c>
    </row>
    <row r="40" spans="1:10" x14ac:dyDescent="0.2">
      <c r="A40" s="460"/>
      <c r="B40" s="460"/>
      <c r="C40" s="461"/>
      <c r="D40" s="461"/>
      <c r="E40" s="461"/>
      <c r="F40" s="90"/>
      <c r="G40" s="469"/>
      <c r="H40" s="469"/>
      <c r="I40" s="105"/>
      <c r="J40" s="89">
        <f t="shared" si="0"/>
        <v>0</v>
      </c>
    </row>
    <row r="41" spans="1:10" x14ac:dyDescent="0.2">
      <c r="A41" s="462"/>
      <c r="B41" s="462"/>
      <c r="C41" s="463"/>
      <c r="D41" s="463"/>
      <c r="E41" s="463"/>
      <c r="F41" s="91"/>
      <c r="G41" s="470"/>
      <c r="H41" s="470"/>
      <c r="I41" s="106"/>
      <c r="J41" s="92">
        <f t="shared" si="0"/>
        <v>0</v>
      </c>
    </row>
    <row r="42" spans="1:10" x14ac:dyDescent="0.2">
      <c r="A42" s="65"/>
      <c r="B42" s="66"/>
      <c r="C42" s="66"/>
      <c r="D42" s="66"/>
      <c r="E42" s="66"/>
      <c r="F42" s="66"/>
      <c r="G42" s="66"/>
      <c r="H42" s="66"/>
      <c r="I42" s="93" t="s">
        <v>86</v>
      </c>
      <c r="J42" s="94">
        <f>SUM(J30:J41)</f>
        <v>178</v>
      </c>
    </row>
    <row r="43" spans="1:10" ht="12" customHeight="1" x14ac:dyDescent="0.2">
      <c r="A43" s="65"/>
      <c r="B43" s="66"/>
      <c r="C43" s="66"/>
      <c r="D43" s="66"/>
      <c r="E43" s="66"/>
      <c r="F43" s="66"/>
      <c r="G43" s="66"/>
      <c r="H43" s="66"/>
      <c r="I43" s="66"/>
      <c r="J43" s="75"/>
    </row>
    <row r="44" spans="1:10" ht="12" customHeight="1" x14ac:dyDescent="0.2">
      <c r="A44" s="65"/>
      <c r="B44" s="66"/>
      <c r="C44" s="66"/>
      <c r="D44" s="66"/>
      <c r="E44" s="66"/>
      <c r="F44" s="66"/>
      <c r="G44" s="66"/>
      <c r="H44" s="66"/>
      <c r="I44" s="66"/>
      <c r="J44" s="75"/>
    </row>
    <row r="45" spans="1:10" ht="12" customHeight="1" x14ac:dyDescent="0.2">
      <c r="A45" s="65"/>
      <c r="B45" s="66"/>
      <c r="C45" s="66"/>
      <c r="D45" s="66"/>
      <c r="E45" s="66"/>
      <c r="F45" s="66"/>
      <c r="G45" s="66"/>
      <c r="H45" s="66"/>
      <c r="I45" s="66"/>
      <c r="J45" s="75"/>
    </row>
    <row r="46" spans="1:10" x14ac:dyDescent="0.2">
      <c r="A46" s="65"/>
      <c r="B46" s="66"/>
      <c r="C46" s="66"/>
      <c r="D46" s="66"/>
      <c r="E46" s="66"/>
      <c r="F46" s="66"/>
      <c r="G46" s="66"/>
      <c r="H46" s="66"/>
      <c r="I46" s="66"/>
      <c r="J46" s="75"/>
    </row>
    <row r="47" spans="1:10" x14ac:dyDescent="0.2">
      <c r="A47" s="65"/>
      <c r="B47" s="66"/>
      <c r="C47" s="66"/>
      <c r="D47" s="66"/>
      <c r="E47" s="66"/>
      <c r="F47" s="66"/>
      <c r="G47" s="66"/>
      <c r="H47" s="66"/>
      <c r="I47" s="66"/>
      <c r="J47" s="75"/>
    </row>
    <row r="48" spans="1:10" x14ac:dyDescent="0.2">
      <c r="A48" s="65"/>
      <c r="B48" s="66"/>
      <c r="C48" s="66"/>
      <c r="D48" s="66"/>
      <c r="E48" s="66"/>
      <c r="F48" s="66"/>
      <c r="G48" s="66"/>
      <c r="H48" s="66"/>
      <c r="I48" s="66"/>
      <c r="J48" s="75"/>
    </row>
    <row r="49" spans="1:10" x14ac:dyDescent="0.2">
      <c r="A49" s="65"/>
      <c r="B49" s="66"/>
      <c r="C49" s="66"/>
      <c r="D49" s="66"/>
      <c r="E49" s="66"/>
      <c r="F49" s="66"/>
      <c r="G49" s="66"/>
      <c r="H49" s="66"/>
      <c r="I49" s="66"/>
      <c r="J49" s="75"/>
    </row>
    <row r="50" spans="1:10" x14ac:dyDescent="0.2">
      <c r="A50" s="65"/>
      <c r="B50" s="66"/>
      <c r="C50" s="66"/>
      <c r="D50" s="66"/>
      <c r="E50" s="66"/>
      <c r="F50" s="66"/>
      <c r="G50" s="66"/>
      <c r="H50" s="66"/>
      <c r="I50" s="66"/>
      <c r="J50" s="75"/>
    </row>
    <row r="51" spans="1:10" x14ac:dyDescent="0.2">
      <c r="A51" s="65"/>
      <c r="B51" s="66"/>
      <c r="C51" s="66"/>
      <c r="D51" s="66"/>
      <c r="E51" s="66"/>
      <c r="F51" s="66"/>
      <c r="G51" s="66"/>
      <c r="H51" s="66"/>
      <c r="I51" s="66"/>
      <c r="J51" s="75"/>
    </row>
    <row r="52" spans="1:10" ht="15.75" x14ac:dyDescent="0.25">
      <c r="A52" s="464" t="s">
        <v>89</v>
      </c>
      <c r="B52" s="464"/>
      <c r="C52" s="464"/>
      <c r="D52" s="95" t="s">
        <v>90</v>
      </c>
      <c r="E52" s="96"/>
      <c r="F52" s="96"/>
      <c r="G52" s="96"/>
      <c r="H52" s="96"/>
      <c r="I52" s="96"/>
      <c r="J52" s="97"/>
    </row>
    <row r="53" spans="1:10" x14ac:dyDescent="0.2">
      <c r="A53" s="98"/>
      <c r="J53" s="64"/>
    </row>
    <row r="54" spans="1:10" x14ac:dyDescent="0.2">
      <c r="A54" s="98"/>
      <c r="J54" s="64"/>
    </row>
    <row r="55" spans="1:10" ht="13.5" customHeight="1" x14ac:dyDescent="0.2">
      <c r="A55" s="98" t="s">
        <v>92</v>
      </c>
      <c r="J55" s="64"/>
    </row>
    <row r="56" spans="1:10" x14ac:dyDescent="0.2">
      <c r="A56" s="98"/>
      <c r="J56" s="64"/>
    </row>
    <row r="57" spans="1:10" x14ac:dyDescent="0.2">
      <c r="A57" s="98"/>
      <c r="J57" s="64"/>
    </row>
    <row r="58" spans="1:10" x14ac:dyDescent="0.2">
      <c r="A58" s="465" t="s">
        <v>93</v>
      </c>
      <c r="B58" s="465"/>
      <c r="C58" s="465"/>
      <c r="D58" s="465"/>
      <c r="E58" s="465"/>
      <c r="F58" s="465"/>
      <c r="H58" s="99" t="s">
        <v>94</v>
      </c>
      <c r="J58" s="100" t="e">
        <f>D2</f>
        <v>#REF!</v>
      </c>
    </row>
    <row r="59" spans="1:10" x14ac:dyDescent="0.2">
      <c r="A59" s="101"/>
      <c r="B59" s="102"/>
      <c r="C59" s="102"/>
      <c r="D59" s="102"/>
      <c r="E59" s="102"/>
      <c r="F59" s="102"/>
      <c r="G59" s="102"/>
      <c r="H59" s="103" t="s">
        <v>95</v>
      </c>
      <c r="I59" s="102"/>
      <c r="J59" s="104" t="e">
        <f>B8</f>
        <v>#REF!</v>
      </c>
    </row>
  </sheetData>
  <mergeCells count="61">
    <mergeCell ref="A41:B41"/>
    <mergeCell ref="C41:E41"/>
    <mergeCell ref="G41:H41"/>
    <mergeCell ref="A52:C52"/>
    <mergeCell ref="A58:F58"/>
    <mergeCell ref="A39:B39"/>
    <mergeCell ref="C39:E39"/>
    <mergeCell ref="G39:H39"/>
    <mergeCell ref="A40:B40"/>
    <mergeCell ref="C40:E40"/>
    <mergeCell ref="G40:H40"/>
    <mergeCell ref="A37:B37"/>
    <mergeCell ref="C37:E37"/>
    <mergeCell ref="G37:H37"/>
    <mergeCell ref="A38:B38"/>
    <mergeCell ref="C38:E38"/>
    <mergeCell ref="G38:H38"/>
    <mergeCell ref="A35:B35"/>
    <mergeCell ref="C35:E35"/>
    <mergeCell ref="G35:H35"/>
    <mergeCell ref="A36:B36"/>
    <mergeCell ref="C36:E36"/>
    <mergeCell ref="G36:H36"/>
    <mergeCell ref="A33:B33"/>
    <mergeCell ref="C33:E33"/>
    <mergeCell ref="G33:H33"/>
    <mergeCell ref="A34:B34"/>
    <mergeCell ref="C34:E34"/>
    <mergeCell ref="G34:H34"/>
    <mergeCell ref="A31:B31"/>
    <mergeCell ref="C31:E31"/>
    <mergeCell ref="G31:H31"/>
    <mergeCell ref="A32:B32"/>
    <mergeCell ref="C32:E32"/>
    <mergeCell ref="G32:H32"/>
    <mergeCell ref="A29:B29"/>
    <mergeCell ref="C29:E29"/>
    <mergeCell ref="G29:H29"/>
    <mergeCell ref="A30:B30"/>
    <mergeCell ref="C30:E30"/>
    <mergeCell ref="G30:H30"/>
    <mergeCell ref="A21:J21"/>
    <mergeCell ref="A22:J22"/>
    <mergeCell ref="A23:J23"/>
    <mergeCell ref="A24:J24"/>
    <mergeCell ref="A25:J25"/>
    <mergeCell ref="A16:J16"/>
    <mergeCell ref="A17:J17"/>
    <mergeCell ref="A18:J18"/>
    <mergeCell ref="A19:J19"/>
    <mergeCell ref="A20:J20"/>
    <mergeCell ref="A11:J11"/>
    <mergeCell ref="A12:J12"/>
    <mergeCell ref="A13:J13"/>
    <mergeCell ref="A14:J14"/>
    <mergeCell ref="A15:J15"/>
    <mergeCell ref="D2:E2"/>
    <mergeCell ref="D4:E4"/>
    <mergeCell ref="C6:E6"/>
    <mergeCell ref="B8:E8"/>
    <mergeCell ref="C10:J10"/>
  </mergeCells>
  <conditionalFormatting sqref="A30:I41">
    <cfRule type="cellIs" dxfId="87" priority="3" operator="equal">
      <formula>0</formula>
    </cfRule>
  </conditionalFormatting>
  <conditionalFormatting sqref="A11:J24">
    <cfRule type="cellIs" dxfId="86" priority="2" operator="equal">
      <formula>0</formula>
    </cfRule>
  </conditionalFormatting>
  <pageMargins left="0" right="0" top="0" bottom="0" header="0.51180555555555496" footer="0.51180555555555496"/>
  <pageSetup firstPageNumber="0"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K59"/>
  <sheetViews>
    <sheetView zoomScale="95" zoomScaleNormal="95" workbookViewId="0">
      <selection activeCell="I32" sqref="I32"/>
    </sheetView>
  </sheetViews>
  <sheetFormatPr defaultRowHeight="12.75" x14ac:dyDescent="0.2"/>
  <cols>
    <col min="1" max="1" width="9.140625" style="57" customWidth="1"/>
    <col min="2" max="2" width="6.5703125" style="57" customWidth="1"/>
    <col min="3" max="4" width="9.140625" style="57" customWidth="1"/>
    <col min="5" max="5" width="18" style="57" customWidth="1"/>
    <col min="6" max="7" width="9.140625" style="57" customWidth="1"/>
    <col min="8" max="8" width="8.7109375" style="57" customWidth="1"/>
    <col min="9" max="9" width="10.42578125" style="57" customWidth="1"/>
    <col min="10" max="10" width="10.7109375" style="57" customWidth="1"/>
    <col min="11" max="257" width="9.140625" style="51" customWidth="1"/>
    <col min="258" max="258" width="6.5703125" style="51" customWidth="1"/>
    <col min="259" max="260" width="9.140625" style="51" customWidth="1"/>
    <col min="261" max="261" width="18" style="51" customWidth="1"/>
    <col min="262" max="263" width="9.140625" style="51" customWidth="1"/>
    <col min="264" max="264" width="8.7109375" style="51" customWidth="1"/>
    <col min="265" max="265" width="10.42578125" style="51" customWidth="1"/>
    <col min="266" max="513" width="9.140625" style="51" customWidth="1"/>
    <col min="514" max="514" width="6.5703125" style="51" customWidth="1"/>
    <col min="515" max="516" width="9.140625" style="51" customWidth="1"/>
    <col min="517" max="517" width="18" style="51" customWidth="1"/>
    <col min="518" max="519" width="9.140625" style="51" customWidth="1"/>
    <col min="520" max="520" width="8.7109375" style="51" customWidth="1"/>
    <col min="521" max="521" width="10.42578125" style="51" customWidth="1"/>
    <col min="522" max="769" width="9.140625" style="51" customWidth="1"/>
    <col min="770" max="770" width="6.5703125" style="51" customWidth="1"/>
    <col min="771" max="772" width="9.140625" style="51" customWidth="1"/>
    <col min="773" max="773" width="18" style="51" customWidth="1"/>
    <col min="774" max="775" width="9.140625" style="51" customWidth="1"/>
    <col min="776" max="776" width="8.7109375" style="51" customWidth="1"/>
    <col min="777" max="777" width="10.42578125" style="51" customWidth="1"/>
    <col min="778" max="1025" width="9.140625" style="51" customWidth="1"/>
  </cols>
  <sheetData>
    <row r="1" spans="1:10" x14ac:dyDescent="0.2">
      <c r="A1" s="58"/>
      <c r="B1" s="59"/>
      <c r="C1" s="59"/>
      <c r="D1" s="59"/>
      <c r="E1" s="59"/>
      <c r="F1" s="60"/>
      <c r="G1" s="60"/>
      <c r="H1" s="60"/>
      <c r="I1" s="60"/>
      <c r="J1" s="61"/>
    </row>
    <row r="2" spans="1:10" ht="21" x14ac:dyDescent="0.35">
      <c r="A2" s="62" t="s">
        <v>71</v>
      </c>
      <c r="B2" s="63"/>
      <c r="C2" s="63"/>
      <c r="D2" s="449" t="e">
        <f>'UK Sterling service quote'!D2</f>
        <v>#REF!</v>
      </c>
      <c r="E2" s="449"/>
      <c r="J2" s="64"/>
    </row>
    <row r="3" spans="1:10" x14ac:dyDescent="0.2">
      <c r="A3" s="65"/>
      <c r="B3" s="66"/>
      <c r="C3" s="66"/>
      <c r="D3" s="66"/>
      <c r="E3" s="66"/>
      <c r="J3" s="64"/>
    </row>
    <row r="4" spans="1:10" ht="18.75" x14ac:dyDescent="0.3">
      <c r="A4" s="67" t="s">
        <v>72</v>
      </c>
      <c r="B4" s="63"/>
      <c r="C4" s="63"/>
      <c r="D4" s="449" t="e">
        <f>'UK Sterling service quote'!D4</f>
        <v>#REF!</v>
      </c>
      <c r="E4" s="449"/>
      <c r="J4" s="64"/>
    </row>
    <row r="5" spans="1:10" ht="12.75" customHeight="1" x14ac:dyDescent="0.25">
      <c r="A5" s="68"/>
      <c r="B5" s="66"/>
      <c r="C5" s="66"/>
      <c r="D5" s="66"/>
      <c r="E5" s="66"/>
      <c r="J5" s="64"/>
    </row>
    <row r="6" spans="1:10" ht="18.75" customHeight="1" x14ac:dyDescent="0.3">
      <c r="A6" s="67" t="s">
        <v>73</v>
      </c>
      <c r="B6" s="63"/>
      <c r="C6" s="450" t="e">
        <f>'UK Sterling service quote'!C6</f>
        <v>#REF!</v>
      </c>
      <c r="D6" s="450"/>
      <c r="E6" s="450"/>
      <c r="F6" s="69"/>
      <c r="G6" s="69"/>
      <c r="H6" s="69"/>
      <c r="I6" s="69"/>
      <c r="J6" s="70"/>
    </row>
    <row r="7" spans="1:10" ht="12.75" customHeight="1" x14ac:dyDescent="0.3">
      <c r="A7" s="71"/>
      <c r="B7" s="72"/>
      <c r="C7" s="73"/>
      <c r="D7" s="73"/>
      <c r="E7" s="73"/>
      <c r="F7" s="69"/>
      <c r="G7" s="69"/>
      <c r="H7" s="69"/>
      <c r="I7" s="69"/>
      <c r="J7" s="70"/>
    </row>
    <row r="8" spans="1:10" ht="18.75" customHeight="1" x14ac:dyDescent="0.3">
      <c r="A8" s="67" t="s">
        <v>74</v>
      </c>
      <c r="B8" s="451" t="e">
        <f>'UK Sterling service quote'!B8</f>
        <v>#REF!</v>
      </c>
      <c r="C8" s="451"/>
      <c r="D8" s="451"/>
      <c r="E8" s="451"/>
      <c r="F8" s="69"/>
      <c r="G8" s="69"/>
      <c r="H8" s="69"/>
      <c r="I8" s="69"/>
      <c r="J8" s="70"/>
    </row>
    <row r="9" spans="1:10" x14ac:dyDescent="0.2">
      <c r="A9" s="65"/>
      <c r="B9" s="66"/>
      <c r="C9" s="66"/>
      <c r="D9" s="66"/>
      <c r="E9" s="66"/>
      <c r="F9" s="66"/>
      <c r="G9" s="66"/>
      <c r="H9" s="66"/>
      <c r="I9" s="66"/>
      <c r="J9" s="75"/>
    </row>
    <row r="10" spans="1:10" ht="15.75" x14ac:dyDescent="0.25">
      <c r="A10" s="76" t="s">
        <v>75</v>
      </c>
      <c r="B10" s="77"/>
      <c r="C10" s="452"/>
      <c r="D10" s="452"/>
      <c r="E10" s="452"/>
      <c r="F10" s="452"/>
      <c r="G10" s="452"/>
      <c r="H10" s="452"/>
      <c r="I10" s="452"/>
      <c r="J10" s="452"/>
    </row>
    <row r="11" spans="1:10" x14ac:dyDescent="0.2">
      <c r="A11" s="454">
        <f>'UK Sterling service quote'!A12</f>
        <v>0</v>
      </c>
      <c r="B11" s="454"/>
      <c r="C11" s="454"/>
      <c r="D11" s="454"/>
      <c r="E11" s="454"/>
      <c r="F11" s="454"/>
      <c r="G11" s="454"/>
      <c r="H11" s="454"/>
      <c r="I11" s="454"/>
      <c r="J11" s="454"/>
    </row>
    <row r="12" spans="1:10" x14ac:dyDescent="0.2">
      <c r="A12" s="454">
        <f>'UK Sterling service quote'!A13</f>
        <v>0</v>
      </c>
      <c r="B12" s="454"/>
      <c r="C12" s="454"/>
      <c r="D12" s="454"/>
      <c r="E12" s="454"/>
      <c r="F12" s="454"/>
      <c r="G12" s="454"/>
      <c r="H12" s="454"/>
      <c r="I12" s="454"/>
      <c r="J12" s="454"/>
    </row>
    <row r="13" spans="1:10" x14ac:dyDescent="0.2">
      <c r="A13" s="454">
        <f>'UK Sterling service quote'!A14</f>
        <v>0</v>
      </c>
      <c r="B13" s="454"/>
      <c r="C13" s="454"/>
      <c r="D13" s="454"/>
      <c r="E13" s="454"/>
      <c r="F13" s="454"/>
      <c r="G13" s="454"/>
      <c r="H13" s="454"/>
      <c r="I13" s="454"/>
      <c r="J13" s="454"/>
    </row>
    <row r="14" spans="1:10" x14ac:dyDescent="0.2">
      <c r="A14" s="454">
        <f>'UK Sterling service quote'!A15</f>
        <v>0</v>
      </c>
      <c r="B14" s="454"/>
      <c r="C14" s="454"/>
      <c r="D14" s="454"/>
      <c r="E14" s="454"/>
      <c r="F14" s="454"/>
      <c r="G14" s="454"/>
      <c r="H14" s="454"/>
      <c r="I14" s="454"/>
      <c r="J14" s="454"/>
    </row>
    <row r="15" spans="1:10" x14ac:dyDescent="0.2">
      <c r="A15" s="454">
        <f>'UK Sterling service quote'!A16</f>
        <v>0</v>
      </c>
      <c r="B15" s="454"/>
      <c r="C15" s="454"/>
      <c r="D15" s="454"/>
      <c r="E15" s="454"/>
      <c r="F15" s="454"/>
      <c r="G15" s="454"/>
      <c r="H15" s="454"/>
      <c r="I15" s="454"/>
      <c r="J15" s="454"/>
    </row>
    <row r="16" spans="1:10" x14ac:dyDescent="0.2">
      <c r="A16" s="454" t="str">
        <f>'UK Sterling service quote'!A11</f>
        <v>Fault Found</v>
      </c>
      <c r="B16" s="454"/>
      <c r="C16" s="454"/>
      <c r="D16" s="454"/>
      <c r="E16" s="454"/>
      <c r="F16" s="454"/>
      <c r="G16" s="454"/>
      <c r="H16" s="454"/>
      <c r="I16" s="454"/>
      <c r="J16" s="454"/>
    </row>
    <row r="17" spans="1:10" x14ac:dyDescent="0.2">
      <c r="A17" s="454" t="str">
        <f>'UK Sterling service quote'!A18</f>
        <v>Work Done</v>
      </c>
      <c r="B17" s="454"/>
      <c r="C17" s="454"/>
      <c r="D17" s="454"/>
      <c r="E17" s="454"/>
      <c r="F17" s="454"/>
      <c r="G17" s="454"/>
      <c r="H17" s="454"/>
      <c r="I17" s="454"/>
      <c r="J17" s="454"/>
    </row>
    <row r="18" spans="1:10" x14ac:dyDescent="0.2">
      <c r="A18" s="454">
        <f>'UK Sterling service quote'!A19</f>
        <v>0</v>
      </c>
      <c r="B18" s="454"/>
      <c r="C18" s="454"/>
      <c r="D18" s="454"/>
      <c r="E18" s="454"/>
      <c r="F18" s="454"/>
      <c r="G18" s="454"/>
      <c r="H18" s="454"/>
      <c r="I18" s="454"/>
      <c r="J18" s="454"/>
    </row>
    <row r="19" spans="1:10" x14ac:dyDescent="0.2">
      <c r="A19" s="454">
        <f>'UK Sterling service quote'!A20</f>
        <v>0</v>
      </c>
      <c r="B19" s="454"/>
      <c r="C19" s="454"/>
      <c r="D19" s="454"/>
      <c r="E19" s="454"/>
      <c r="F19" s="454"/>
      <c r="G19" s="454"/>
      <c r="H19" s="454"/>
      <c r="I19" s="454"/>
      <c r="J19" s="454"/>
    </row>
    <row r="20" spans="1:10" x14ac:dyDescent="0.2">
      <c r="A20" s="454">
        <f>'UK Sterling service quote'!A21</f>
        <v>0</v>
      </c>
      <c r="B20" s="454"/>
      <c r="C20" s="454"/>
      <c r="D20" s="454"/>
      <c r="E20" s="454"/>
      <c r="F20" s="454"/>
      <c r="G20" s="454"/>
      <c r="H20" s="454"/>
      <c r="I20" s="454"/>
      <c r="J20" s="454"/>
    </row>
    <row r="21" spans="1:10" x14ac:dyDescent="0.2">
      <c r="A21" s="454">
        <f>'UK Sterling service quote'!A22</f>
        <v>0</v>
      </c>
      <c r="B21" s="454"/>
      <c r="C21" s="454"/>
      <c r="D21" s="454"/>
      <c r="E21" s="454"/>
      <c r="F21" s="454"/>
      <c r="G21" s="454"/>
      <c r="H21" s="454"/>
      <c r="I21" s="454"/>
      <c r="J21" s="454"/>
    </row>
    <row r="22" spans="1:10" x14ac:dyDescent="0.2">
      <c r="A22" s="454">
        <f>'UK Sterling service quote'!A23</f>
        <v>0</v>
      </c>
      <c r="B22" s="454"/>
      <c r="C22" s="454"/>
      <c r="D22" s="454"/>
      <c r="E22" s="454"/>
      <c r="F22" s="454"/>
      <c r="G22" s="454"/>
      <c r="H22" s="454"/>
      <c r="I22" s="454"/>
      <c r="J22" s="454"/>
    </row>
    <row r="23" spans="1:10" x14ac:dyDescent="0.2">
      <c r="A23" s="454">
        <f>'UK Sterling service quote'!A24</f>
        <v>0</v>
      </c>
      <c r="B23" s="454"/>
      <c r="C23" s="454"/>
      <c r="D23" s="454"/>
      <c r="E23" s="454"/>
      <c r="F23" s="454"/>
      <c r="G23" s="454"/>
      <c r="H23" s="454"/>
      <c r="I23" s="454"/>
      <c r="J23" s="454"/>
    </row>
    <row r="24" spans="1:10" x14ac:dyDescent="0.2">
      <c r="A24" s="454">
        <f>'UK Sterling service quote'!A17</f>
        <v>0</v>
      </c>
      <c r="B24" s="454"/>
      <c r="C24" s="454"/>
      <c r="D24" s="454"/>
      <c r="E24" s="454"/>
      <c r="F24" s="454"/>
      <c r="G24" s="454"/>
      <c r="H24" s="454"/>
      <c r="I24" s="454"/>
      <c r="J24" s="454"/>
    </row>
    <row r="25" spans="1:10" x14ac:dyDescent="0.2">
      <c r="A25" s="455"/>
      <c r="B25" s="455"/>
      <c r="C25" s="455"/>
      <c r="D25" s="455"/>
      <c r="E25" s="455"/>
      <c r="F25" s="455"/>
      <c r="G25" s="455"/>
      <c r="H25" s="455"/>
      <c r="I25" s="455"/>
      <c r="J25" s="455"/>
    </row>
    <row r="26" spans="1:10" x14ac:dyDescent="0.2">
      <c r="A26" s="65"/>
      <c r="B26" s="66"/>
      <c r="C26" s="66"/>
      <c r="D26" s="66"/>
      <c r="E26" s="66"/>
      <c r="F26" s="66"/>
      <c r="G26" s="66"/>
      <c r="H26" s="66"/>
      <c r="I26" s="66"/>
      <c r="J26" s="75"/>
    </row>
    <row r="27" spans="1:10" ht="15.75" x14ac:dyDescent="0.25">
      <c r="A27" s="78" t="s">
        <v>78</v>
      </c>
      <c r="B27" s="79"/>
      <c r="C27" s="66"/>
      <c r="D27" s="80" t="s">
        <v>79</v>
      </c>
      <c r="E27" s="66"/>
      <c r="F27" s="66"/>
      <c r="G27" s="66"/>
      <c r="H27" s="66"/>
      <c r="I27" s="66"/>
      <c r="J27" s="75"/>
    </row>
    <row r="28" spans="1:10" ht="5.25" customHeight="1" x14ac:dyDescent="0.2">
      <c r="A28" s="65"/>
      <c r="B28" s="66"/>
      <c r="C28" s="66"/>
      <c r="D28" s="66"/>
      <c r="E28" s="66"/>
      <c r="F28" s="66"/>
      <c r="G28" s="66"/>
      <c r="H28" s="66"/>
      <c r="I28" s="66"/>
      <c r="J28" s="75"/>
    </row>
    <row r="29" spans="1:10" x14ac:dyDescent="0.2">
      <c r="A29" s="456" t="s">
        <v>80</v>
      </c>
      <c r="B29" s="456"/>
      <c r="C29" s="457" t="s">
        <v>81</v>
      </c>
      <c r="D29" s="457"/>
      <c r="E29" s="457"/>
      <c r="F29" s="82" t="s">
        <v>82</v>
      </c>
      <c r="G29" s="466" t="s">
        <v>83</v>
      </c>
      <c r="H29" s="466"/>
      <c r="I29" s="82" t="s">
        <v>84</v>
      </c>
      <c r="J29" s="83" t="s">
        <v>85</v>
      </c>
    </row>
    <row r="30" spans="1:10" x14ac:dyDescent="0.2">
      <c r="A30" s="458">
        <f>'UK Sterling service quote'!A30</f>
        <v>15.005000000000001</v>
      </c>
      <c r="B30" s="458"/>
      <c r="C30" s="459" t="str">
        <f>'UK Sterling service quote'!C30</f>
        <v>ICM Recalibration</v>
      </c>
      <c r="D30" s="459"/>
      <c r="E30" s="459"/>
      <c r="F30" s="84">
        <f>'UK Sterling service quote'!G30</f>
        <v>1</v>
      </c>
      <c r="G30" s="471">
        <f>IF(F30=1,200,0)</f>
        <v>200</v>
      </c>
      <c r="H30" s="471"/>
      <c r="I30" s="84"/>
      <c r="J30" s="107">
        <f t="shared" ref="J30:J41" si="0">(F30*G30)*((100-I30)/100)</f>
        <v>200</v>
      </c>
    </row>
    <row r="31" spans="1:10" x14ac:dyDescent="0.2">
      <c r="A31" s="460">
        <f>'UK Sterling service quote'!A31</f>
        <v>0</v>
      </c>
      <c r="B31" s="460"/>
      <c r="C31" s="461">
        <f>'UK Sterling service quote'!C31</f>
        <v>0</v>
      </c>
      <c r="D31" s="461"/>
      <c r="E31" s="461"/>
      <c r="F31" s="87">
        <f>'UK Sterling service quote'!G31</f>
        <v>0</v>
      </c>
      <c r="G31" s="472">
        <f>IF(A31=15.012,755.5,0)</f>
        <v>0</v>
      </c>
      <c r="H31" s="472"/>
      <c r="I31" s="105"/>
      <c r="J31" s="108">
        <f t="shared" si="0"/>
        <v>0</v>
      </c>
    </row>
    <row r="32" spans="1:10" x14ac:dyDescent="0.2">
      <c r="A32" s="460">
        <f>'UK Sterling service quote'!A32</f>
        <v>0</v>
      </c>
      <c r="B32" s="460"/>
      <c r="C32" s="461">
        <f>'UK Sterling service quote'!C32</f>
        <v>0</v>
      </c>
      <c r="D32" s="461"/>
      <c r="E32" s="461"/>
      <c r="F32" s="87">
        <f>'UK Sterling service quote'!G32</f>
        <v>0</v>
      </c>
      <c r="G32" s="472">
        <f>IF(A32=15.013,450,0)</f>
        <v>0</v>
      </c>
      <c r="H32" s="472"/>
      <c r="I32" s="105"/>
      <c r="J32" s="108">
        <f t="shared" si="0"/>
        <v>0</v>
      </c>
    </row>
    <row r="33" spans="1:10" x14ac:dyDescent="0.2">
      <c r="A33" s="460">
        <f>'UK Sterling service quote'!A33</f>
        <v>0</v>
      </c>
      <c r="B33" s="460"/>
      <c r="C33" s="461">
        <f>'UK Sterling service quote'!C33</f>
        <v>0</v>
      </c>
      <c r="D33" s="461"/>
      <c r="E33" s="461"/>
      <c r="F33" s="87">
        <f>'UK Sterling service quote'!G33</f>
        <v>0</v>
      </c>
      <c r="G33" s="472">
        <f>'UK Sterling service quote'!H33</f>
        <v>0</v>
      </c>
      <c r="H33" s="472"/>
      <c r="I33" s="105"/>
      <c r="J33" s="108">
        <f t="shared" si="0"/>
        <v>0</v>
      </c>
    </row>
    <row r="34" spans="1:10" x14ac:dyDescent="0.2">
      <c r="A34" s="460">
        <f>'UK Sterling service quote'!A34</f>
        <v>0</v>
      </c>
      <c r="B34" s="460"/>
      <c r="C34" s="461">
        <f>'UK Sterling service quote'!C34</f>
        <v>0</v>
      </c>
      <c r="D34" s="461"/>
      <c r="E34" s="461"/>
      <c r="F34" s="87">
        <f>'UK Sterling service quote'!G34</f>
        <v>0</v>
      </c>
      <c r="G34" s="472">
        <f>'UK Sterling service quote'!H34</f>
        <v>0</v>
      </c>
      <c r="H34" s="472"/>
      <c r="I34" s="105"/>
      <c r="J34" s="108">
        <f t="shared" si="0"/>
        <v>0</v>
      </c>
    </row>
    <row r="35" spans="1:10" x14ac:dyDescent="0.2">
      <c r="A35" s="460"/>
      <c r="B35" s="460"/>
      <c r="C35" s="461"/>
      <c r="D35" s="461"/>
      <c r="E35" s="461"/>
      <c r="F35" s="87">
        <f>'UK Sterling service quote'!G35</f>
        <v>0</v>
      </c>
      <c r="G35" s="472"/>
      <c r="H35" s="472"/>
      <c r="I35" s="105"/>
      <c r="J35" s="108">
        <f t="shared" si="0"/>
        <v>0</v>
      </c>
    </row>
    <row r="36" spans="1:10" x14ac:dyDescent="0.2">
      <c r="A36" s="460"/>
      <c r="B36" s="460"/>
      <c r="C36" s="461"/>
      <c r="D36" s="461"/>
      <c r="E36" s="461"/>
      <c r="F36" s="87"/>
      <c r="G36" s="472"/>
      <c r="H36" s="472"/>
      <c r="I36" s="105"/>
      <c r="J36" s="108">
        <f t="shared" si="0"/>
        <v>0</v>
      </c>
    </row>
    <row r="37" spans="1:10" x14ac:dyDescent="0.2">
      <c r="A37" s="460"/>
      <c r="B37" s="460"/>
      <c r="C37" s="461"/>
      <c r="D37" s="461"/>
      <c r="E37" s="461"/>
      <c r="F37" s="87"/>
      <c r="G37" s="472"/>
      <c r="H37" s="472"/>
      <c r="I37" s="105"/>
      <c r="J37" s="108">
        <f t="shared" si="0"/>
        <v>0</v>
      </c>
    </row>
    <row r="38" spans="1:10" x14ac:dyDescent="0.2">
      <c r="A38" s="460"/>
      <c r="B38" s="460"/>
      <c r="C38" s="461"/>
      <c r="D38" s="461"/>
      <c r="E38" s="461"/>
      <c r="F38" s="87"/>
      <c r="G38" s="472"/>
      <c r="H38" s="472"/>
      <c r="I38" s="105"/>
      <c r="J38" s="108">
        <f t="shared" si="0"/>
        <v>0</v>
      </c>
    </row>
    <row r="39" spans="1:10" x14ac:dyDescent="0.2">
      <c r="A39" s="460"/>
      <c r="B39" s="460"/>
      <c r="C39" s="461"/>
      <c r="D39" s="461"/>
      <c r="E39" s="461"/>
      <c r="F39" s="87"/>
      <c r="G39" s="472"/>
      <c r="H39" s="472"/>
      <c r="I39" s="105"/>
      <c r="J39" s="108">
        <f t="shared" si="0"/>
        <v>0</v>
      </c>
    </row>
    <row r="40" spans="1:10" x14ac:dyDescent="0.2">
      <c r="A40" s="460"/>
      <c r="B40" s="460"/>
      <c r="C40" s="461"/>
      <c r="D40" s="461"/>
      <c r="E40" s="461"/>
      <c r="F40" s="90"/>
      <c r="G40" s="472"/>
      <c r="H40" s="472"/>
      <c r="I40" s="105"/>
      <c r="J40" s="108">
        <f t="shared" si="0"/>
        <v>0</v>
      </c>
    </row>
    <row r="41" spans="1:10" x14ac:dyDescent="0.2">
      <c r="A41" s="462"/>
      <c r="B41" s="462"/>
      <c r="C41" s="463"/>
      <c r="D41" s="463"/>
      <c r="E41" s="463"/>
      <c r="F41" s="91"/>
      <c r="G41" s="473"/>
      <c r="H41" s="473"/>
      <c r="I41" s="106"/>
      <c r="J41" s="109">
        <f t="shared" si="0"/>
        <v>0</v>
      </c>
    </row>
    <row r="42" spans="1:10" x14ac:dyDescent="0.2">
      <c r="A42" s="65"/>
      <c r="B42" s="66"/>
      <c r="C42" s="66"/>
      <c r="D42" s="66"/>
      <c r="E42" s="66"/>
      <c r="F42" s="66"/>
      <c r="G42" s="66"/>
      <c r="H42" s="66"/>
      <c r="I42" s="93" t="s">
        <v>86</v>
      </c>
      <c r="J42" s="110">
        <f>SUM(J30:J41)</f>
        <v>200</v>
      </c>
    </row>
    <row r="43" spans="1:10" ht="12" customHeight="1" x14ac:dyDescent="0.2">
      <c r="A43" s="65"/>
      <c r="B43" s="66"/>
      <c r="C43" s="66"/>
      <c r="D43" s="66"/>
      <c r="E43" s="66"/>
      <c r="F43" s="66"/>
      <c r="G43" s="66"/>
      <c r="H43" s="66"/>
      <c r="I43" s="66"/>
      <c r="J43" s="75"/>
    </row>
    <row r="44" spans="1:10" ht="12" customHeight="1" x14ac:dyDescent="0.2">
      <c r="A44" s="65"/>
      <c r="B44" s="66"/>
      <c r="C44" s="66"/>
      <c r="D44" s="66"/>
      <c r="E44" s="66"/>
      <c r="F44" s="66"/>
      <c r="G44" s="66"/>
      <c r="H44" s="66"/>
      <c r="I44" s="66"/>
      <c r="J44" s="75"/>
    </row>
    <row r="45" spans="1:10" ht="12" customHeight="1" x14ac:dyDescent="0.2">
      <c r="A45" s="65"/>
      <c r="B45" s="66"/>
      <c r="C45" s="66"/>
      <c r="D45" s="66"/>
      <c r="E45" s="66"/>
      <c r="F45" s="66"/>
      <c r="G45" s="66"/>
      <c r="H45" s="66"/>
      <c r="I45" s="66"/>
      <c r="J45" s="75"/>
    </row>
    <row r="46" spans="1:10" x14ac:dyDescent="0.2">
      <c r="A46" s="65"/>
      <c r="B46" s="66"/>
      <c r="C46" s="66"/>
      <c r="D46" s="66"/>
      <c r="E46" s="66"/>
      <c r="F46" s="66"/>
      <c r="G46" s="66"/>
      <c r="H46" s="66"/>
      <c r="I46" s="66"/>
      <c r="J46" s="75"/>
    </row>
    <row r="47" spans="1:10" x14ac:dyDescent="0.2">
      <c r="A47" s="65"/>
      <c r="B47" s="66"/>
      <c r="C47" s="66"/>
      <c r="D47" s="66"/>
      <c r="E47" s="66"/>
      <c r="F47" s="66"/>
      <c r="G47" s="66"/>
      <c r="H47" s="66"/>
      <c r="I47" s="66"/>
      <c r="J47" s="75"/>
    </row>
    <row r="48" spans="1:10" x14ac:dyDescent="0.2">
      <c r="A48" s="65"/>
      <c r="B48" s="66"/>
      <c r="C48" s="66"/>
      <c r="D48" s="66"/>
      <c r="E48" s="66"/>
      <c r="F48" s="66"/>
      <c r="G48" s="66"/>
      <c r="H48" s="66"/>
      <c r="I48" s="66"/>
      <c r="J48" s="75"/>
    </row>
    <row r="49" spans="1:10" x14ac:dyDescent="0.2">
      <c r="A49" s="65"/>
      <c r="B49" s="66"/>
      <c r="C49" s="66"/>
      <c r="D49" s="66"/>
      <c r="E49" s="66"/>
      <c r="F49" s="66"/>
      <c r="G49" s="66"/>
      <c r="H49" s="66"/>
      <c r="I49" s="66"/>
      <c r="J49" s="75"/>
    </row>
    <row r="50" spans="1:10" x14ac:dyDescent="0.2">
      <c r="A50" s="65"/>
      <c r="B50" s="66"/>
      <c r="C50" s="66"/>
      <c r="D50" s="66"/>
      <c r="E50" s="66"/>
      <c r="F50" s="66"/>
      <c r="G50" s="66"/>
      <c r="H50" s="66"/>
      <c r="I50" s="66"/>
      <c r="J50" s="75"/>
    </row>
    <row r="51" spans="1:10" x14ac:dyDescent="0.2">
      <c r="A51" s="65"/>
      <c r="B51" s="66"/>
      <c r="C51" s="66"/>
      <c r="D51" s="66"/>
      <c r="E51" s="66"/>
      <c r="F51" s="66"/>
      <c r="G51" s="66"/>
      <c r="H51" s="66"/>
      <c r="I51" s="66"/>
      <c r="J51" s="75"/>
    </row>
    <row r="52" spans="1:10" ht="15.75" x14ac:dyDescent="0.25">
      <c r="A52" s="464" t="s">
        <v>89</v>
      </c>
      <c r="B52" s="464"/>
      <c r="C52" s="464"/>
      <c r="D52" s="95" t="s">
        <v>90</v>
      </c>
      <c r="E52" s="96"/>
      <c r="F52" s="96"/>
      <c r="G52" s="96"/>
      <c r="H52" s="96"/>
      <c r="I52" s="96"/>
      <c r="J52" s="97"/>
    </row>
    <row r="53" spans="1:10" x14ac:dyDescent="0.2">
      <c r="A53" s="98"/>
      <c r="J53" s="64"/>
    </row>
    <row r="54" spans="1:10" x14ac:dyDescent="0.2">
      <c r="A54" s="98"/>
      <c r="J54" s="64"/>
    </row>
    <row r="55" spans="1:10" ht="13.5" customHeight="1" x14ac:dyDescent="0.2">
      <c r="A55" s="98" t="s">
        <v>92</v>
      </c>
      <c r="J55" s="64"/>
    </row>
    <row r="56" spans="1:10" x14ac:dyDescent="0.2">
      <c r="A56" s="98"/>
      <c r="J56" s="64"/>
    </row>
    <row r="57" spans="1:10" x14ac:dyDescent="0.2">
      <c r="A57" s="98"/>
      <c r="J57" s="64"/>
    </row>
    <row r="58" spans="1:10" x14ac:dyDescent="0.2">
      <c r="A58" s="465" t="s">
        <v>93</v>
      </c>
      <c r="B58" s="465"/>
      <c r="C58" s="465"/>
      <c r="D58" s="465"/>
      <c r="E58" s="465"/>
      <c r="F58" s="465"/>
      <c r="H58" s="99" t="s">
        <v>94</v>
      </c>
      <c r="J58" s="100" t="e">
        <f>D2</f>
        <v>#REF!</v>
      </c>
    </row>
    <row r="59" spans="1:10" x14ac:dyDescent="0.2">
      <c r="A59" s="101"/>
      <c r="B59" s="102"/>
      <c r="C59" s="102"/>
      <c r="D59" s="102"/>
      <c r="E59" s="102"/>
      <c r="F59" s="102"/>
      <c r="G59" s="102"/>
      <c r="H59" s="103" t="s">
        <v>95</v>
      </c>
      <c r="I59" s="102"/>
      <c r="J59" s="104" t="e">
        <f>B8</f>
        <v>#REF!</v>
      </c>
    </row>
  </sheetData>
  <mergeCells count="61">
    <mergeCell ref="A41:B41"/>
    <mergeCell ref="C41:E41"/>
    <mergeCell ref="G41:H41"/>
    <mergeCell ref="A52:C52"/>
    <mergeCell ref="A58:F58"/>
    <mergeCell ref="A39:B39"/>
    <mergeCell ref="C39:E39"/>
    <mergeCell ref="G39:H39"/>
    <mergeCell ref="A40:B40"/>
    <mergeCell ref="C40:E40"/>
    <mergeCell ref="G40:H40"/>
    <mergeCell ref="A37:B37"/>
    <mergeCell ref="C37:E37"/>
    <mergeCell ref="G37:H37"/>
    <mergeCell ref="A38:B38"/>
    <mergeCell ref="C38:E38"/>
    <mergeCell ref="G38:H38"/>
    <mergeCell ref="A35:B35"/>
    <mergeCell ref="C35:E35"/>
    <mergeCell ref="G35:H35"/>
    <mergeCell ref="A36:B36"/>
    <mergeCell ref="C36:E36"/>
    <mergeCell ref="G36:H36"/>
    <mergeCell ref="A33:B33"/>
    <mergeCell ref="C33:E33"/>
    <mergeCell ref="G33:H33"/>
    <mergeCell ref="A34:B34"/>
    <mergeCell ref="C34:E34"/>
    <mergeCell ref="G34:H34"/>
    <mergeCell ref="A31:B31"/>
    <mergeCell ref="C31:E31"/>
    <mergeCell ref="G31:H31"/>
    <mergeCell ref="A32:B32"/>
    <mergeCell ref="C32:E32"/>
    <mergeCell ref="G32:H32"/>
    <mergeCell ref="A29:B29"/>
    <mergeCell ref="C29:E29"/>
    <mergeCell ref="G29:H29"/>
    <mergeCell ref="A30:B30"/>
    <mergeCell ref="C30:E30"/>
    <mergeCell ref="G30:H30"/>
    <mergeCell ref="A21:J21"/>
    <mergeCell ref="A22:J22"/>
    <mergeCell ref="A23:J23"/>
    <mergeCell ref="A24:J24"/>
    <mergeCell ref="A25:J25"/>
    <mergeCell ref="A16:J16"/>
    <mergeCell ref="A17:J17"/>
    <mergeCell ref="A18:J18"/>
    <mergeCell ref="A19:J19"/>
    <mergeCell ref="A20:J20"/>
    <mergeCell ref="A11:J11"/>
    <mergeCell ref="A12:J12"/>
    <mergeCell ref="A13:J13"/>
    <mergeCell ref="A14:J14"/>
    <mergeCell ref="A15:J15"/>
    <mergeCell ref="D2:E2"/>
    <mergeCell ref="D4:E4"/>
    <mergeCell ref="C6:E6"/>
    <mergeCell ref="B8:E8"/>
    <mergeCell ref="C10:J10"/>
  </mergeCells>
  <conditionalFormatting sqref="A30:I41">
    <cfRule type="cellIs" dxfId="85" priority="3" operator="equal">
      <formula>0</formula>
    </cfRule>
  </conditionalFormatting>
  <conditionalFormatting sqref="A11:J24">
    <cfRule type="cellIs" dxfId="84" priority="2" operator="equal">
      <formula>0</formula>
    </cfRule>
  </conditionalFormatting>
  <pageMargins left="0" right="0" top="0" bottom="0" header="0.51180555555555496" footer="0.51180555555555496"/>
  <pageSetup firstPageNumber="0" orientation="portrait" horizontalDpi="300" verticalDpi="300"/>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MK7073"/>
  <sheetViews>
    <sheetView zoomScale="85" zoomScaleNormal="85" workbookViewId="0">
      <selection activeCell="H8" sqref="H8:J8"/>
    </sheetView>
  </sheetViews>
  <sheetFormatPr defaultColWidth="9.140625" defaultRowHeight="12.75" x14ac:dyDescent="0.2"/>
  <cols>
    <col min="1" max="1" width="11.42578125" style="121" customWidth="1"/>
    <col min="2" max="9" width="17.42578125" style="121" customWidth="1"/>
    <col min="10" max="12" width="7.85546875" style="121" customWidth="1"/>
    <col min="13" max="13" width="4.42578125" style="121" customWidth="1"/>
    <col min="14" max="1008" width="7.85546875" style="121" hidden="1" customWidth="1"/>
    <col min="1009" max="1009" width="31.28515625" style="121" customWidth="1"/>
    <col min="1010" max="1010" width="35.140625" style="121" customWidth="1"/>
    <col min="1011" max="1011" width="30.42578125" style="121" customWidth="1"/>
    <col min="1012" max="1012" width="32.28515625" style="121" customWidth="1"/>
    <col min="1013" max="1013" width="62" style="121" customWidth="1"/>
    <col min="1014" max="1014" width="51.7109375" style="121" customWidth="1"/>
    <col min="1015" max="1015" width="36.28515625" style="121" customWidth="1"/>
    <col min="1016" max="1016" width="28" style="121" customWidth="1"/>
    <col min="1017" max="1017" width="28.42578125" style="121" customWidth="1"/>
    <col min="1018" max="1018" width="31.7109375" style="121" customWidth="1"/>
    <col min="1019" max="1019" width="27.5703125" style="121" customWidth="1"/>
    <col min="1020" max="1020" width="24" style="121" customWidth="1"/>
    <col min="1021" max="1021" width="21.5703125" style="121" customWidth="1"/>
    <col min="1022" max="1022" width="34" style="121" customWidth="1"/>
    <col min="1023" max="1023" width="37.28515625" style="121" customWidth="1"/>
    <col min="1024" max="1024" width="61.28515625" style="121" customWidth="1"/>
    <col min="1025" max="1025" width="34.7109375" style="121" customWidth="1"/>
  </cols>
  <sheetData>
    <row r="1" spans="2:12" x14ac:dyDescent="0.2">
      <c r="B1" s="111"/>
      <c r="C1" s="111"/>
      <c r="D1" s="324"/>
      <c r="E1" s="111"/>
    </row>
    <row r="2" spans="2:12" x14ac:dyDescent="0.2">
      <c r="B2" s="111"/>
      <c r="C2" s="111"/>
      <c r="D2" s="324"/>
      <c r="E2" s="111"/>
      <c r="G2" s="325"/>
      <c r="H2" s="121" t="s">
        <v>96</v>
      </c>
      <c r="L2" s="326">
        <v>202.02699999999999</v>
      </c>
    </row>
    <row r="3" spans="2:12" x14ac:dyDescent="0.2">
      <c r="B3" s="111"/>
      <c r="C3" s="111"/>
      <c r="D3" s="324"/>
      <c r="E3" s="111"/>
      <c r="L3" s="326" t="s">
        <v>97</v>
      </c>
    </row>
    <row r="4" spans="2:12" x14ac:dyDescent="0.2">
      <c r="B4" s="111"/>
      <c r="C4" s="111"/>
      <c r="D4" s="324"/>
      <c r="E4" s="111"/>
      <c r="G4" s="327"/>
      <c r="H4" s="121" t="s">
        <v>16</v>
      </c>
    </row>
    <row r="5" spans="2:12" x14ac:dyDescent="0.2">
      <c r="B5" s="111"/>
      <c r="C5" s="111"/>
      <c r="D5" s="324"/>
      <c r="E5" s="111"/>
    </row>
    <row r="6" spans="2:12" x14ac:dyDescent="0.2">
      <c r="B6" s="111"/>
      <c r="C6" s="111"/>
      <c r="D6" s="324"/>
      <c r="E6" s="111"/>
      <c r="G6" s="328" t="s">
        <v>98</v>
      </c>
      <c r="H6" s="474">
        <v>11.111121000000001</v>
      </c>
      <c r="I6" s="474"/>
      <c r="J6" s="474"/>
    </row>
    <row r="7" spans="2:12" ht="12.75" customHeight="1" x14ac:dyDescent="0.2">
      <c r="B7" s="111"/>
      <c r="C7" s="111"/>
      <c r="D7" s="324"/>
      <c r="E7" s="111"/>
      <c r="G7" s="328" t="s">
        <v>22</v>
      </c>
      <c r="H7" s="475" t="s">
        <v>415</v>
      </c>
      <c r="I7" s="475"/>
      <c r="J7" s="475"/>
    </row>
    <row r="8" spans="2:12" x14ac:dyDescent="0.2">
      <c r="B8" s="112"/>
      <c r="C8" s="112" t="s">
        <v>99</v>
      </c>
      <c r="D8" s="329"/>
      <c r="E8" s="330"/>
      <c r="G8" s="328" t="s">
        <v>100</v>
      </c>
      <c r="H8" s="476" t="s">
        <v>408</v>
      </c>
      <c r="I8" s="477"/>
      <c r="J8" s="478"/>
    </row>
    <row r="9" spans="2:12" x14ac:dyDescent="0.2">
      <c r="B9" s="331">
        <f>VLOOKUP("no_noise_threshold",CAL!$A$1:$B$1044,2,FALSE)</f>
        <v>61</v>
      </c>
      <c r="C9" s="113" t="s">
        <v>101</v>
      </c>
      <c r="D9" s="332" t="s">
        <v>380</v>
      </c>
      <c r="E9" s="114"/>
      <c r="G9" s="328" t="s">
        <v>102</v>
      </c>
      <c r="H9" s="190" t="str">
        <f>H7</f>
        <v>000000204 / 07093-41</v>
      </c>
      <c r="I9" s="479" t="str">
        <f>H8</f>
        <v>08 12 25</v>
      </c>
      <c r="J9" s="480"/>
    </row>
    <row r="10" spans="2:12" x14ac:dyDescent="0.2">
      <c r="B10" s="331">
        <f>VLOOKUP("calibration_led_level_last",CAL!$A$1:$B$1044,2,FALSE)*VLOOKUP("calibration_led_level_initial",CAL!$A$1:$B$1044,2,FALSE)/100</f>
        <v>11558.8984</v>
      </c>
      <c r="C10" s="115" t="s">
        <v>345</v>
      </c>
      <c r="D10" s="116" t="s">
        <v>34</v>
      </c>
      <c r="E10" s="117"/>
      <c r="G10" s="328" t="s">
        <v>103</v>
      </c>
      <c r="H10" s="474" t="s">
        <v>346</v>
      </c>
      <c r="I10" s="474"/>
      <c r="J10" s="474"/>
    </row>
    <row r="11" spans="2:12" x14ac:dyDescent="0.2">
      <c r="B11" s="331">
        <f>VLOOKUP("calc_concentration",CAL!$A$1:$B$1044,2,FALSE)</f>
        <v>15.995200000000001</v>
      </c>
      <c r="C11" s="118" t="s">
        <v>104</v>
      </c>
      <c r="D11" s="333" t="s">
        <v>105</v>
      </c>
      <c r="E11" s="119"/>
      <c r="G11" s="328" t="s">
        <v>106</v>
      </c>
      <c r="H11" s="481">
        <v>367</v>
      </c>
      <c r="I11" s="481"/>
      <c r="J11" s="481"/>
    </row>
    <row r="12" spans="2:12" x14ac:dyDescent="0.2">
      <c r="G12" s="334" t="s">
        <v>107</v>
      </c>
      <c r="H12" s="482" t="s">
        <v>35</v>
      </c>
      <c r="I12" s="482"/>
      <c r="J12" s="482"/>
    </row>
    <row r="13" spans="2:12" x14ac:dyDescent="0.2">
      <c r="B13" s="335"/>
      <c r="C13" s="335"/>
      <c r="D13" s="335"/>
      <c r="E13" s="335"/>
      <c r="F13" s="335"/>
      <c r="G13" s="335"/>
      <c r="H13" s="335"/>
      <c r="I13" s="335"/>
      <c r="J13" s="154"/>
    </row>
    <row r="14" spans="2:12" x14ac:dyDescent="0.2">
      <c r="B14" s="154" t="s">
        <v>108</v>
      </c>
      <c r="J14" s="154"/>
    </row>
    <row r="15" spans="2:12" x14ac:dyDescent="0.2">
      <c r="B15" s="336">
        <v>4</v>
      </c>
      <c r="C15" s="120">
        <v>6</v>
      </c>
      <c r="D15" s="120">
        <v>14</v>
      </c>
      <c r="E15" s="120">
        <v>21</v>
      </c>
      <c r="F15" s="120">
        <v>25</v>
      </c>
      <c r="G15" s="120">
        <v>38</v>
      </c>
      <c r="H15" s="120">
        <v>50</v>
      </c>
      <c r="I15" s="120">
        <v>70</v>
      </c>
      <c r="J15" s="154" t="s">
        <v>109</v>
      </c>
    </row>
    <row r="16" spans="2:12" x14ac:dyDescent="0.2">
      <c r="B16" s="331">
        <f>VLOOKUP("level[0]",CAL!$A$1:$B$1044,2,FALSE)</f>
        <v>134</v>
      </c>
      <c r="C16" s="331">
        <f>VLOOKUP("level[1]",CAL!$A$1:$B$1044,2,FALSE)</f>
        <v>324</v>
      </c>
      <c r="D16" s="331">
        <f>VLOOKUP("level[2]",CAL!$A$1:$B$1044,2,FALSE)</f>
        <v>1886</v>
      </c>
      <c r="E16" s="331">
        <f>VLOOKUP("level[3]",CAL!$A$1:$B$1044,2,FALSE)</f>
        <v>4122</v>
      </c>
      <c r="F16" s="331">
        <f>VLOOKUP("level[4]",CAL!$A$1:$B$1044,2,FALSE)</f>
        <v>6566</v>
      </c>
      <c r="G16" s="331">
        <v>15500</v>
      </c>
      <c r="H16" s="331">
        <f>VLOOKUP("level[6]",CAL!$A$1:$B$1044,2,FALSE)</f>
        <v>22008</v>
      </c>
      <c r="I16" s="331">
        <f>VLOOKUP("level[7]",CAL!$A$1:$B$1044,2,FALSE)</f>
        <v>32390</v>
      </c>
      <c r="J16" s="154" t="s">
        <v>110</v>
      </c>
    </row>
    <row r="17" spans="1:11" x14ac:dyDescent="0.2">
      <c r="B17" s="335"/>
      <c r="C17" s="335"/>
      <c r="D17" s="335"/>
      <c r="E17" s="335"/>
      <c r="F17" s="335"/>
      <c r="G17" s="335"/>
      <c r="H17" s="335"/>
      <c r="I17" s="335"/>
      <c r="J17" s="154"/>
    </row>
    <row r="18" spans="1:11" x14ac:dyDescent="0.2">
      <c r="A18" s="337" t="s">
        <v>111</v>
      </c>
      <c r="B18" s="335"/>
      <c r="C18" s="335"/>
      <c r="D18" s="335"/>
      <c r="E18" s="335"/>
      <c r="F18" s="335"/>
      <c r="G18" s="335"/>
      <c r="H18" s="335"/>
      <c r="I18" s="335"/>
      <c r="J18" s="154"/>
    </row>
    <row r="19" spans="1:11" s="121" customFormat="1" ht="13.5" customHeight="1" x14ac:dyDescent="0.2">
      <c r="B19" s="338"/>
      <c r="J19" s="154"/>
    </row>
    <row r="21" spans="1:11" x14ac:dyDescent="0.2">
      <c r="A21" s="122" t="s">
        <v>112</v>
      </c>
      <c r="B21" s="339" t="s">
        <v>113</v>
      </c>
      <c r="C21" s="339">
        <v>1</v>
      </c>
      <c r="D21" s="339" t="s">
        <v>114</v>
      </c>
      <c r="E21" s="339">
        <v>2</v>
      </c>
      <c r="F21" s="339" t="s">
        <v>115</v>
      </c>
      <c r="G21" s="339">
        <v>3</v>
      </c>
      <c r="H21" s="339" t="s">
        <v>116</v>
      </c>
      <c r="I21" s="339" t="s">
        <v>117</v>
      </c>
      <c r="J21" s="483" t="s">
        <v>118</v>
      </c>
      <c r="K21" s="483"/>
    </row>
    <row r="22" spans="1:11" ht="18" customHeight="1" x14ac:dyDescent="0.2">
      <c r="A22" s="123">
        <v>4</v>
      </c>
      <c r="B22" s="124">
        <f>mtd!C7*'Calibration record'!B$11*100</f>
        <v>3481812.2857142859</v>
      </c>
      <c r="C22" s="331">
        <f>VLOOKUP("verification_count_0_0",CAL!$A$1:$B$1044,2,FALSE)</f>
        <v>3502561</v>
      </c>
      <c r="D22" s="192">
        <f t="shared" ref="D22:D29" si="0">(C22-B22)/B22</f>
        <v>5.9591708521579689E-3</v>
      </c>
      <c r="E22" s="331">
        <f>VLOOKUP("verification_count_1_0",CAL!$A$1:$B$1044,2,FALSE)</f>
        <v>3504210</v>
      </c>
      <c r="F22" s="192">
        <f t="shared" ref="F22:F29" si="1">(E22-B22)/B22</f>
        <v>6.4327747873171876E-3</v>
      </c>
      <c r="G22" s="331">
        <v>3538386</v>
      </c>
      <c r="H22" s="192">
        <f t="shared" ref="H22:H29" si="2">(G22-B22)/B22</f>
        <v>1.6248352766699517E-2</v>
      </c>
      <c r="I22" s="125">
        <f>(C22+E22+G22)/3</f>
        <v>3515052.3333333335</v>
      </c>
      <c r="J22" s="484">
        <f>(I22-B22)/B22</f>
        <v>9.5467661353916024E-3</v>
      </c>
      <c r="K22" s="484"/>
    </row>
    <row r="23" spans="1:11" ht="18" customHeight="1" x14ac:dyDescent="0.2">
      <c r="A23" s="123">
        <v>6</v>
      </c>
      <c r="B23" s="124">
        <f>mtd!C9*'Calibration record'!B11*100</f>
        <v>1368160.8571428573</v>
      </c>
      <c r="C23" s="331">
        <f>VLOOKUP("verification_count_0_1",CAL!$A$1:$B$1044,2,FALSE)</f>
        <v>1384415</v>
      </c>
      <c r="D23" s="192">
        <f t="shared" si="0"/>
        <v>1.1880286424131734E-2</v>
      </c>
      <c r="E23" s="331">
        <f>VLOOKUP("verification_count_1_1",CAL!$A$1:$B$1044,2,FALSE)</f>
        <v>1382038</v>
      </c>
      <c r="F23" s="192">
        <f t="shared" si="1"/>
        <v>1.0142917614323866E-2</v>
      </c>
      <c r="G23" s="331">
        <v>1399993</v>
      </c>
      <c r="H23" s="192">
        <f t="shared" si="2"/>
        <v>2.3266374484370266E-2</v>
      </c>
      <c r="I23" s="125">
        <f t="shared" ref="I23:I29" si="3">(C23+E23+G23)/3</f>
        <v>1388815.3333333333</v>
      </c>
      <c r="J23" s="484">
        <f t="shared" ref="J23:J29" si="4">(I23-B23)/B23</f>
        <v>1.509652617427523E-2</v>
      </c>
      <c r="K23" s="484"/>
    </row>
    <row r="24" spans="1:11" ht="18" customHeight="1" x14ac:dyDescent="0.2">
      <c r="A24" s="123">
        <v>14</v>
      </c>
      <c r="B24" s="124">
        <f>mtd!C17*'Calibration record'!B11*100</f>
        <v>97342.21714285716</v>
      </c>
      <c r="C24" s="331">
        <f>VLOOKUP("verification_count_0_2",CAL!$A$1:$B$1044,2,FALSE)</f>
        <v>97621</v>
      </c>
      <c r="D24" s="192">
        <f t="shared" si="0"/>
        <v>2.8639460382713982E-3</v>
      </c>
      <c r="E24" s="331">
        <f>VLOOKUP("verification_count_1_2",CAL!$A$1:$B$1044,2,FALSE)</f>
        <v>99179</v>
      </c>
      <c r="F24" s="192">
        <f t="shared" si="1"/>
        <v>1.8869334509272789E-2</v>
      </c>
      <c r="G24" s="331">
        <v>99930</v>
      </c>
      <c r="H24" s="192">
        <f t="shared" si="2"/>
        <v>2.6584383765833795E-2</v>
      </c>
      <c r="I24" s="125">
        <f t="shared" si="3"/>
        <v>98910</v>
      </c>
      <c r="J24" s="484">
        <f t="shared" si="4"/>
        <v>1.6105888104459329E-2</v>
      </c>
      <c r="K24" s="484"/>
    </row>
    <row r="25" spans="1:11" ht="18" customHeight="1" x14ac:dyDescent="0.2">
      <c r="A25" s="123">
        <v>21</v>
      </c>
      <c r="B25" s="124">
        <f>mtd!C24*'Calibration record'!B11*100</f>
        <v>24221.302857142859</v>
      </c>
      <c r="C25" s="331">
        <f>VLOOKUP("verification_count_0_3",CAL!$A$1:$B$1044,2,FALSE)</f>
        <v>23939</v>
      </c>
      <c r="D25" s="192">
        <f t="shared" si="0"/>
        <v>-1.1655147487642577E-2</v>
      </c>
      <c r="E25" s="331">
        <f>VLOOKUP("verification_count_1_3",CAL!$A$1:$B$1044,2,FALSE)</f>
        <v>24541</v>
      </c>
      <c r="F25" s="192">
        <f t="shared" si="1"/>
        <v>1.3199006871872823E-2</v>
      </c>
      <c r="G25" s="331">
        <v>25089</v>
      </c>
      <c r="H25" s="192">
        <f t="shared" si="2"/>
        <v>3.5823718813757274E-2</v>
      </c>
      <c r="I25" s="125">
        <f t="shared" si="3"/>
        <v>24523</v>
      </c>
      <c r="J25" s="484">
        <f t="shared" si="4"/>
        <v>1.2455859399329174E-2</v>
      </c>
      <c r="K25" s="484"/>
    </row>
    <row r="26" spans="1:11" ht="18" customHeight="1" x14ac:dyDescent="0.2">
      <c r="A26" s="123">
        <v>25</v>
      </c>
      <c r="B26" s="124">
        <f>mtd!C28*'Calibration record'!B11*100</f>
        <v>11396.58</v>
      </c>
      <c r="C26" s="331">
        <f>VLOOKUP("verification_count_0_4",CAL!$A$1:$B$1044,2,FALSE)</f>
        <v>11133</v>
      </c>
      <c r="D26" s="192">
        <f t="shared" si="0"/>
        <v>-2.3127991028887608E-2</v>
      </c>
      <c r="E26" s="331">
        <f>VLOOKUP("verification_count_1_4",CAL!$A$1:$B$1044,2,FALSE)</f>
        <v>11031</v>
      </c>
      <c r="F26" s="192">
        <f t="shared" si="1"/>
        <v>-3.2078044465971366E-2</v>
      </c>
      <c r="G26" s="331">
        <v>11724</v>
      </c>
      <c r="H26" s="192">
        <f t="shared" si="2"/>
        <v>2.8729671533038865E-2</v>
      </c>
      <c r="I26" s="125">
        <f t="shared" si="3"/>
        <v>11296</v>
      </c>
      <c r="J26" s="484">
        <f t="shared" si="4"/>
        <v>-8.8254546539400357E-3</v>
      </c>
      <c r="K26" s="484"/>
    </row>
    <row r="27" spans="1:11" ht="18" customHeight="1" x14ac:dyDescent="0.2">
      <c r="A27" s="123">
        <v>38</v>
      </c>
      <c r="B27" s="124">
        <f>mtd!C41*'Calibration record'!B11*100</f>
        <v>1788.6061142857141</v>
      </c>
      <c r="C27" s="331">
        <f>VLOOKUP("verification_count_0_5",CAL!$A$1:$B$1044,2,FALSE)</f>
        <v>1551</v>
      </c>
      <c r="D27" s="192">
        <f t="shared" si="0"/>
        <v>-0.13284429276403478</v>
      </c>
      <c r="E27" s="331">
        <f>VLOOKUP("verification_count_1_5",CAL!$A$1:$B$1044,2,FALSE)</f>
        <v>1458</v>
      </c>
      <c r="F27" s="192">
        <f t="shared" si="1"/>
        <v>-0.18484008952286443</v>
      </c>
      <c r="G27" s="331">
        <v>1947</v>
      </c>
      <c r="H27" s="192">
        <f t="shared" si="2"/>
        <v>8.8557164402594632E-2</v>
      </c>
      <c r="I27" s="125">
        <f t="shared" si="3"/>
        <v>1652</v>
      </c>
      <c r="J27" s="484">
        <f t="shared" si="4"/>
        <v>-7.6375739294768194E-2</v>
      </c>
      <c r="K27" s="484"/>
    </row>
    <row r="28" spans="1:11" ht="18" customHeight="1" x14ac:dyDescent="0.2">
      <c r="A28" s="123">
        <v>50</v>
      </c>
      <c r="B28" s="124">
        <f>mtd!C53*'Calibration record'!B11*100</f>
        <v>690.6498857142858</v>
      </c>
      <c r="C28" s="331">
        <f>VLOOKUP("verification_count_0_6",CAL!$A$1:$B$1044,2,FALSE)</f>
        <v>593</v>
      </c>
      <c r="D28" s="192">
        <f t="shared" si="0"/>
        <v>-0.14138840494166457</v>
      </c>
      <c r="E28" s="331">
        <f>VLOOKUP("verification_count_1_6",CAL!$A$1:$B$1044,2,FALSE)</f>
        <v>482</v>
      </c>
      <c r="F28" s="192">
        <f t="shared" si="1"/>
        <v>-0.30210659558496178</v>
      </c>
      <c r="G28" s="331">
        <v>379</v>
      </c>
      <c r="H28" s="192">
        <f t="shared" si="2"/>
        <v>-0.45124149320892221</v>
      </c>
      <c r="I28" s="125">
        <f t="shared" si="3"/>
        <v>484.66666666666669</v>
      </c>
      <c r="J28" s="484">
        <f t="shared" si="4"/>
        <v>-0.29824549791184951</v>
      </c>
      <c r="K28" s="484"/>
    </row>
    <row r="29" spans="1:11" ht="18" customHeight="1" x14ac:dyDescent="0.2">
      <c r="A29" s="123">
        <v>70</v>
      </c>
      <c r="B29" s="126">
        <f>mtd!C73*'Calibration record'!B11*100</f>
        <v>159.952</v>
      </c>
      <c r="C29" s="331">
        <f>VLOOKUP("verification_count_0_7",CAL!$A$1:$B$1044,2,FALSE)</f>
        <v>71</v>
      </c>
      <c r="D29" s="193">
        <f t="shared" si="0"/>
        <v>-0.55611683505051512</v>
      </c>
      <c r="E29" s="331">
        <f>VLOOKUP("verification_count_1_7",CAL!$A$1:$B$1044,2,FALSE)</f>
        <v>71</v>
      </c>
      <c r="F29" s="193">
        <f t="shared" si="1"/>
        <v>-0.55611683505051512</v>
      </c>
      <c r="G29" s="331">
        <v>35</v>
      </c>
      <c r="H29" s="193">
        <f t="shared" si="2"/>
        <v>-0.78118435530659203</v>
      </c>
      <c r="I29" s="125">
        <f t="shared" si="3"/>
        <v>59</v>
      </c>
      <c r="J29" s="484">
        <f t="shared" si="4"/>
        <v>-0.63113934180254072</v>
      </c>
      <c r="K29" s="484"/>
    </row>
    <row r="32" spans="1:11" x14ac:dyDescent="0.2">
      <c r="A32" s="337" t="s">
        <v>381</v>
      </c>
    </row>
    <row r="6969" spans="4:4" x14ac:dyDescent="0.2"/>
    <row r="7073" spans="5:5" x14ac:dyDescent="0.2"/>
  </sheetData>
  <sheetProtection selectLockedCells="1"/>
  <mergeCells count="16">
    <mergeCell ref="J29:K29"/>
    <mergeCell ref="J24:K24"/>
    <mergeCell ref="J25:K25"/>
    <mergeCell ref="J26:K26"/>
    <mergeCell ref="J27:K27"/>
    <mergeCell ref="J28:K28"/>
    <mergeCell ref="H11:J11"/>
    <mergeCell ref="H12:J12"/>
    <mergeCell ref="J21:K21"/>
    <mergeCell ref="J22:K22"/>
    <mergeCell ref="J23:K23"/>
    <mergeCell ref="H6:J6"/>
    <mergeCell ref="H7:J7"/>
    <mergeCell ref="H8:J8"/>
    <mergeCell ref="H10:J10"/>
    <mergeCell ref="I9:J9"/>
  </mergeCells>
  <conditionalFormatting sqref="D22:D29 F22:F29 H22:H29 J22:K29">
    <cfRule type="cellIs" dxfId="83" priority="9" operator="greaterThan">
      <formula>0.1</formula>
    </cfRule>
    <cfRule type="cellIs" dxfId="82" priority="10" operator="lessThan">
      <formula>-0.1</formula>
    </cfRule>
    <cfRule type="cellIs" dxfId="81" priority="11" operator="between">
      <formula>-0.1</formula>
      <formula>0.1</formula>
    </cfRule>
  </conditionalFormatting>
  <pageMargins left="0.49027777777777798" right="0.23611111111111099" top="0.89027777777777795" bottom="0.23611111111111099" header="0" footer="0"/>
  <pageSetup paperSize="9" scale="60" firstPageNumber="0" orientation="portrait" verticalDpi="300" r:id="rId1"/>
  <headerFooter>
    <oddHeader>&amp;L&amp;8Using Level formula:
V=15.549-(0.036xH)&amp;C&amp;8Contamination Monitoring Product 30-1 Twin light source calibration record&amp;R&amp;8('A' Rig  with 'A2' level gauge)</oddHeader>
    <oddFooter>&amp;CPage &amp;P</oddFooter>
  </headerFooter>
  <rowBreaks count="1" manualBreakCount="1">
    <brk id="82" max="16383" man="1"/>
  </rowBreak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7A01-82C2-4B5C-A7CD-42B5E069EF58}">
  <dimension ref="A1:G127"/>
  <sheetViews>
    <sheetView topLeftCell="B1" zoomScaleNormal="100" workbookViewId="0">
      <selection activeCell="F6" sqref="F6:G6"/>
    </sheetView>
  </sheetViews>
  <sheetFormatPr defaultColWidth="9.140625" defaultRowHeight="12.75" x14ac:dyDescent="0.2"/>
  <cols>
    <col min="1" max="1" width="6.7109375" style="340" hidden="1" customWidth="1"/>
    <col min="2" max="2" width="9.140625" style="340"/>
    <col min="3" max="3" width="12.85546875" style="340" customWidth="1"/>
    <col min="4" max="4" width="19.28515625" style="340" customWidth="1"/>
    <col min="5" max="5" width="15.5703125" style="340" bestFit="1" customWidth="1"/>
    <col min="6" max="16384" width="9.140625" style="340"/>
  </cols>
  <sheetData>
    <row r="1" spans="1:7" ht="13.5" thickBot="1" x14ac:dyDescent="0.25"/>
    <row r="2" spans="1:7" ht="19.5" thickBot="1" x14ac:dyDescent="0.25">
      <c r="C2" s="497" t="s">
        <v>382</v>
      </c>
      <c r="D2" s="498"/>
      <c r="E2" s="498"/>
      <c r="F2" s="498"/>
      <c r="G2" s="499"/>
    </row>
    <row r="3" spans="1:7" ht="13.15" customHeight="1" x14ac:dyDescent="0.2"/>
    <row r="4" spans="1:7" ht="15" x14ac:dyDescent="0.2">
      <c r="C4" s="413" t="s">
        <v>41</v>
      </c>
      <c r="D4" s="414"/>
      <c r="E4" s="415"/>
      <c r="F4" s="415"/>
      <c r="G4" s="416"/>
    </row>
    <row r="5" spans="1:7" ht="15" x14ac:dyDescent="0.2">
      <c r="C5" s="285" t="s">
        <v>43</v>
      </c>
      <c r="D5" s="341"/>
      <c r="E5" s="342" t="str">
        <f>'ICM Job Card 2022'!C14</f>
        <v>-</v>
      </c>
      <c r="F5" s="493" t="b">
        <v>0</v>
      </c>
      <c r="G5" s="494"/>
    </row>
    <row r="6" spans="1:7" ht="15" x14ac:dyDescent="0.2">
      <c r="A6" s="343" t="b">
        <f>'ICM Job Card 2022'!C15</f>
        <v>0</v>
      </c>
      <c r="B6" s="344"/>
      <c r="C6" s="286" t="s">
        <v>44</v>
      </c>
      <c r="D6" s="341"/>
      <c r="E6" s="345">
        <f>IF(A6=TRUE,1,2)</f>
        <v>2</v>
      </c>
      <c r="F6" s="493" t="b">
        <v>0</v>
      </c>
      <c r="G6" s="494"/>
    </row>
    <row r="7" spans="1:7" ht="15" x14ac:dyDescent="0.2">
      <c r="A7" s="343" t="b">
        <f>'ICM Job Card 2022'!C16</f>
        <v>0</v>
      </c>
      <c r="B7" s="344"/>
      <c r="C7" s="346" t="s">
        <v>371</v>
      </c>
      <c r="D7" s="347"/>
      <c r="E7" s="345">
        <f>IF(A7=TRUE,1,2)</f>
        <v>2</v>
      </c>
      <c r="F7" s="493" t="b">
        <v>0</v>
      </c>
      <c r="G7" s="494"/>
    </row>
    <row r="8" spans="1:7" ht="15" x14ac:dyDescent="0.2">
      <c r="A8" s="343"/>
      <c r="B8" s="344"/>
      <c r="C8" s="348" t="s">
        <v>47</v>
      </c>
      <c r="D8" s="349"/>
      <c r="E8" s="350" t="str">
        <f>'ICM Job Card 2022'!C17</f>
        <v>-</v>
      </c>
      <c r="F8" s="493" t="b">
        <v>0</v>
      </c>
      <c r="G8" s="494"/>
    </row>
    <row r="9" spans="1:7" ht="15.75" thickBot="1" x14ac:dyDescent="0.25">
      <c r="A9" s="343"/>
      <c r="C9" s="351" t="s">
        <v>383</v>
      </c>
      <c r="D9" s="352"/>
      <c r="E9" s="350"/>
      <c r="F9" s="493" t="b">
        <v>0</v>
      </c>
      <c r="G9" s="494"/>
    </row>
    <row r="11" spans="1:7" ht="15" x14ac:dyDescent="0.2">
      <c r="A11" s="343"/>
      <c r="B11" s="344"/>
      <c r="C11" s="500" t="s">
        <v>37</v>
      </c>
      <c r="D11" s="500"/>
      <c r="E11" s="500"/>
      <c r="F11" s="500"/>
      <c r="G11" s="500"/>
    </row>
    <row r="12" spans="1:7" ht="15" x14ac:dyDescent="0.2">
      <c r="A12" s="343" t="b">
        <f>'ICM Job Card 2022'!H12</f>
        <v>0</v>
      </c>
      <c r="B12" s="344"/>
      <c r="C12" s="289" t="s">
        <v>40</v>
      </c>
      <c r="D12" s="290"/>
      <c r="E12" s="353">
        <f>IF(A12=TRUE,1,2)</f>
        <v>2</v>
      </c>
      <c r="F12" s="493" t="b">
        <v>0</v>
      </c>
      <c r="G12" s="494"/>
    </row>
    <row r="13" spans="1:7" ht="15" x14ac:dyDescent="0.2">
      <c r="A13" s="343" t="b">
        <f>'ICM Job Card 2022'!H13</f>
        <v>0</v>
      </c>
      <c r="B13" s="344"/>
      <c r="C13" s="289" t="s">
        <v>42</v>
      </c>
      <c r="D13" s="290"/>
      <c r="E13" s="353">
        <f>IF(A13=TRUE,1,2)</f>
        <v>2</v>
      </c>
      <c r="F13" s="493" t="b">
        <v>0</v>
      </c>
      <c r="G13" s="494"/>
    </row>
    <row r="14" spans="1:7" ht="15" x14ac:dyDescent="0.2">
      <c r="A14" s="343" t="b">
        <f>'ICM Job Card 2022'!H14</f>
        <v>0</v>
      </c>
      <c r="B14" s="344"/>
      <c r="C14" s="289" t="s">
        <v>370</v>
      </c>
      <c r="D14" s="290"/>
      <c r="E14" s="353">
        <f>IF(A14=TRUE,1,2)</f>
        <v>2</v>
      </c>
      <c r="F14" s="493" t="b">
        <v>0</v>
      </c>
      <c r="G14" s="494"/>
    </row>
    <row r="15" spans="1:7" ht="15" x14ac:dyDescent="0.2">
      <c r="A15" s="343" t="b">
        <f>'ICM Job Card 2022'!H15</f>
        <v>0</v>
      </c>
      <c r="B15" s="344"/>
      <c r="C15" s="289" t="s">
        <v>45</v>
      </c>
      <c r="D15" s="290"/>
      <c r="E15" s="353">
        <f>IF(A15=TRUE,1,2)</f>
        <v>2</v>
      </c>
      <c r="F15" s="493" t="b">
        <v>0</v>
      </c>
      <c r="G15" s="494"/>
    </row>
    <row r="16" spans="1:7" ht="15" x14ac:dyDescent="0.2">
      <c r="A16" s="343" t="b">
        <f>'ICM Job Card 2022'!H16</f>
        <v>0</v>
      </c>
      <c r="B16" s="344"/>
      <c r="C16" s="289" t="s">
        <v>46</v>
      </c>
      <c r="D16" s="290"/>
      <c r="E16" s="353">
        <f>IF(A16=TRUE,1,2)</f>
        <v>2</v>
      </c>
      <c r="F16" s="493" t="b">
        <v>0</v>
      </c>
      <c r="G16" s="494"/>
    </row>
    <row r="17" spans="1:7" ht="15" x14ac:dyDescent="0.2">
      <c r="A17" s="343"/>
      <c r="B17" s="344"/>
      <c r="C17" s="289" t="s">
        <v>372</v>
      </c>
      <c r="D17" s="290"/>
      <c r="E17" s="354">
        <f>'ICM Job Card 2022'!H17</f>
        <v>0</v>
      </c>
      <c r="F17" s="493" t="b">
        <v>0</v>
      </c>
      <c r="G17" s="494"/>
    </row>
    <row r="18" spans="1:7" ht="15.75" thickBot="1" x14ac:dyDescent="0.25">
      <c r="A18" s="343"/>
      <c r="B18" s="344"/>
      <c r="C18" s="297" t="s">
        <v>48</v>
      </c>
      <c r="D18" s="298"/>
      <c r="E18" s="354">
        <f>'ICM Job Card 2022'!H18</f>
        <v>0</v>
      </c>
      <c r="F18" s="493" t="b">
        <v>0</v>
      </c>
      <c r="G18" s="494"/>
    </row>
    <row r="19" spans="1:7" ht="13.5" thickBot="1" x14ac:dyDescent="0.25"/>
    <row r="20" spans="1:7" ht="15" x14ac:dyDescent="0.2">
      <c r="C20" s="383" t="s">
        <v>49</v>
      </c>
      <c r="D20" s="384"/>
      <c r="E20" s="384"/>
      <c r="F20" s="384"/>
      <c r="G20" s="403"/>
    </row>
    <row r="21" spans="1:7" ht="15" x14ac:dyDescent="0.2">
      <c r="C21" s="299" t="s">
        <v>51</v>
      </c>
      <c r="D21" s="300"/>
      <c r="E21" s="355" t="str">
        <f>'ICM Job Card 2022'!C20</f>
        <v>-</v>
      </c>
      <c r="F21" s="493" t="b">
        <v>0</v>
      </c>
      <c r="G21" s="494"/>
    </row>
    <row r="22" spans="1:7" ht="15" x14ac:dyDescent="0.2">
      <c r="C22" s="285" t="s">
        <v>53</v>
      </c>
      <c r="D22" s="301"/>
      <c r="E22" s="356">
        <f>'ICM Job Card 2022'!C21</f>
        <v>0</v>
      </c>
      <c r="F22" s="493" t="b">
        <v>0</v>
      </c>
      <c r="G22" s="494"/>
    </row>
    <row r="23" spans="1:7" ht="15" x14ac:dyDescent="0.2">
      <c r="C23" s="285" t="s">
        <v>375</v>
      </c>
      <c r="D23" s="301"/>
      <c r="E23" s="356">
        <f>'ICM Job Card 2022'!C22</f>
        <v>0</v>
      </c>
      <c r="F23" s="493" t="b">
        <v>0</v>
      </c>
      <c r="G23" s="494"/>
    </row>
    <row r="24" spans="1:7" ht="15" x14ac:dyDescent="0.2">
      <c r="A24" s="340" t="b">
        <f>'ICM Job Card 2022'!C23</f>
        <v>0</v>
      </c>
      <c r="C24" s="285" t="s">
        <v>376</v>
      </c>
      <c r="D24" s="301"/>
      <c r="E24" s="353">
        <f>IF(A24=TRUE,1,2)</f>
        <v>2</v>
      </c>
      <c r="F24" s="493" t="b">
        <v>0</v>
      </c>
      <c r="G24" s="494"/>
    </row>
    <row r="25" spans="1:7" ht="15" x14ac:dyDescent="0.2">
      <c r="C25" s="285" t="s">
        <v>377</v>
      </c>
      <c r="D25" s="301"/>
      <c r="E25" s="356">
        <f>'ICM Job Card 2022'!C24</f>
        <v>0</v>
      </c>
      <c r="F25" s="493" t="b">
        <v>0</v>
      </c>
      <c r="G25" s="494"/>
    </row>
    <row r="26" spans="1:7" ht="15" x14ac:dyDescent="0.2">
      <c r="A26" s="340" t="b">
        <f>'ICM Job Card 2022'!C25</f>
        <v>0</v>
      </c>
      <c r="C26" s="285" t="s">
        <v>378</v>
      </c>
      <c r="D26" s="301"/>
      <c r="E26" s="353">
        <f>IF(A26=TRUE,1,2)</f>
        <v>2</v>
      </c>
      <c r="F26" s="493" t="b">
        <v>0</v>
      </c>
      <c r="G26" s="494"/>
    </row>
    <row r="27" spans="1:7" ht="15.75" thickBot="1" x14ac:dyDescent="0.25">
      <c r="A27" s="340" t="b">
        <f>'ICM Job Card 2022'!C26</f>
        <v>0</v>
      </c>
      <c r="C27" s="292" t="s">
        <v>379</v>
      </c>
      <c r="D27" s="305"/>
      <c r="E27" s="353">
        <f>IF(A27=TRUE,1,2)</f>
        <v>2</v>
      </c>
      <c r="F27" s="493" t="b">
        <v>0</v>
      </c>
      <c r="G27" s="494"/>
    </row>
    <row r="29" spans="1:7" ht="13.5" thickBot="1" x14ac:dyDescent="0.25"/>
    <row r="30" spans="1:7" ht="15" x14ac:dyDescent="0.2">
      <c r="B30" s="343"/>
      <c r="C30" s="383" t="s">
        <v>384</v>
      </c>
      <c r="D30" s="384"/>
      <c r="E30" s="384"/>
      <c r="F30" s="384"/>
      <c r="G30" s="403"/>
    </row>
    <row r="31" spans="1:7" ht="13.5" thickBot="1" x14ac:dyDescent="0.25"/>
    <row r="32" spans="1:7" ht="15.75" thickBot="1" x14ac:dyDescent="0.25">
      <c r="B32" s="343"/>
      <c r="C32" s="491" t="s">
        <v>385</v>
      </c>
      <c r="D32" s="492"/>
      <c r="F32" s="493" t="b">
        <v>0</v>
      </c>
      <c r="G32" s="494"/>
    </row>
    <row r="33" spans="2:7" ht="15.75" thickBot="1" x14ac:dyDescent="0.25">
      <c r="B33" s="343"/>
      <c r="C33" s="491" t="s">
        <v>386</v>
      </c>
      <c r="D33" s="492"/>
      <c r="F33" s="493" t="b">
        <v>0</v>
      </c>
      <c r="G33" s="494"/>
    </row>
    <row r="34" spans="2:7" ht="15.75" thickBot="1" x14ac:dyDescent="0.25">
      <c r="B34" s="343"/>
      <c r="C34" s="491" t="s">
        <v>387</v>
      </c>
      <c r="D34" s="492"/>
      <c r="F34" s="493" t="b">
        <v>0</v>
      </c>
      <c r="G34" s="494"/>
    </row>
    <row r="35" spans="2:7" ht="15.75" thickBot="1" x14ac:dyDescent="0.25">
      <c r="B35" s="343"/>
      <c r="C35" s="491" t="s">
        <v>388</v>
      </c>
      <c r="D35" s="492"/>
      <c r="F35" s="493" t="b">
        <v>0</v>
      </c>
      <c r="G35" s="494"/>
    </row>
    <row r="36" spans="2:7" ht="15.75" thickBot="1" x14ac:dyDescent="0.25">
      <c r="B36" s="343"/>
      <c r="C36" s="491" t="s">
        <v>389</v>
      </c>
      <c r="D36" s="492"/>
      <c r="F36" s="493" t="b">
        <v>0</v>
      </c>
      <c r="G36" s="494"/>
    </row>
    <row r="37" spans="2:7" ht="15.75" thickBot="1" x14ac:dyDescent="0.25">
      <c r="B37" s="343"/>
      <c r="C37" s="491" t="s">
        <v>390</v>
      </c>
      <c r="D37" s="492"/>
      <c r="F37" s="493" t="b">
        <v>0</v>
      </c>
      <c r="G37" s="494"/>
    </row>
    <row r="38" spans="2:7" ht="15.75" thickBot="1" x14ac:dyDescent="0.25">
      <c r="B38" s="343"/>
      <c r="C38" s="496" t="s">
        <v>391</v>
      </c>
      <c r="D38" s="486"/>
      <c r="F38" s="493" t="b">
        <v>0</v>
      </c>
      <c r="G38" s="494"/>
    </row>
    <row r="40" spans="2:7" ht="13.5" thickBot="1" x14ac:dyDescent="0.25"/>
    <row r="41" spans="2:7" ht="15" x14ac:dyDescent="0.2">
      <c r="B41" s="343"/>
      <c r="C41" s="383" t="s">
        <v>392</v>
      </c>
      <c r="D41" s="384"/>
      <c r="E41" s="384"/>
      <c r="F41" s="384"/>
      <c r="G41" s="403"/>
    </row>
    <row r="42" spans="2:7" ht="13.5" thickBot="1" x14ac:dyDescent="0.25"/>
    <row r="43" spans="2:7" ht="15.75" thickBot="1" x14ac:dyDescent="0.25">
      <c r="B43" s="343"/>
      <c r="C43" s="491" t="s">
        <v>393</v>
      </c>
      <c r="D43" s="492"/>
      <c r="F43" s="493" t="b">
        <v>0</v>
      </c>
      <c r="G43" s="494"/>
    </row>
    <row r="44" spans="2:7" ht="15.75" thickBot="1" x14ac:dyDescent="0.25">
      <c r="B44" s="343"/>
      <c r="C44" s="491" t="s">
        <v>394</v>
      </c>
      <c r="D44" s="492"/>
      <c r="F44" s="493" t="b">
        <v>0</v>
      </c>
      <c r="G44" s="494"/>
    </row>
    <row r="45" spans="2:7" ht="15.75" thickBot="1" x14ac:dyDescent="0.25">
      <c r="B45" s="343"/>
      <c r="C45" s="491" t="s">
        <v>395</v>
      </c>
      <c r="D45" s="492"/>
      <c r="F45" s="493" t="b">
        <v>0</v>
      </c>
      <c r="G45" s="494"/>
    </row>
    <row r="46" spans="2:7" ht="15.75" thickBot="1" x14ac:dyDescent="0.25">
      <c r="B46" s="343"/>
      <c r="C46" s="491" t="s">
        <v>396</v>
      </c>
      <c r="D46" s="492"/>
      <c r="F46" s="493" t="b">
        <v>0</v>
      </c>
      <c r="G46" s="494"/>
    </row>
    <row r="47" spans="2:7" ht="15.75" thickBot="1" x14ac:dyDescent="0.25">
      <c r="B47" s="343"/>
      <c r="C47" s="495" t="s">
        <v>397</v>
      </c>
      <c r="D47" s="492"/>
      <c r="F47" s="493" t="b">
        <v>0</v>
      </c>
      <c r="G47" s="494"/>
    </row>
    <row r="48" spans="2:7" ht="15.75" thickBot="1" x14ac:dyDescent="0.25">
      <c r="B48" s="343"/>
      <c r="C48" s="485" t="s">
        <v>398</v>
      </c>
      <c r="D48" s="486"/>
      <c r="E48" s="357"/>
      <c r="F48" s="489" t="b">
        <v>0</v>
      </c>
      <c r="G48" s="490"/>
    </row>
    <row r="49" spans="2:7" ht="14.25" thickBot="1" x14ac:dyDescent="0.25">
      <c r="B49" s="343"/>
      <c r="C49" s="485" t="s">
        <v>399</v>
      </c>
      <c r="D49" s="486"/>
      <c r="E49" s="357"/>
      <c r="F49" s="487" t="s">
        <v>101</v>
      </c>
      <c r="G49" s="488"/>
    </row>
    <row r="127" spans="1:1" x14ac:dyDescent="0.2">
      <c r="A127" s="340" t="b">
        <v>0</v>
      </c>
    </row>
  </sheetData>
  <sheetProtection sheet="1" objects="1" scenarios="1" selectLockedCells="1"/>
  <mergeCells count="53">
    <mergeCell ref="F15:G15"/>
    <mergeCell ref="C2:G2"/>
    <mergeCell ref="C4:G4"/>
    <mergeCell ref="F5:G5"/>
    <mergeCell ref="F6:G6"/>
    <mergeCell ref="F7:G7"/>
    <mergeCell ref="F8:G8"/>
    <mergeCell ref="F9:G9"/>
    <mergeCell ref="C11:G11"/>
    <mergeCell ref="F12:G12"/>
    <mergeCell ref="F13:G13"/>
    <mergeCell ref="F14:G14"/>
    <mergeCell ref="C30:G30"/>
    <mergeCell ref="F16:G16"/>
    <mergeCell ref="F17:G17"/>
    <mergeCell ref="F18:G18"/>
    <mergeCell ref="C20:G20"/>
    <mergeCell ref="F21:G21"/>
    <mergeCell ref="F22:G22"/>
    <mergeCell ref="F23:G23"/>
    <mergeCell ref="F24:G24"/>
    <mergeCell ref="F25:G25"/>
    <mergeCell ref="F26:G26"/>
    <mergeCell ref="F27:G27"/>
    <mergeCell ref="C32:D32"/>
    <mergeCell ref="F32:G32"/>
    <mergeCell ref="C33:D33"/>
    <mergeCell ref="F33:G33"/>
    <mergeCell ref="C34:D34"/>
    <mergeCell ref="F34:G34"/>
    <mergeCell ref="C44:D44"/>
    <mergeCell ref="F44:G44"/>
    <mergeCell ref="C35:D35"/>
    <mergeCell ref="F35:G35"/>
    <mergeCell ref="C36:D36"/>
    <mergeCell ref="F36:G36"/>
    <mergeCell ref="C37:D37"/>
    <mergeCell ref="F37:G37"/>
    <mergeCell ref="C38:D38"/>
    <mergeCell ref="F38:G38"/>
    <mergeCell ref="C41:G41"/>
    <mergeCell ref="C43:D43"/>
    <mergeCell ref="F43:G43"/>
    <mergeCell ref="C49:D49"/>
    <mergeCell ref="F49:G49"/>
    <mergeCell ref="C48:D48"/>
    <mergeCell ref="F48:G48"/>
    <mergeCell ref="C45:D45"/>
    <mergeCell ref="F45:G45"/>
    <mergeCell ref="C46:D46"/>
    <mergeCell ref="F46:G46"/>
    <mergeCell ref="C47:D47"/>
    <mergeCell ref="F47:G47"/>
  </mergeCells>
  <conditionalFormatting sqref="F5:F9 F12:F18 F21:F27 F32:F38">
    <cfRule type="expression" dxfId="80" priority="13">
      <formula>$A$127</formula>
    </cfRule>
  </conditionalFormatting>
  <conditionalFormatting sqref="F43:F48">
    <cfRule type="expression" dxfId="79" priority="5">
      <formula>$A$127</formula>
    </cfRule>
  </conditionalFormatting>
  <conditionalFormatting sqref="F5:G9 F12:G18 F21:G27">
    <cfRule type="containsText" dxfId="78" priority="11" operator="containsText" text="TRUE">
      <formula>NOT(ISERROR(SEARCH("TRUE",F5)))</formula>
    </cfRule>
  </conditionalFormatting>
  <conditionalFormatting sqref="F32:G38">
    <cfRule type="containsText" dxfId="77" priority="6" operator="containsText" text="TRUE">
      <formula>NOT(ISERROR(SEARCH("TRUE",F32)))</formula>
    </cfRule>
  </conditionalFormatting>
  <conditionalFormatting sqref="F43:G48">
    <cfRule type="containsText" dxfId="76" priority="3" operator="containsText" text="TRUE">
      <formula>NOT(ISERROR(SEARCH("TRUE",F43)))</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3553" r:id="rId3" name="Check Box 1">
              <controlPr defaultSize="0" autoFill="0" autoLine="0" autoPict="0">
                <anchor moveWithCells="1">
                  <from>
                    <xdr:col>5</xdr:col>
                    <xdr:colOff>514350</xdr:colOff>
                    <xdr:row>3</xdr:row>
                    <xdr:rowOff>161925</xdr:rowOff>
                  </from>
                  <to>
                    <xdr:col>6</xdr:col>
                    <xdr:colOff>285750</xdr:colOff>
                    <xdr:row>5</xdr:row>
                    <xdr:rowOff>0</xdr:rowOff>
                  </to>
                </anchor>
              </controlPr>
            </control>
          </mc:Choice>
        </mc:AlternateContent>
        <mc:AlternateContent xmlns:mc="http://schemas.openxmlformats.org/markup-compatibility/2006">
          <mc:Choice Requires="x14">
            <control shapeId="23554" r:id="rId4" name="Check Box 2">
              <controlPr defaultSize="0" autoFill="0" autoLine="0" autoPict="0">
                <anchor moveWithCells="1">
                  <from>
                    <xdr:col>5</xdr:col>
                    <xdr:colOff>514350</xdr:colOff>
                    <xdr:row>4</xdr:row>
                    <xdr:rowOff>161925</xdr:rowOff>
                  </from>
                  <to>
                    <xdr:col>6</xdr:col>
                    <xdr:colOff>285750</xdr:colOff>
                    <xdr:row>5</xdr:row>
                    <xdr:rowOff>171450</xdr:rowOff>
                  </to>
                </anchor>
              </controlPr>
            </control>
          </mc:Choice>
        </mc:AlternateContent>
        <mc:AlternateContent xmlns:mc="http://schemas.openxmlformats.org/markup-compatibility/2006">
          <mc:Choice Requires="x14">
            <control shapeId="23555" r:id="rId5" name="Check Box 3">
              <controlPr defaultSize="0" autoFill="0" autoLine="0" autoPict="0">
                <anchor moveWithCells="1">
                  <from>
                    <xdr:col>5</xdr:col>
                    <xdr:colOff>514350</xdr:colOff>
                    <xdr:row>5</xdr:row>
                    <xdr:rowOff>161925</xdr:rowOff>
                  </from>
                  <to>
                    <xdr:col>6</xdr:col>
                    <xdr:colOff>285750</xdr:colOff>
                    <xdr:row>7</xdr:row>
                    <xdr:rowOff>0</xdr:rowOff>
                  </to>
                </anchor>
              </controlPr>
            </control>
          </mc:Choice>
        </mc:AlternateContent>
        <mc:AlternateContent xmlns:mc="http://schemas.openxmlformats.org/markup-compatibility/2006">
          <mc:Choice Requires="x14">
            <control shapeId="23556" r:id="rId6" name="Check Box 4">
              <controlPr defaultSize="0" autoFill="0" autoLine="0" autoPict="0">
                <anchor moveWithCells="1">
                  <from>
                    <xdr:col>5</xdr:col>
                    <xdr:colOff>514350</xdr:colOff>
                    <xdr:row>6</xdr:row>
                    <xdr:rowOff>161925</xdr:rowOff>
                  </from>
                  <to>
                    <xdr:col>6</xdr:col>
                    <xdr:colOff>285750</xdr:colOff>
                    <xdr:row>8</xdr:row>
                    <xdr:rowOff>0</xdr:rowOff>
                  </to>
                </anchor>
              </controlPr>
            </control>
          </mc:Choice>
        </mc:AlternateContent>
        <mc:AlternateContent xmlns:mc="http://schemas.openxmlformats.org/markup-compatibility/2006">
          <mc:Choice Requires="x14">
            <control shapeId="23557" r:id="rId7" name="Check Box 5">
              <controlPr defaultSize="0" autoFill="0" autoLine="0" autoPict="0">
                <anchor moveWithCells="1">
                  <from>
                    <xdr:col>5</xdr:col>
                    <xdr:colOff>514350</xdr:colOff>
                    <xdr:row>10</xdr:row>
                    <xdr:rowOff>161925</xdr:rowOff>
                  </from>
                  <to>
                    <xdr:col>6</xdr:col>
                    <xdr:colOff>285750</xdr:colOff>
                    <xdr:row>12</xdr:row>
                    <xdr:rowOff>0</xdr:rowOff>
                  </to>
                </anchor>
              </controlPr>
            </control>
          </mc:Choice>
        </mc:AlternateContent>
        <mc:AlternateContent xmlns:mc="http://schemas.openxmlformats.org/markup-compatibility/2006">
          <mc:Choice Requires="x14">
            <control shapeId="23558" r:id="rId8" name="Check Box 6">
              <controlPr defaultSize="0" autoFill="0" autoLine="0" autoPict="0">
                <anchor moveWithCells="1">
                  <from>
                    <xdr:col>5</xdr:col>
                    <xdr:colOff>514350</xdr:colOff>
                    <xdr:row>11</xdr:row>
                    <xdr:rowOff>161925</xdr:rowOff>
                  </from>
                  <to>
                    <xdr:col>6</xdr:col>
                    <xdr:colOff>285750</xdr:colOff>
                    <xdr:row>12</xdr:row>
                    <xdr:rowOff>171450</xdr:rowOff>
                  </to>
                </anchor>
              </controlPr>
            </control>
          </mc:Choice>
        </mc:AlternateContent>
        <mc:AlternateContent xmlns:mc="http://schemas.openxmlformats.org/markup-compatibility/2006">
          <mc:Choice Requires="x14">
            <control shapeId="23559" r:id="rId9" name="Check Box 7">
              <controlPr defaultSize="0" autoFill="0" autoLine="0" autoPict="0">
                <anchor moveWithCells="1">
                  <from>
                    <xdr:col>5</xdr:col>
                    <xdr:colOff>514350</xdr:colOff>
                    <xdr:row>12</xdr:row>
                    <xdr:rowOff>161925</xdr:rowOff>
                  </from>
                  <to>
                    <xdr:col>6</xdr:col>
                    <xdr:colOff>285750</xdr:colOff>
                    <xdr:row>13</xdr:row>
                    <xdr:rowOff>171450</xdr:rowOff>
                  </to>
                </anchor>
              </controlPr>
            </control>
          </mc:Choice>
        </mc:AlternateContent>
        <mc:AlternateContent xmlns:mc="http://schemas.openxmlformats.org/markup-compatibility/2006">
          <mc:Choice Requires="x14">
            <control shapeId="23560" r:id="rId10" name="Check Box 8">
              <controlPr defaultSize="0" autoFill="0" autoLine="0" autoPict="0">
                <anchor moveWithCells="1">
                  <from>
                    <xdr:col>5</xdr:col>
                    <xdr:colOff>514350</xdr:colOff>
                    <xdr:row>13</xdr:row>
                    <xdr:rowOff>161925</xdr:rowOff>
                  </from>
                  <to>
                    <xdr:col>6</xdr:col>
                    <xdr:colOff>285750</xdr:colOff>
                    <xdr:row>14</xdr:row>
                    <xdr:rowOff>171450</xdr:rowOff>
                  </to>
                </anchor>
              </controlPr>
            </control>
          </mc:Choice>
        </mc:AlternateContent>
        <mc:AlternateContent xmlns:mc="http://schemas.openxmlformats.org/markup-compatibility/2006">
          <mc:Choice Requires="x14">
            <control shapeId="23561" r:id="rId11" name="Check Box 9">
              <controlPr defaultSize="0" autoFill="0" autoLine="0" autoPict="0">
                <anchor moveWithCells="1">
                  <from>
                    <xdr:col>5</xdr:col>
                    <xdr:colOff>514350</xdr:colOff>
                    <xdr:row>14</xdr:row>
                    <xdr:rowOff>161925</xdr:rowOff>
                  </from>
                  <to>
                    <xdr:col>6</xdr:col>
                    <xdr:colOff>285750</xdr:colOff>
                    <xdr:row>15</xdr:row>
                    <xdr:rowOff>171450</xdr:rowOff>
                  </to>
                </anchor>
              </controlPr>
            </control>
          </mc:Choice>
        </mc:AlternateContent>
        <mc:AlternateContent xmlns:mc="http://schemas.openxmlformats.org/markup-compatibility/2006">
          <mc:Choice Requires="x14">
            <control shapeId="23562" r:id="rId12" name="Check Box 10">
              <controlPr defaultSize="0" autoFill="0" autoLine="0" autoPict="0">
                <anchor moveWithCells="1">
                  <from>
                    <xdr:col>5</xdr:col>
                    <xdr:colOff>514350</xdr:colOff>
                    <xdr:row>15</xdr:row>
                    <xdr:rowOff>161925</xdr:rowOff>
                  </from>
                  <to>
                    <xdr:col>6</xdr:col>
                    <xdr:colOff>285750</xdr:colOff>
                    <xdr:row>16</xdr:row>
                    <xdr:rowOff>171450</xdr:rowOff>
                  </to>
                </anchor>
              </controlPr>
            </control>
          </mc:Choice>
        </mc:AlternateContent>
        <mc:AlternateContent xmlns:mc="http://schemas.openxmlformats.org/markup-compatibility/2006">
          <mc:Choice Requires="x14">
            <control shapeId="23563" r:id="rId13" name="Check Box 11">
              <controlPr defaultSize="0" autoFill="0" autoLine="0" autoPict="0">
                <anchor moveWithCells="1">
                  <from>
                    <xdr:col>5</xdr:col>
                    <xdr:colOff>514350</xdr:colOff>
                    <xdr:row>16</xdr:row>
                    <xdr:rowOff>161925</xdr:rowOff>
                  </from>
                  <to>
                    <xdr:col>6</xdr:col>
                    <xdr:colOff>285750</xdr:colOff>
                    <xdr:row>17</xdr:row>
                    <xdr:rowOff>171450</xdr:rowOff>
                  </to>
                </anchor>
              </controlPr>
            </control>
          </mc:Choice>
        </mc:AlternateContent>
        <mc:AlternateContent xmlns:mc="http://schemas.openxmlformats.org/markup-compatibility/2006">
          <mc:Choice Requires="x14">
            <control shapeId="23564" r:id="rId14" name="Check Box 12">
              <controlPr defaultSize="0" autoFill="0" autoLine="0" autoPict="0">
                <anchor moveWithCells="1">
                  <from>
                    <xdr:col>5</xdr:col>
                    <xdr:colOff>514350</xdr:colOff>
                    <xdr:row>19</xdr:row>
                    <xdr:rowOff>161925</xdr:rowOff>
                  </from>
                  <to>
                    <xdr:col>6</xdr:col>
                    <xdr:colOff>285750</xdr:colOff>
                    <xdr:row>21</xdr:row>
                    <xdr:rowOff>0</xdr:rowOff>
                  </to>
                </anchor>
              </controlPr>
            </control>
          </mc:Choice>
        </mc:AlternateContent>
        <mc:AlternateContent xmlns:mc="http://schemas.openxmlformats.org/markup-compatibility/2006">
          <mc:Choice Requires="x14">
            <control shapeId="23565" r:id="rId15" name="Check Box 13">
              <controlPr defaultSize="0" autoFill="0" autoLine="0" autoPict="0">
                <anchor moveWithCells="1">
                  <from>
                    <xdr:col>5</xdr:col>
                    <xdr:colOff>514350</xdr:colOff>
                    <xdr:row>20</xdr:row>
                    <xdr:rowOff>161925</xdr:rowOff>
                  </from>
                  <to>
                    <xdr:col>6</xdr:col>
                    <xdr:colOff>285750</xdr:colOff>
                    <xdr:row>21</xdr:row>
                    <xdr:rowOff>171450</xdr:rowOff>
                  </to>
                </anchor>
              </controlPr>
            </control>
          </mc:Choice>
        </mc:AlternateContent>
        <mc:AlternateContent xmlns:mc="http://schemas.openxmlformats.org/markup-compatibility/2006">
          <mc:Choice Requires="x14">
            <control shapeId="23566" r:id="rId16" name="Check Box 14">
              <controlPr defaultSize="0" autoFill="0" autoLine="0" autoPict="0">
                <anchor moveWithCells="1">
                  <from>
                    <xdr:col>5</xdr:col>
                    <xdr:colOff>514350</xdr:colOff>
                    <xdr:row>21</xdr:row>
                    <xdr:rowOff>161925</xdr:rowOff>
                  </from>
                  <to>
                    <xdr:col>6</xdr:col>
                    <xdr:colOff>285750</xdr:colOff>
                    <xdr:row>22</xdr:row>
                    <xdr:rowOff>171450</xdr:rowOff>
                  </to>
                </anchor>
              </controlPr>
            </control>
          </mc:Choice>
        </mc:AlternateContent>
        <mc:AlternateContent xmlns:mc="http://schemas.openxmlformats.org/markup-compatibility/2006">
          <mc:Choice Requires="x14">
            <control shapeId="23567" r:id="rId17" name="Check Box 15">
              <controlPr defaultSize="0" autoFill="0" autoLine="0" autoPict="0">
                <anchor moveWithCells="1">
                  <from>
                    <xdr:col>5</xdr:col>
                    <xdr:colOff>514350</xdr:colOff>
                    <xdr:row>22</xdr:row>
                    <xdr:rowOff>161925</xdr:rowOff>
                  </from>
                  <to>
                    <xdr:col>6</xdr:col>
                    <xdr:colOff>285750</xdr:colOff>
                    <xdr:row>23</xdr:row>
                    <xdr:rowOff>171450</xdr:rowOff>
                  </to>
                </anchor>
              </controlPr>
            </control>
          </mc:Choice>
        </mc:AlternateContent>
        <mc:AlternateContent xmlns:mc="http://schemas.openxmlformats.org/markup-compatibility/2006">
          <mc:Choice Requires="x14">
            <control shapeId="23568" r:id="rId18" name="Check Box 16">
              <controlPr defaultSize="0" autoFill="0" autoLine="0" autoPict="0">
                <anchor moveWithCells="1">
                  <from>
                    <xdr:col>5</xdr:col>
                    <xdr:colOff>514350</xdr:colOff>
                    <xdr:row>23</xdr:row>
                    <xdr:rowOff>161925</xdr:rowOff>
                  </from>
                  <to>
                    <xdr:col>6</xdr:col>
                    <xdr:colOff>285750</xdr:colOff>
                    <xdr:row>24</xdr:row>
                    <xdr:rowOff>171450</xdr:rowOff>
                  </to>
                </anchor>
              </controlPr>
            </control>
          </mc:Choice>
        </mc:AlternateContent>
        <mc:AlternateContent xmlns:mc="http://schemas.openxmlformats.org/markup-compatibility/2006">
          <mc:Choice Requires="x14">
            <control shapeId="23569" r:id="rId19" name="Check Box 17">
              <controlPr defaultSize="0" autoFill="0" autoLine="0" autoPict="0">
                <anchor moveWithCells="1">
                  <from>
                    <xdr:col>5</xdr:col>
                    <xdr:colOff>514350</xdr:colOff>
                    <xdr:row>24</xdr:row>
                    <xdr:rowOff>161925</xdr:rowOff>
                  </from>
                  <to>
                    <xdr:col>6</xdr:col>
                    <xdr:colOff>285750</xdr:colOff>
                    <xdr:row>25</xdr:row>
                    <xdr:rowOff>171450</xdr:rowOff>
                  </to>
                </anchor>
              </controlPr>
            </control>
          </mc:Choice>
        </mc:AlternateContent>
        <mc:AlternateContent xmlns:mc="http://schemas.openxmlformats.org/markup-compatibility/2006">
          <mc:Choice Requires="x14">
            <control shapeId="23570" r:id="rId20" name="Check Box 18">
              <controlPr defaultSize="0" autoFill="0" autoLine="0" autoPict="0">
                <anchor moveWithCells="1">
                  <from>
                    <xdr:col>5</xdr:col>
                    <xdr:colOff>514350</xdr:colOff>
                    <xdr:row>25</xdr:row>
                    <xdr:rowOff>161925</xdr:rowOff>
                  </from>
                  <to>
                    <xdr:col>6</xdr:col>
                    <xdr:colOff>285750</xdr:colOff>
                    <xdr:row>26</xdr:row>
                    <xdr:rowOff>171450</xdr:rowOff>
                  </to>
                </anchor>
              </controlPr>
            </control>
          </mc:Choice>
        </mc:AlternateContent>
        <mc:AlternateContent xmlns:mc="http://schemas.openxmlformats.org/markup-compatibility/2006">
          <mc:Choice Requires="x14">
            <control shapeId="23571" r:id="rId21" name="Check Box 19">
              <controlPr defaultSize="0" autoFill="0" autoLine="0" autoPict="0">
                <anchor moveWithCells="1">
                  <from>
                    <xdr:col>5</xdr:col>
                    <xdr:colOff>514350</xdr:colOff>
                    <xdr:row>7</xdr:row>
                    <xdr:rowOff>161925</xdr:rowOff>
                  </from>
                  <to>
                    <xdr:col>6</xdr:col>
                    <xdr:colOff>285750</xdr:colOff>
                    <xdr:row>8</xdr:row>
                    <xdr:rowOff>171450</xdr:rowOff>
                  </to>
                </anchor>
              </controlPr>
            </control>
          </mc:Choice>
        </mc:AlternateContent>
        <mc:AlternateContent xmlns:mc="http://schemas.openxmlformats.org/markup-compatibility/2006">
          <mc:Choice Requires="x14">
            <control shapeId="23572" r:id="rId22" name="Check Box 20">
              <controlPr defaultSize="0" autoFill="0" autoLine="0" autoPict="0">
                <anchor moveWithCells="1">
                  <from>
                    <xdr:col>5</xdr:col>
                    <xdr:colOff>514350</xdr:colOff>
                    <xdr:row>30</xdr:row>
                    <xdr:rowOff>219075</xdr:rowOff>
                  </from>
                  <to>
                    <xdr:col>6</xdr:col>
                    <xdr:colOff>285750</xdr:colOff>
                    <xdr:row>32</xdr:row>
                    <xdr:rowOff>9525</xdr:rowOff>
                  </to>
                </anchor>
              </controlPr>
            </control>
          </mc:Choice>
        </mc:AlternateContent>
        <mc:AlternateContent xmlns:mc="http://schemas.openxmlformats.org/markup-compatibility/2006">
          <mc:Choice Requires="x14">
            <control shapeId="23573" r:id="rId23" name="Check Box 21">
              <controlPr defaultSize="0" autoFill="0" autoLine="0" autoPict="0">
                <anchor moveWithCells="1">
                  <from>
                    <xdr:col>5</xdr:col>
                    <xdr:colOff>514350</xdr:colOff>
                    <xdr:row>32</xdr:row>
                    <xdr:rowOff>0</xdr:rowOff>
                  </from>
                  <to>
                    <xdr:col>6</xdr:col>
                    <xdr:colOff>285750</xdr:colOff>
                    <xdr:row>33</xdr:row>
                    <xdr:rowOff>9525</xdr:rowOff>
                  </to>
                </anchor>
              </controlPr>
            </control>
          </mc:Choice>
        </mc:AlternateContent>
        <mc:AlternateContent xmlns:mc="http://schemas.openxmlformats.org/markup-compatibility/2006">
          <mc:Choice Requires="x14">
            <control shapeId="23574" r:id="rId24" name="Check Box 22">
              <controlPr defaultSize="0" autoFill="0" autoLine="0" autoPict="0">
                <anchor moveWithCells="1">
                  <from>
                    <xdr:col>5</xdr:col>
                    <xdr:colOff>514350</xdr:colOff>
                    <xdr:row>32</xdr:row>
                    <xdr:rowOff>180975</xdr:rowOff>
                  </from>
                  <to>
                    <xdr:col>6</xdr:col>
                    <xdr:colOff>285750</xdr:colOff>
                    <xdr:row>34</xdr:row>
                    <xdr:rowOff>0</xdr:rowOff>
                  </to>
                </anchor>
              </controlPr>
            </control>
          </mc:Choice>
        </mc:AlternateContent>
        <mc:AlternateContent xmlns:mc="http://schemas.openxmlformats.org/markup-compatibility/2006">
          <mc:Choice Requires="x14">
            <control shapeId="23575" r:id="rId25" name="Check Box 23">
              <controlPr defaultSize="0" autoFill="0" autoLine="0" autoPict="0">
                <anchor moveWithCells="1">
                  <from>
                    <xdr:col>5</xdr:col>
                    <xdr:colOff>514350</xdr:colOff>
                    <xdr:row>33</xdr:row>
                    <xdr:rowOff>180975</xdr:rowOff>
                  </from>
                  <to>
                    <xdr:col>6</xdr:col>
                    <xdr:colOff>285750</xdr:colOff>
                    <xdr:row>35</xdr:row>
                    <xdr:rowOff>0</xdr:rowOff>
                  </to>
                </anchor>
              </controlPr>
            </control>
          </mc:Choice>
        </mc:AlternateContent>
        <mc:AlternateContent xmlns:mc="http://schemas.openxmlformats.org/markup-compatibility/2006">
          <mc:Choice Requires="x14">
            <control shapeId="23576" r:id="rId26" name="Check Box 24">
              <controlPr defaultSize="0" autoFill="0" autoLine="0" autoPict="0">
                <anchor moveWithCells="1">
                  <from>
                    <xdr:col>5</xdr:col>
                    <xdr:colOff>514350</xdr:colOff>
                    <xdr:row>34</xdr:row>
                    <xdr:rowOff>180975</xdr:rowOff>
                  </from>
                  <to>
                    <xdr:col>6</xdr:col>
                    <xdr:colOff>285750</xdr:colOff>
                    <xdr:row>36</xdr:row>
                    <xdr:rowOff>0</xdr:rowOff>
                  </to>
                </anchor>
              </controlPr>
            </control>
          </mc:Choice>
        </mc:AlternateContent>
        <mc:AlternateContent xmlns:mc="http://schemas.openxmlformats.org/markup-compatibility/2006">
          <mc:Choice Requires="x14">
            <control shapeId="23577" r:id="rId27" name="Check Box 25">
              <controlPr defaultSize="0" autoFill="0" autoLine="0" autoPict="0">
                <anchor moveWithCells="1">
                  <from>
                    <xdr:col>5</xdr:col>
                    <xdr:colOff>514350</xdr:colOff>
                    <xdr:row>35</xdr:row>
                    <xdr:rowOff>180975</xdr:rowOff>
                  </from>
                  <to>
                    <xdr:col>6</xdr:col>
                    <xdr:colOff>285750</xdr:colOff>
                    <xdr:row>37</xdr:row>
                    <xdr:rowOff>0</xdr:rowOff>
                  </to>
                </anchor>
              </controlPr>
            </control>
          </mc:Choice>
        </mc:AlternateContent>
        <mc:AlternateContent xmlns:mc="http://schemas.openxmlformats.org/markup-compatibility/2006">
          <mc:Choice Requires="x14">
            <control shapeId="23578" r:id="rId28" name="Check Box 26">
              <controlPr defaultSize="0" autoFill="0" autoLine="0" autoPict="0">
                <anchor moveWithCells="1">
                  <from>
                    <xdr:col>5</xdr:col>
                    <xdr:colOff>514350</xdr:colOff>
                    <xdr:row>37</xdr:row>
                    <xdr:rowOff>0</xdr:rowOff>
                  </from>
                  <to>
                    <xdr:col>6</xdr:col>
                    <xdr:colOff>285750</xdr:colOff>
                    <xdr:row>38</xdr:row>
                    <xdr:rowOff>9525</xdr:rowOff>
                  </to>
                </anchor>
              </controlPr>
            </control>
          </mc:Choice>
        </mc:AlternateContent>
        <mc:AlternateContent xmlns:mc="http://schemas.openxmlformats.org/markup-compatibility/2006">
          <mc:Choice Requires="x14">
            <control shapeId="23579" r:id="rId29" name="Check Box 27">
              <controlPr defaultSize="0" autoFill="0" autoLine="0" autoPict="0">
                <anchor moveWithCells="1">
                  <from>
                    <xdr:col>5</xdr:col>
                    <xdr:colOff>514350</xdr:colOff>
                    <xdr:row>41</xdr:row>
                    <xdr:rowOff>219075</xdr:rowOff>
                  </from>
                  <to>
                    <xdr:col>6</xdr:col>
                    <xdr:colOff>285750</xdr:colOff>
                    <xdr:row>43</xdr:row>
                    <xdr:rowOff>9525</xdr:rowOff>
                  </to>
                </anchor>
              </controlPr>
            </control>
          </mc:Choice>
        </mc:AlternateContent>
        <mc:AlternateContent xmlns:mc="http://schemas.openxmlformats.org/markup-compatibility/2006">
          <mc:Choice Requires="x14">
            <control shapeId="23580" r:id="rId30" name="Check Box 28">
              <controlPr defaultSize="0" autoFill="0" autoLine="0" autoPict="0">
                <anchor moveWithCells="1">
                  <from>
                    <xdr:col>5</xdr:col>
                    <xdr:colOff>514350</xdr:colOff>
                    <xdr:row>43</xdr:row>
                    <xdr:rowOff>0</xdr:rowOff>
                  </from>
                  <to>
                    <xdr:col>6</xdr:col>
                    <xdr:colOff>285750</xdr:colOff>
                    <xdr:row>44</xdr:row>
                    <xdr:rowOff>9525</xdr:rowOff>
                  </to>
                </anchor>
              </controlPr>
            </control>
          </mc:Choice>
        </mc:AlternateContent>
        <mc:AlternateContent xmlns:mc="http://schemas.openxmlformats.org/markup-compatibility/2006">
          <mc:Choice Requires="x14">
            <control shapeId="23581" r:id="rId31" name="Check Box 29">
              <controlPr defaultSize="0" autoFill="0" autoLine="0" autoPict="0">
                <anchor moveWithCells="1">
                  <from>
                    <xdr:col>5</xdr:col>
                    <xdr:colOff>514350</xdr:colOff>
                    <xdr:row>43</xdr:row>
                    <xdr:rowOff>180975</xdr:rowOff>
                  </from>
                  <to>
                    <xdr:col>6</xdr:col>
                    <xdr:colOff>285750</xdr:colOff>
                    <xdr:row>45</xdr:row>
                    <xdr:rowOff>0</xdr:rowOff>
                  </to>
                </anchor>
              </controlPr>
            </control>
          </mc:Choice>
        </mc:AlternateContent>
        <mc:AlternateContent xmlns:mc="http://schemas.openxmlformats.org/markup-compatibility/2006">
          <mc:Choice Requires="x14">
            <control shapeId="23582" r:id="rId32" name="Check Box 30">
              <controlPr defaultSize="0" autoFill="0" autoLine="0" autoPict="0">
                <anchor moveWithCells="1">
                  <from>
                    <xdr:col>5</xdr:col>
                    <xdr:colOff>514350</xdr:colOff>
                    <xdr:row>44</xdr:row>
                    <xdr:rowOff>180975</xdr:rowOff>
                  </from>
                  <to>
                    <xdr:col>6</xdr:col>
                    <xdr:colOff>285750</xdr:colOff>
                    <xdr:row>46</xdr:row>
                    <xdr:rowOff>0</xdr:rowOff>
                  </to>
                </anchor>
              </controlPr>
            </control>
          </mc:Choice>
        </mc:AlternateContent>
        <mc:AlternateContent xmlns:mc="http://schemas.openxmlformats.org/markup-compatibility/2006">
          <mc:Choice Requires="x14">
            <control shapeId="23583" r:id="rId33" name="Check Box 31">
              <controlPr defaultSize="0" autoFill="0" autoLine="0" autoPict="0">
                <anchor moveWithCells="1">
                  <from>
                    <xdr:col>5</xdr:col>
                    <xdr:colOff>514350</xdr:colOff>
                    <xdr:row>45</xdr:row>
                    <xdr:rowOff>180975</xdr:rowOff>
                  </from>
                  <to>
                    <xdr:col>6</xdr:col>
                    <xdr:colOff>285750</xdr:colOff>
                    <xdr:row>47</xdr:row>
                    <xdr:rowOff>0</xdr:rowOff>
                  </to>
                </anchor>
              </controlPr>
            </control>
          </mc:Choice>
        </mc:AlternateContent>
        <mc:AlternateContent xmlns:mc="http://schemas.openxmlformats.org/markup-compatibility/2006">
          <mc:Choice Requires="x14">
            <control shapeId="23584" r:id="rId34" name="Check Box 32">
              <controlPr defaultSize="0" autoFill="0" autoLine="0" autoPict="0">
                <anchor moveWithCells="1">
                  <from>
                    <xdr:col>5</xdr:col>
                    <xdr:colOff>514350</xdr:colOff>
                    <xdr:row>46</xdr:row>
                    <xdr:rowOff>180975</xdr:rowOff>
                  </from>
                  <to>
                    <xdr:col>6</xdr:col>
                    <xdr:colOff>285750</xdr:colOff>
                    <xdr:row>48</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10" id="{40E3BAA6-EAE3-4D8C-A7A5-9050AC49A7D6}">
            <x14:iconSet iconSet="3Symbols2" custom="1">
              <x14:cfvo type="percent">
                <xm:f>0</xm:f>
              </x14:cfvo>
              <x14:cfvo type="num">
                <xm:f>0</xm:f>
              </x14:cfvo>
              <x14:cfvo type="num">
                <xm:f>2</xm:f>
              </x14:cfvo>
              <x14:cfIcon iconSet="NoIcons" iconId="0"/>
              <x14:cfIcon iconSet="3Symbols2" iconId="2"/>
              <x14:cfIcon iconSet="3Symbols2" iconId="0"/>
            </x14:iconSet>
          </x14:cfRule>
          <xm:sqref>E6:E7</xm:sqref>
        </x14:conditionalFormatting>
        <x14:conditionalFormatting xmlns:xm="http://schemas.microsoft.com/office/excel/2006/main">
          <x14:cfRule type="iconSet" priority="9" id="{E4370983-21CE-4AD6-9122-E0DAB4AD3E65}">
            <x14:iconSet iconSet="3Symbols2" custom="1">
              <x14:cfvo type="percent">
                <xm:f>0</xm:f>
              </x14:cfvo>
              <x14:cfvo type="num">
                <xm:f>0</xm:f>
              </x14:cfvo>
              <x14:cfvo type="num">
                <xm:f>2</xm:f>
              </x14:cfvo>
              <x14:cfIcon iconSet="NoIcons" iconId="0"/>
              <x14:cfIcon iconSet="3Symbols2" iconId="2"/>
              <x14:cfIcon iconSet="3Symbols2" iconId="0"/>
            </x14:iconSet>
          </x14:cfRule>
          <xm:sqref>E12:E16</xm:sqref>
        </x14:conditionalFormatting>
        <x14:conditionalFormatting xmlns:xm="http://schemas.microsoft.com/office/excel/2006/main">
          <x14:cfRule type="iconSet" priority="8" id="{8CB3F033-D4DF-43E3-9CC1-A65F51F1EBE2}">
            <x14:iconSet iconSet="3Symbols2" custom="1">
              <x14:cfvo type="percent">
                <xm:f>0</xm:f>
              </x14:cfvo>
              <x14:cfvo type="num">
                <xm:f>0</xm:f>
              </x14:cfvo>
              <x14:cfvo type="num">
                <xm:f>2</xm:f>
              </x14:cfvo>
              <x14:cfIcon iconSet="NoIcons" iconId="0"/>
              <x14:cfIcon iconSet="3Symbols2" iconId="2"/>
              <x14:cfIcon iconSet="3Symbols2" iconId="0"/>
            </x14:iconSet>
          </x14:cfRule>
          <xm:sqref>E24</xm:sqref>
        </x14:conditionalFormatting>
        <x14:conditionalFormatting xmlns:xm="http://schemas.microsoft.com/office/excel/2006/main">
          <x14:cfRule type="iconSet" priority="7" id="{167CD76D-40CD-4AB0-A054-4EEF409AA3DC}">
            <x14:iconSet iconSet="3Symbols2" custom="1">
              <x14:cfvo type="percent">
                <xm:f>0</xm:f>
              </x14:cfvo>
              <x14:cfvo type="num">
                <xm:f>0</xm:f>
              </x14:cfvo>
              <x14:cfvo type="num">
                <xm:f>2</xm:f>
              </x14:cfvo>
              <x14:cfIcon iconSet="NoIcons" iconId="0"/>
              <x14:cfIcon iconSet="3Symbols2" iconId="2"/>
              <x14:cfIcon iconSet="3Symbols2" iconId="0"/>
            </x14:iconSet>
          </x14:cfRule>
          <xm:sqref>E26:E27</xm:sqref>
        </x14:conditionalFormatting>
      </x14:conditionalFormattings>
    </ext>
    <ext xmlns:x14="http://schemas.microsoft.com/office/spreadsheetml/2009/9/main" uri="{CCE6A557-97BC-4b89-ADB6-D9C93CAAB3DF}">
      <x14:dataValidations xmlns:xm="http://schemas.microsoft.com/office/excel/2006/main" count="1">
        <x14:dataValidation type="list" showInputMessage="1" showErrorMessage="1" xr:uid="{8E05B477-F7FA-40B0-93B2-604310836049}">
          <x14:formula1>
            <xm:f>'ICM Job Card 2022'!$R$1:$R$10</xm:f>
          </x14:formula1>
          <xm:sqref>F49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2:AMK88"/>
  <sheetViews>
    <sheetView tabSelected="1" view="pageBreakPreview" zoomScale="60" zoomScaleNormal="55" workbookViewId="0">
      <selection activeCell="J18" sqref="J18"/>
    </sheetView>
  </sheetViews>
  <sheetFormatPr defaultRowHeight="12.75" x14ac:dyDescent="0.2"/>
  <cols>
    <col min="1" max="1" width="6" style="3" customWidth="1"/>
    <col min="2" max="2" width="16.7109375" style="3" customWidth="1"/>
    <col min="3" max="3" width="19.7109375" style="3" customWidth="1"/>
    <col min="4" max="4" width="27.42578125" style="3" customWidth="1"/>
    <col min="5" max="5" width="7.5703125" style="3" customWidth="1"/>
    <col min="6" max="6" width="16.7109375" style="3" customWidth="1"/>
    <col min="7" max="7" width="5.140625" style="3" customWidth="1"/>
    <col min="8" max="8" width="16.85546875" style="3" customWidth="1"/>
    <col min="9" max="9" width="3.85546875" style="3" customWidth="1"/>
    <col min="10" max="10" width="23.7109375" style="3" customWidth="1"/>
    <col min="11" max="11" width="20.7109375" style="3" customWidth="1"/>
    <col min="12" max="12" width="21" style="3" customWidth="1"/>
    <col min="13" max="13" width="18.85546875" style="3" customWidth="1"/>
    <col min="14" max="14" width="3.28515625" style="3" customWidth="1"/>
    <col min="15" max="15" width="19.28515625" style="3" customWidth="1"/>
    <col min="16" max="16" width="6" style="3" customWidth="1"/>
    <col min="17" max="1025" width="11.5703125" style="3" hidden="1"/>
  </cols>
  <sheetData>
    <row r="2" spans="1:16" ht="14.25" x14ac:dyDescent="0.2">
      <c r="B2" s="127" t="s">
        <v>119</v>
      </c>
      <c r="C2" s="128"/>
    </row>
    <row r="3" spans="1:16" ht="14.25" x14ac:dyDescent="0.2">
      <c r="B3" s="195" t="s">
        <v>400</v>
      </c>
      <c r="C3" s="128"/>
    </row>
    <row r="4" spans="1:16" ht="14.25" x14ac:dyDescent="0.2">
      <c r="B4" s="195" t="s">
        <v>401</v>
      </c>
      <c r="C4" s="128"/>
    </row>
    <row r="5" spans="1:16" ht="14.25" x14ac:dyDescent="0.2">
      <c r="B5" s="195" t="s">
        <v>122</v>
      </c>
      <c r="C5" s="128"/>
    </row>
    <row r="6" spans="1:16" ht="14.25" x14ac:dyDescent="0.2">
      <c r="B6" s="195" t="s">
        <v>402</v>
      </c>
      <c r="C6" s="128"/>
    </row>
    <row r="7" spans="1:16" ht="15" x14ac:dyDescent="0.2">
      <c r="B7" s="195" t="s">
        <v>403</v>
      </c>
      <c r="C7" s="128"/>
      <c r="D7" s="129"/>
    </row>
    <row r="8" spans="1:16" ht="14.25" x14ac:dyDescent="0.2">
      <c r="B8" s="130" t="s">
        <v>125</v>
      </c>
      <c r="C8" s="128"/>
    </row>
    <row r="9" spans="1:16" ht="14.25" x14ac:dyDescent="0.2">
      <c r="B9" s="130"/>
      <c r="C9" s="128"/>
    </row>
    <row r="10" spans="1:16" ht="37.5" customHeight="1" x14ac:dyDescent="0.5">
      <c r="B10" s="501" t="s">
        <v>126</v>
      </c>
      <c r="C10" s="501"/>
      <c r="D10" s="501"/>
      <c r="E10" s="501"/>
      <c r="F10" s="501"/>
      <c r="G10" s="501"/>
      <c r="H10" s="501"/>
      <c r="I10" s="501"/>
      <c r="J10" s="501"/>
      <c r="K10" s="501"/>
      <c r="L10" s="501"/>
      <c r="M10" s="501"/>
      <c r="N10" s="501"/>
      <c r="O10" s="501"/>
      <c r="P10" s="501"/>
    </row>
    <row r="11" spans="1:16" ht="21" customHeight="1" x14ac:dyDescent="0.4">
      <c r="B11" s="131"/>
      <c r="C11" s="131"/>
      <c r="D11" s="131"/>
      <c r="E11" s="131"/>
      <c r="F11" s="131"/>
      <c r="G11" s="131"/>
      <c r="H11" s="131"/>
      <c r="I11" s="131"/>
      <c r="J11" s="131"/>
      <c r="K11" s="131"/>
      <c r="L11" s="131"/>
      <c r="M11" s="131"/>
      <c r="N11" s="131"/>
      <c r="O11" s="131"/>
      <c r="P11" s="131"/>
    </row>
    <row r="12" spans="1:16" ht="11.25" customHeight="1" x14ac:dyDescent="0.2"/>
    <row r="13" spans="1:16" ht="60.75" customHeight="1" x14ac:dyDescent="0.2">
      <c r="B13" s="502" t="s">
        <v>127</v>
      </c>
      <c r="C13" s="502"/>
      <c r="D13" s="502"/>
      <c r="E13" s="502"/>
      <c r="F13" s="502"/>
      <c r="G13" s="502"/>
      <c r="H13" s="502"/>
      <c r="I13" s="502"/>
      <c r="J13" s="502"/>
      <c r="K13" s="502"/>
      <c r="L13" s="502"/>
      <c r="M13" s="502"/>
      <c r="N13" s="502"/>
      <c r="O13" s="502"/>
      <c r="P13" s="133"/>
    </row>
    <row r="14" spans="1:16" ht="77.25" customHeight="1" x14ac:dyDescent="0.2">
      <c r="A14" s="134"/>
      <c r="B14" s="502" t="s">
        <v>128</v>
      </c>
      <c r="C14" s="502"/>
      <c r="D14" s="502"/>
      <c r="E14" s="502"/>
      <c r="F14" s="502"/>
      <c r="G14" s="502"/>
      <c r="H14" s="502"/>
      <c r="I14" s="502"/>
      <c r="J14" s="502"/>
      <c r="K14" s="502"/>
      <c r="L14" s="502"/>
      <c r="M14" s="502"/>
      <c r="N14" s="502"/>
      <c r="O14" s="502"/>
      <c r="P14" s="133"/>
    </row>
    <row r="15" spans="1:16" ht="18" x14ac:dyDescent="0.2">
      <c r="A15" s="134"/>
      <c r="B15" s="132"/>
      <c r="C15" s="132"/>
      <c r="D15" s="132"/>
      <c r="E15" s="132"/>
      <c r="F15" s="132"/>
      <c r="G15" s="132"/>
      <c r="H15" s="132"/>
      <c r="I15" s="132"/>
      <c r="J15" s="132"/>
      <c r="K15" s="132"/>
      <c r="L15" s="132"/>
      <c r="M15" s="132"/>
      <c r="N15" s="132"/>
      <c r="O15" s="132"/>
      <c r="P15" s="133"/>
    </row>
    <row r="16" spans="1:16" ht="18" x14ac:dyDescent="0.2">
      <c r="A16" s="134"/>
      <c r="B16" s="135"/>
      <c r="C16" s="135"/>
      <c r="D16" s="133"/>
      <c r="E16" s="133"/>
      <c r="F16" s="135"/>
      <c r="G16" s="135"/>
      <c r="H16" s="135"/>
      <c r="I16" s="135"/>
      <c r="J16" s="135"/>
      <c r="K16" s="135"/>
      <c r="L16" s="135"/>
      <c r="M16" s="135"/>
      <c r="N16" s="135"/>
      <c r="O16" s="135"/>
      <c r="P16" s="135"/>
    </row>
    <row r="17" spans="2:15" ht="25.9" customHeight="1" x14ac:dyDescent="0.25">
      <c r="B17" s="136" t="s">
        <v>129</v>
      </c>
      <c r="C17" s="27"/>
      <c r="D17" s="503" t="s">
        <v>414</v>
      </c>
      <c r="E17" s="503"/>
      <c r="F17" s="503"/>
      <c r="K17" s="137" t="s">
        <v>130</v>
      </c>
      <c r="L17" s="138"/>
      <c r="M17" s="138"/>
      <c r="N17" s="139"/>
      <c r="O17" s="140" t="str">
        <f>'Calibration record'!H10</f>
        <v>12798M</v>
      </c>
    </row>
    <row r="18" spans="2:15" ht="25.9" customHeight="1" x14ac:dyDescent="0.25">
      <c r="B18" s="136" t="s">
        <v>131</v>
      </c>
      <c r="C18" s="141"/>
      <c r="D18" s="504" t="str">
        <f>'Calibration record'!H7</f>
        <v>000000204 / 07093-41</v>
      </c>
      <c r="E18" s="504"/>
      <c r="F18" s="504"/>
      <c r="K18" s="143" t="s">
        <v>132</v>
      </c>
      <c r="L18" s="144"/>
      <c r="M18" s="144"/>
      <c r="N18" s="145"/>
      <c r="O18" s="146" t="str">
        <f>'Calibration record'!H8</f>
        <v>08 12 25</v>
      </c>
    </row>
    <row r="19" spans="2:15" ht="25.9" customHeight="1" x14ac:dyDescent="0.25">
      <c r="B19" s="136" t="s">
        <v>133</v>
      </c>
      <c r="C19" s="141"/>
      <c r="D19" s="191" t="str">
        <f>'Calibration record'!H9</f>
        <v>000000204 / 07093-41</v>
      </c>
      <c r="E19" s="557" t="str">
        <f>'Calibration record'!I9</f>
        <v>08 12 25</v>
      </c>
      <c r="F19" s="558"/>
      <c r="K19" s="137" t="s">
        <v>134</v>
      </c>
      <c r="L19" s="138"/>
      <c r="M19" s="138"/>
      <c r="N19" s="139"/>
      <c r="O19" s="142">
        <f>'Calibration record'!H11</f>
        <v>367</v>
      </c>
    </row>
    <row r="20" spans="2:15" ht="14.25" customHeight="1" x14ac:dyDescent="0.25">
      <c r="B20" s="147"/>
      <c r="D20" s="148"/>
      <c r="E20" s="149"/>
      <c r="K20" s="147"/>
      <c r="L20" s="150"/>
      <c r="M20" s="150"/>
      <c r="N20" s="150"/>
      <c r="O20" s="151"/>
    </row>
    <row r="21" spans="2:15" ht="15.75" x14ac:dyDescent="0.25">
      <c r="B21" s="152" t="s">
        <v>135</v>
      </c>
    </row>
    <row r="22" spans="2:15" ht="15.75" x14ac:dyDescent="0.25">
      <c r="B22" s="152" t="s">
        <v>136</v>
      </c>
      <c r="O22" s="153"/>
    </row>
    <row r="23" spans="2:15" ht="15.75" x14ac:dyDescent="0.25">
      <c r="B23" s="152" t="s">
        <v>137</v>
      </c>
    </row>
    <row r="24" spans="2:15" ht="15.75" x14ac:dyDescent="0.25">
      <c r="B24" s="152"/>
    </row>
    <row r="25" spans="2:15" x14ac:dyDescent="0.2">
      <c r="B25" s="154"/>
    </row>
    <row r="26" spans="2:15" s="155" customFormat="1" ht="67.5" customHeight="1" x14ac:dyDescent="0.2">
      <c r="D26" s="508" t="s">
        <v>138</v>
      </c>
      <c r="E26" s="508"/>
      <c r="F26" s="508" t="s">
        <v>139</v>
      </c>
      <c r="G26" s="508"/>
      <c r="H26" s="508" t="s">
        <v>140</v>
      </c>
      <c r="I26" s="508"/>
      <c r="J26" s="156" t="s">
        <v>141</v>
      </c>
      <c r="K26" s="156" t="s">
        <v>142</v>
      </c>
      <c r="L26" s="156" t="s">
        <v>143</v>
      </c>
    </row>
    <row r="27" spans="2:15" s="157" customFormat="1" ht="25.9" customHeight="1" x14ac:dyDescent="0.2">
      <c r="D27" s="509" t="s">
        <v>144</v>
      </c>
      <c r="E27" s="509"/>
      <c r="F27" s="509" t="s">
        <v>145</v>
      </c>
      <c r="G27" s="509"/>
      <c r="H27" s="509" t="s">
        <v>146</v>
      </c>
      <c r="I27" s="509"/>
      <c r="J27" s="158" t="s">
        <v>146</v>
      </c>
      <c r="K27" s="158" t="s">
        <v>146</v>
      </c>
      <c r="L27" s="158" t="s">
        <v>147</v>
      </c>
    </row>
    <row r="28" spans="2:15" s="157" customFormat="1" ht="25.9" customHeight="1" x14ac:dyDescent="0.2">
      <c r="D28" s="505" t="s">
        <v>148</v>
      </c>
      <c r="E28" s="505"/>
      <c r="F28" s="506">
        <f>'Calibration record'!B16</f>
        <v>134</v>
      </c>
      <c r="G28" s="506"/>
      <c r="H28" s="507">
        <f>'Calibration record'!B22</f>
        <v>3481812.2857142859</v>
      </c>
      <c r="I28" s="507"/>
      <c r="J28" s="159">
        <f>'Calibration record'!I22</f>
        <v>3515052.3333333335</v>
      </c>
      <c r="K28" s="159">
        <f t="shared" ref="K28:K33" si="0">J28-H28</f>
        <v>33240.047619047575</v>
      </c>
      <c r="L28" s="160">
        <f>'Calibration record'!J22</f>
        <v>9.5467661353916024E-3</v>
      </c>
    </row>
    <row r="29" spans="2:15" s="157" customFormat="1" ht="25.9" customHeight="1" x14ac:dyDescent="0.2">
      <c r="D29" s="505" t="s">
        <v>149</v>
      </c>
      <c r="E29" s="505"/>
      <c r="F29" s="506">
        <f>'Calibration record'!C16</f>
        <v>324</v>
      </c>
      <c r="G29" s="506"/>
      <c r="H29" s="507">
        <f>'Calibration record'!B23</f>
        <v>1368160.8571428573</v>
      </c>
      <c r="I29" s="507"/>
      <c r="J29" s="159">
        <f>'Calibration record'!I23</f>
        <v>1388815.3333333333</v>
      </c>
      <c r="K29" s="159">
        <f t="shared" si="0"/>
        <v>20654.47619047598</v>
      </c>
      <c r="L29" s="160">
        <f>'Calibration record'!J23</f>
        <v>1.509652617427523E-2</v>
      </c>
    </row>
    <row r="30" spans="2:15" s="157" customFormat="1" ht="25.9" customHeight="1" x14ac:dyDescent="0.2">
      <c r="D30" s="505" t="s">
        <v>150</v>
      </c>
      <c r="E30" s="505"/>
      <c r="F30" s="506">
        <f>'Calibration record'!D16</f>
        <v>1886</v>
      </c>
      <c r="G30" s="506"/>
      <c r="H30" s="507">
        <f>'Calibration record'!B24</f>
        <v>97342.21714285716</v>
      </c>
      <c r="I30" s="507"/>
      <c r="J30" s="159">
        <f>'Calibration record'!I24</f>
        <v>98910</v>
      </c>
      <c r="K30" s="159">
        <f t="shared" si="0"/>
        <v>1567.7828571428399</v>
      </c>
      <c r="L30" s="160">
        <f>'Calibration record'!J24</f>
        <v>1.6105888104459329E-2</v>
      </c>
    </row>
    <row r="31" spans="2:15" s="157" customFormat="1" ht="25.9" customHeight="1" x14ac:dyDescent="0.2">
      <c r="D31" s="505" t="s">
        <v>151</v>
      </c>
      <c r="E31" s="505"/>
      <c r="F31" s="506">
        <f>'Calibration record'!E16</f>
        <v>4122</v>
      </c>
      <c r="G31" s="506"/>
      <c r="H31" s="507">
        <f>'Calibration record'!B25</f>
        <v>24221.302857142859</v>
      </c>
      <c r="I31" s="507"/>
      <c r="J31" s="159">
        <f>'Calibration record'!I25</f>
        <v>24523</v>
      </c>
      <c r="K31" s="159">
        <f t="shared" si="0"/>
        <v>301.69714285714144</v>
      </c>
      <c r="L31" s="160">
        <f>'Calibration record'!J25</f>
        <v>1.2455859399329174E-2</v>
      </c>
    </row>
    <row r="32" spans="2:15" s="157" customFormat="1" ht="25.9" customHeight="1" x14ac:dyDescent="0.2">
      <c r="D32" s="505" t="s">
        <v>152</v>
      </c>
      <c r="E32" s="505"/>
      <c r="F32" s="506">
        <f>'Calibration record'!F16</f>
        <v>6566</v>
      </c>
      <c r="G32" s="506"/>
      <c r="H32" s="507">
        <f>'Calibration record'!B26</f>
        <v>11396.58</v>
      </c>
      <c r="I32" s="507"/>
      <c r="J32" s="159">
        <f>'Calibration record'!I26</f>
        <v>11296</v>
      </c>
      <c r="K32" s="159">
        <f t="shared" si="0"/>
        <v>-100.57999999999993</v>
      </c>
      <c r="L32" s="160">
        <f>'Calibration record'!J26</f>
        <v>-8.8254546539400357E-3</v>
      </c>
    </row>
    <row r="33" spans="2:12" s="157" customFormat="1" ht="25.9" customHeight="1" x14ac:dyDescent="0.2">
      <c r="D33" s="505" t="s">
        <v>153</v>
      </c>
      <c r="E33" s="505"/>
      <c r="F33" s="506">
        <f>'Calibration record'!G16</f>
        <v>15500</v>
      </c>
      <c r="G33" s="506"/>
      <c r="H33" s="507">
        <f>'Calibration record'!B27</f>
        <v>1788.6061142857141</v>
      </c>
      <c r="I33" s="507"/>
      <c r="J33" s="159">
        <f>'Calibration record'!I27</f>
        <v>1652</v>
      </c>
      <c r="K33" s="159">
        <f t="shared" si="0"/>
        <v>-136.60611428571406</v>
      </c>
      <c r="L33" s="160">
        <f>'Calibration record'!J27</f>
        <v>-7.6375739294768194E-2</v>
      </c>
    </row>
    <row r="34" spans="2:12" s="157" customFormat="1" ht="25.9" customHeight="1" x14ac:dyDescent="0.2">
      <c r="D34" s="505" t="s">
        <v>154</v>
      </c>
      <c r="E34" s="505"/>
      <c r="F34" s="506">
        <f>'Calibration record'!H16</f>
        <v>22008</v>
      </c>
      <c r="G34" s="506"/>
      <c r="H34" s="507">
        <f>'Calibration record'!B28</f>
        <v>690.6498857142858</v>
      </c>
      <c r="I34" s="507"/>
      <c r="J34" s="159">
        <f>'Calibration record'!I28</f>
        <v>484.66666666666669</v>
      </c>
      <c r="K34" s="159" t="s">
        <v>101</v>
      </c>
      <c r="L34" s="161" t="s">
        <v>101</v>
      </c>
    </row>
    <row r="35" spans="2:12" s="150" customFormat="1" ht="25.9" customHeight="1" x14ac:dyDescent="0.25">
      <c r="D35" s="505" t="s">
        <v>155</v>
      </c>
      <c r="E35" s="505"/>
      <c r="F35" s="510">
        <f>'Calibration record'!I16</f>
        <v>32390</v>
      </c>
      <c r="G35" s="510"/>
      <c r="H35" s="507">
        <f>'Calibration record'!B29</f>
        <v>159.952</v>
      </c>
      <c r="I35" s="507"/>
      <c r="J35" s="159">
        <f>'Calibration record'!I29</f>
        <v>59</v>
      </c>
      <c r="K35" s="159" t="s">
        <v>101</v>
      </c>
      <c r="L35" s="161" t="s">
        <v>101</v>
      </c>
    </row>
    <row r="36" spans="2:12" ht="20.25" x14ac:dyDescent="0.3">
      <c r="D36" s="162" t="s">
        <v>156</v>
      </c>
      <c r="E36" s="163"/>
      <c r="F36" s="163"/>
      <c r="G36" s="163"/>
      <c r="H36" s="163"/>
      <c r="I36" s="163"/>
      <c r="J36" s="163"/>
      <c r="K36" s="163"/>
    </row>
    <row r="37" spans="2:12" ht="20.25" x14ac:dyDescent="0.3">
      <c r="B37" s="164"/>
      <c r="D37" s="163"/>
      <c r="E37" s="163"/>
      <c r="F37" s="163"/>
      <c r="G37" s="163"/>
      <c r="H37" s="163"/>
      <c r="I37" s="163"/>
      <c r="J37" s="163"/>
      <c r="K37" s="163"/>
    </row>
    <row r="38" spans="2:12" ht="81" customHeight="1" x14ac:dyDescent="0.2">
      <c r="B38" s="164"/>
      <c r="D38" s="156" t="s">
        <v>157</v>
      </c>
      <c r="E38" s="508" t="s">
        <v>158</v>
      </c>
      <c r="F38" s="508"/>
      <c r="G38" s="508" t="s">
        <v>159</v>
      </c>
      <c r="H38" s="508"/>
      <c r="I38" s="157"/>
      <c r="J38" s="132"/>
      <c r="K38" s="132"/>
      <c r="L38" s="132"/>
    </row>
    <row r="39" spans="2:12" ht="25.9" customHeight="1" x14ac:dyDescent="0.2">
      <c r="B39" s="164"/>
      <c r="D39" s="158" t="s">
        <v>145</v>
      </c>
      <c r="E39" s="509" t="s">
        <v>145</v>
      </c>
      <c r="F39" s="509"/>
      <c r="G39" s="509" t="s">
        <v>160</v>
      </c>
      <c r="H39" s="509"/>
      <c r="I39" s="165"/>
      <c r="J39" s="166"/>
      <c r="K39" s="166"/>
      <c r="L39" s="166"/>
    </row>
    <row r="40" spans="2:12" ht="25.9" customHeight="1" x14ac:dyDescent="0.2">
      <c r="B40" s="164"/>
      <c r="D40" s="167">
        <f>'Calibration record'!B9</f>
        <v>61</v>
      </c>
      <c r="E40" s="511">
        <f>F28-D40</f>
        <v>73</v>
      </c>
      <c r="F40" s="511"/>
      <c r="G40" s="512">
        <f>F28/D40</f>
        <v>2.1967213114754101</v>
      </c>
      <c r="H40" s="512"/>
      <c r="I40" s="165"/>
      <c r="J40" s="168"/>
      <c r="K40" s="169"/>
      <c r="L40" s="170"/>
    </row>
    <row r="41" spans="2:12" x14ac:dyDescent="0.2">
      <c r="B41" s="164"/>
    </row>
    <row r="42" spans="2:12" x14ac:dyDescent="0.2">
      <c r="B42" s="164"/>
    </row>
    <row r="43" spans="2:12" x14ac:dyDescent="0.2">
      <c r="B43" s="164"/>
    </row>
    <row r="44" spans="2:12" x14ac:dyDescent="0.2">
      <c r="B44" s="164"/>
    </row>
    <row r="45" spans="2:12" x14ac:dyDescent="0.2">
      <c r="B45" s="164"/>
    </row>
    <row r="46" spans="2:12" x14ac:dyDescent="0.2">
      <c r="B46" s="164"/>
    </row>
    <row r="47" spans="2:12" x14ac:dyDescent="0.2">
      <c r="B47" s="164"/>
    </row>
    <row r="48" spans="2:12" x14ac:dyDescent="0.2">
      <c r="B48" s="164"/>
    </row>
    <row r="49" spans="2:2" x14ac:dyDescent="0.2">
      <c r="B49" s="164"/>
    </row>
    <row r="50" spans="2:2" x14ac:dyDescent="0.2">
      <c r="B50" s="164"/>
    </row>
    <row r="51" spans="2:2" x14ac:dyDescent="0.2">
      <c r="B51" s="164"/>
    </row>
    <row r="52" spans="2:2" x14ac:dyDescent="0.2">
      <c r="B52" s="164"/>
    </row>
    <row r="53" spans="2:2" x14ac:dyDescent="0.2">
      <c r="B53" s="164"/>
    </row>
    <row r="54" spans="2:2" x14ac:dyDescent="0.2">
      <c r="B54" s="164"/>
    </row>
    <row r="55" spans="2:2" x14ac:dyDescent="0.2">
      <c r="B55" s="164"/>
    </row>
    <row r="56" spans="2:2" x14ac:dyDescent="0.2">
      <c r="B56" s="164"/>
    </row>
    <row r="57" spans="2:2" x14ac:dyDescent="0.2">
      <c r="B57" s="164"/>
    </row>
    <row r="58" spans="2:2" x14ac:dyDescent="0.2">
      <c r="B58" s="164"/>
    </row>
    <row r="59" spans="2:2" x14ac:dyDescent="0.2">
      <c r="B59" s="164"/>
    </row>
    <row r="60" spans="2:2" x14ac:dyDescent="0.2">
      <c r="B60" s="164"/>
    </row>
    <row r="61" spans="2:2" x14ac:dyDescent="0.2">
      <c r="B61" s="164"/>
    </row>
    <row r="62" spans="2:2" x14ac:dyDescent="0.2">
      <c r="B62" s="164"/>
    </row>
    <row r="63" spans="2:2" x14ac:dyDescent="0.2">
      <c r="B63" s="164"/>
    </row>
    <row r="64" spans="2:2" x14ac:dyDescent="0.2">
      <c r="B64" s="164"/>
    </row>
    <row r="65" spans="2:16" x14ac:dyDescent="0.2">
      <c r="B65" s="164"/>
    </row>
    <row r="66" spans="2:16" x14ac:dyDescent="0.2">
      <c r="B66" s="164"/>
    </row>
    <row r="67" spans="2:16" x14ac:dyDescent="0.2">
      <c r="B67" s="164"/>
    </row>
    <row r="68" spans="2:16" x14ac:dyDescent="0.2">
      <c r="B68" s="164"/>
    </row>
    <row r="69" spans="2:16" x14ac:dyDescent="0.2">
      <c r="B69" s="171"/>
      <c r="C69" s="172"/>
      <c r="D69" s="172"/>
      <c r="E69" s="172"/>
      <c r="F69" s="172"/>
      <c r="G69" s="172"/>
      <c r="H69" s="172"/>
      <c r="I69" s="172"/>
      <c r="J69" s="172"/>
      <c r="K69" s="172"/>
      <c r="L69" s="172"/>
      <c r="M69" s="172"/>
      <c r="N69" s="172"/>
      <c r="O69" s="172"/>
      <c r="P69" s="172"/>
    </row>
    <row r="70" spans="2:16" x14ac:dyDescent="0.2">
      <c r="B70" s="164"/>
    </row>
    <row r="71" spans="2:16" ht="25.9" customHeight="1" x14ac:dyDescent="0.2"/>
    <row r="72" spans="2:16" s="129" customFormat="1" ht="25.9" customHeight="1" x14ac:dyDescent="0.2">
      <c r="B72" s="173" t="s">
        <v>161</v>
      </c>
      <c r="C72" s="174"/>
      <c r="D72" s="175" t="s">
        <v>162</v>
      </c>
      <c r="H72" s="3"/>
      <c r="I72" s="3"/>
      <c r="K72" s="514" t="s">
        <v>163</v>
      </c>
      <c r="L72" s="514"/>
      <c r="M72" s="514"/>
      <c r="N72" s="514"/>
      <c r="O72" s="514"/>
    </row>
    <row r="73" spans="2:16" s="129" customFormat="1" ht="25.9" customHeight="1" x14ac:dyDescent="0.2">
      <c r="H73" s="3"/>
      <c r="I73" s="3"/>
      <c r="K73" s="514"/>
      <c r="L73" s="514"/>
      <c r="M73" s="514"/>
      <c r="N73" s="514"/>
      <c r="O73" s="514"/>
    </row>
    <row r="74" spans="2:16" s="129" customFormat="1" ht="39" customHeight="1" x14ac:dyDescent="0.2">
      <c r="B74" s="173" t="s">
        <v>164</v>
      </c>
      <c r="C74" s="174"/>
      <c r="D74" s="515" t="s">
        <v>165</v>
      </c>
      <c r="E74" s="515"/>
      <c r="F74" s="515"/>
      <c r="G74" s="515"/>
      <c r="H74" s="3"/>
      <c r="I74" s="3"/>
      <c r="K74" s="514"/>
      <c r="L74" s="514"/>
      <c r="M74" s="514"/>
      <c r="N74" s="514"/>
      <c r="O74" s="514"/>
    </row>
    <row r="75" spans="2:16" s="129" customFormat="1" ht="25.9" customHeight="1" x14ac:dyDescent="0.2">
      <c r="K75" s="514"/>
      <c r="L75" s="514"/>
      <c r="M75" s="514"/>
      <c r="N75" s="514"/>
      <c r="O75" s="514"/>
    </row>
    <row r="76" spans="2:16" s="129" customFormat="1" ht="25.9" customHeight="1" x14ac:dyDescent="0.2">
      <c r="B76" s="173" t="s">
        <v>166</v>
      </c>
      <c r="C76" s="174"/>
      <c r="D76" s="516"/>
      <c r="E76" s="516"/>
      <c r="F76" s="516"/>
      <c r="K76" s="176" t="s">
        <v>167</v>
      </c>
      <c r="L76" s="517" t="s">
        <v>168</v>
      </c>
      <c r="M76" s="517"/>
      <c r="N76" s="517"/>
      <c r="O76" s="517"/>
      <c r="P76" s="177"/>
    </row>
    <row r="77" spans="2:16" ht="25.9" customHeight="1" x14ac:dyDescent="0.2">
      <c r="D77" s="517" t="str">
        <f>'Calibration record'!H12</f>
        <v>J Scarrott</v>
      </c>
      <c r="E77" s="517"/>
      <c r="F77" s="517"/>
      <c r="H77" s="129"/>
      <c r="I77" s="129"/>
      <c r="J77" s="129"/>
      <c r="K77" s="129"/>
    </row>
    <row r="78" spans="2:16" ht="15" customHeight="1" x14ac:dyDescent="0.2">
      <c r="B78" s="164" t="s">
        <v>169</v>
      </c>
      <c r="H78" s="129"/>
      <c r="I78" s="129"/>
      <c r="J78" s="129"/>
      <c r="K78" s="513" t="s">
        <v>170</v>
      </c>
      <c r="L78" s="513"/>
      <c r="M78" s="513"/>
      <c r="N78" s="513"/>
      <c r="O78" s="513"/>
    </row>
    <row r="79" spans="2:16" ht="15" x14ac:dyDescent="0.2">
      <c r="B79" s="164" t="s">
        <v>171</v>
      </c>
      <c r="H79" s="129"/>
      <c r="I79" s="129"/>
      <c r="J79" s="129"/>
      <c r="K79" s="513"/>
      <c r="L79" s="513"/>
      <c r="M79" s="513"/>
      <c r="N79" s="513"/>
      <c r="O79" s="513"/>
    </row>
    <row r="80" spans="2:16" x14ac:dyDescent="0.2">
      <c r="B80" s="164" t="s">
        <v>172</v>
      </c>
      <c r="K80" s="513"/>
      <c r="L80" s="513"/>
      <c r="M80" s="513"/>
      <c r="N80" s="513"/>
      <c r="O80" s="513"/>
    </row>
    <row r="83" spans="2:15" x14ac:dyDescent="0.2">
      <c r="O83" s="178" t="s">
        <v>404</v>
      </c>
    </row>
    <row r="84" spans="2:15" x14ac:dyDescent="0.2">
      <c r="O84" s="178" t="s">
        <v>174</v>
      </c>
    </row>
    <row r="85" spans="2:15" x14ac:dyDescent="0.2">
      <c r="O85" s="178" t="s">
        <v>19</v>
      </c>
    </row>
    <row r="86" spans="2:15" x14ac:dyDescent="0.2">
      <c r="B86" s="179" t="s">
        <v>175</v>
      </c>
      <c r="C86" s="179"/>
      <c r="L86" s="179"/>
      <c r="N86" s="179"/>
      <c r="O86" s="178" t="s">
        <v>20</v>
      </c>
    </row>
    <row r="88" spans="2:15" x14ac:dyDescent="0.2">
      <c r="D88" s="179"/>
      <c r="E88" s="179"/>
      <c r="F88" s="179"/>
      <c r="G88" s="179"/>
      <c r="H88" s="179"/>
      <c r="I88" s="179"/>
      <c r="J88" s="179"/>
      <c r="K88" s="179"/>
    </row>
  </sheetData>
  <sheetProtection selectLockedCells="1"/>
  <mergeCells count="47">
    <mergeCell ref="K78:O80"/>
    <mergeCell ref="K72:O75"/>
    <mergeCell ref="D74:G74"/>
    <mergeCell ref="D76:F76"/>
    <mergeCell ref="L76:O76"/>
    <mergeCell ref="D77:F77"/>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B10:P10"/>
    <mergeCell ref="B13:O13"/>
    <mergeCell ref="B14:O14"/>
    <mergeCell ref="D17:F17"/>
    <mergeCell ref="D18:F18"/>
  </mergeCells>
  <conditionalFormatting sqref="D72">
    <cfRule type="cellIs" dxfId="75" priority="2" operator="equal">
      <formula>"PASS"</formula>
    </cfRule>
    <cfRule type="cellIs" dxfId="74" priority="3" operator="equal">
      <formula>"FAIL"</formula>
    </cfRule>
  </conditionalFormatting>
  <conditionalFormatting sqref="G40">
    <cfRule type="cellIs" dxfId="73" priority="7" operator="greaterThanOrEqual">
      <formula>1.19</formula>
    </cfRule>
    <cfRule type="cellIs" dxfId="72" priority="8" operator="lessThan">
      <formula>1.19</formula>
    </cfRule>
  </conditionalFormatting>
  <conditionalFormatting sqref="K72">
    <cfRule type="cellIs" dxfId="71" priority="5" operator="equal">
      <formula>"FAIL"</formula>
    </cfRule>
    <cfRule type="cellIs" dxfId="70" priority="6" operator="equal">
      <formula>"PASS - VERIFIED"</formula>
    </cfRule>
  </conditionalFormatting>
  <conditionalFormatting sqref="L28:L33">
    <cfRule type="cellIs" dxfId="69" priority="9" operator="lessThan">
      <formula>-0.1</formula>
    </cfRule>
    <cfRule type="cellIs" dxfId="68" priority="10" operator="greaterThan">
      <formula>0.1</formula>
    </cfRule>
    <cfRule type="cellIs" dxfId="67" priority="11" operator="between">
      <formula>-0.1</formula>
      <formula>0.1</formula>
    </cfRule>
  </conditionalFormatting>
  <conditionalFormatting sqref="O22">
    <cfRule type="cellIs" dxfId="66" priority="4" operator="greaterThan">
      <formula>0</formula>
    </cfRule>
  </conditionalFormatting>
  <dataValidations count="2">
    <dataValidation type="list" allowBlank="1" showInputMessage="1" showErrorMessage="1" sqref="D72" xr:uid="{00000000-0002-0000-0900-000000000000}">
      <formula1>"PASS,FAIL"</formula1>
      <formula2>0</formula2>
    </dataValidation>
    <dataValidation type="list" allowBlank="1" showInputMessage="1" showErrorMessage="1" sqref="K72" xr:uid="{00000000-0002-0000-0900-000001000000}">
      <formula1>"PASS - VERIFIED,FAIL"</formula1>
      <formula2>0</formula2>
    </dataValidation>
  </dataValidations>
  <hyperlinks>
    <hyperlink ref="B8" r:id="rId1" xr:uid="{00000000-0004-0000-0900-000000000000}"/>
  </hyperlinks>
  <pageMargins left="0.25" right="0.25" top="0.75" bottom="0.75" header="0.51180555555555496" footer="0.51180555555555496"/>
  <pageSetup paperSize="9" scale="43" firstPageNumber="0" orientation="portrait" horizontalDpi="300" verticalDpi="300"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41459-EA33-4405-A1D8-0304183EEBBC}">
  <dimension ref="A2:P88"/>
  <sheetViews>
    <sheetView zoomScale="55" zoomScaleNormal="55" workbookViewId="0">
      <selection activeCell="O20" sqref="O20"/>
    </sheetView>
  </sheetViews>
  <sheetFormatPr defaultColWidth="0" defaultRowHeight="12.75" x14ac:dyDescent="0.2"/>
  <cols>
    <col min="1" max="1" width="6" style="194" customWidth="1"/>
    <col min="2" max="2" width="16.7109375" style="194" customWidth="1"/>
    <col min="3" max="3" width="19.7109375" style="194" customWidth="1"/>
    <col min="4" max="4" width="22.140625" style="194" customWidth="1"/>
    <col min="5" max="5" width="7.5703125" style="194" customWidth="1"/>
    <col min="6" max="6" width="16.7109375" style="194" customWidth="1"/>
    <col min="7" max="7" width="5.140625" style="194" customWidth="1"/>
    <col min="8" max="8" width="16.85546875" style="194" customWidth="1"/>
    <col min="9" max="9" width="3.85546875" style="194" customWidth="1"/>
    <col min="10" max="10" width="23.7109375" style="194" customWidth="1"/>
    <col min="11" max="11" width="20.7109375" style="194" customWidth="1"/>
    <col min="12" max="12" width="21" style="194" customWidth="1"/>
    <col min="13" max="13" width="18.85546875" style="194" customWidth="1"/>
    <col min="14" max="14" width="3.28515625" style="194" customWidth="1"/>
    <col min="15" max="15" width="19.28515625" style="194" customWidth="1"/>
    <col min="16" max="16" width="6" style="194" customWidth="1"/>
    <col min="17" max="16384" width="0" style="194" hidden="1"/>
  </cols>
  <sheetData>
    <row r="2" spans="1:16" ht="14.25" x14ac:dyDescent="0.2">
      <c r="B2" s="195"/>
      <c r="C2" s="196"/>
    </row>
    <row r="3" spans="1:16" ht="14.25" x14ac:dyDescent="0.2">
      <c r="B3" s="195"/>
      <c r="C3" s="196"/>
    </row>
    <row r="4" spans="1:16" ht="14.25" x14ac:dyDescent="0.2">
      <c r="B4" s="195"/>
      <c r="C4" s="196"/>
    </row>
    <row r="5" spans="1:16" ht="14.25" x14ac:dyDescent="0.2">
      <c r="B5" s="195"/>
      <c r="C5" s="196"/>
    </row>
    <row r="6" spans="1:16" ht="14.25" x14ac:dyDescent="0.2">
      <c r="B6" s="195"/>
      <c r="C6" s="196"/>
    </row>
    <row r="7" spans="1:16" ht="15" x14ac:dyDescent="0.2">
      <c r="B7" s="195"/>
      <c r="C7" s="196"/>
      <c r="D7" s="197"/>
    </row>
    <row r="8" spans="1:16" ht="14.25" x14ac:dyDescent="0.2">
      <c r="B8" s="198"/>
      <c r="C8" s="196"/>
    </row>
    <row r="9" spans="1:16" ht="14.25" x14ac:dyDescent="0.2">
      <c r="B9" s="198"/>
      <c r="C9" s="196"/>
    </row>
    <row r="10" spans="1:16" ht="37.5" customHeight="1" x14ac:dyDescent="0.5">
      <c r="B10" s="550" t="s">
        <v>126</v>
      </c>
      <c r="C10" s="550"/>
      <c r="D10" s="550"/>
      <c r="E10" s="550"/>
      <c r="F10" s="550"/>
      <c r="G10" s="550"/>
      <c r="H10" s="550"/>
      <c r="I10" s="550"/>
      <c r="J10" s="550"/>
      <c r="K10" s="550"/>
      <c r="L10" s="550"/>
      <c r="M10" s="550"/>
      <c r="N10" s="550"/>
      <c r="O10" s="550"/>
      <c r="P10" s="550"/>
    </row>
    <row r="11" spans="1:16" ht="21" customHeight="1" x14ac:dyDescent="0.4">
      <c r="B11" s="199"/>
      <c r="C11" s="199"/>
      <c r="D11" s="199"/>
      <c r="E11" s="199"/>
      <c r="F11" s="199"/>
      <c r="G11" s="199"/>
      <c r="H11" s="199"/>
      <c r="I11" s="199"/>
      <c r="J11" s="199"/>
      <c r="K11" s="199"/>
      <c r="L11" s="199"/>
      <c r="M11" s="199"/>
      <c r="N11" s="199"/>
      <c r="O11" s="199"/>
      <c r="P11" s="199"/>
    </row>
    <row r="12" spans="1:16" ht="11.25" customHeight="1" x14ac:dyDescent="0.2"/>
    <row r="13" spans="1:16" ht="60.75" customHeight="1" x14ac:dyDescent="0.2">
      <c r="B13" s="551" t="s">
        <v>127</v>
      </c>
      <c r="C13" s="551"/>
      <c r="D13" s="551"/>
      <c r="E13" s="551"/>
      <c r="F13" s="551"/>
      <c r="G13" s="551"/>
      <c r="H13" s="551"/>
      <c r="I13" s="551"/>
      <c r="J13" s="551"/>
      <c r="K13" s="551"/>
      <c r="L13" s="551"/>
      <c r="M13" s="551"/>
      <c r="N13" s="551"/>
      <c r="O13" s="551"/>
      <c r="P13" s="200"/>
    </row>
    <row r="14" spans="1:16" ht="77.25" customHeight="1" x14ac:dyDescent="0.2">
      <c r="A14" s="201"/>
      <c r="B14" s="551" t="s">
        <v>128</v>
      </c>
      <c r="C14" s="551"/>
      <c r="D14" s="551"/>
      <c r="E14" s="551"/>
      <c r="F14" s="551"/>
      <c r="G14" s="551"/>
      <c r="H14" s="551"/>
      <c r="I14" s="551"/>
      <c r="J14" s="551"/>
      <c r="K14" s="551"/>
      <c r="L14" s="551"/>
      <c r="M14" s="551"/>
      <c r="N14" s="551"/>
      <c r="O14" s="551"/>
      <c r="P14" s="200"/>
    </row>
    <row r="15" spans="1:16" ht="18" x14ac:dyDescent="0.2">
      <c r="A15" s="201"/>
      <c r="B15" s="202"/>
      <c r="C15" s="202"/>
      <c r="D15" s="202"/>
      <c r="E15" s="202"/>
      <c r="F15" s="202"/>
      <c r="G15" s="202"/>
      <c r="H15" s="202"/>
      <c r="I15" s="202"/>
      <c r="J15" s="202"/>
      <c r="K15" s="202"/>
      <c r="L15" s="202"/>
      <c r="M15" s="202"/>
      <c r="N15" s="202"/>
      <c r="O15" s="202"/>
      <c r="P15" s="200"/>
    </row>
    <row r="16" spans="1:16" ht="18" x14ac:dyDescent="0.2">
      <c r="A16" s="201"/>
      <c r="B16" s="203"/>
      <c r="C16" s="203"/>
      <c r="D16" s="204"/>
      <c r="E16" s="204"/>
      <c r="F16" s="203"/>
      <c r="G16" s="203"/>
      <c r="H16" s="203"/>
      <c r="I16" s="203"/>
      <c r="J16" s="203"/>
      <c r="K16" s="203"/>
      <c r="L16" s="203"/>
      <c r="M16" s="203"/>
      <c r="N16" s="203"/>
      <c r="O16" s="203"/>
      <c r="P16" s="203"/>
    </row>
    <row r="17" spans="2:15" ht="25.9" customHeight="1" x14ac:dyDescent="0.25">
      <c r="B17" s="205" t="s">
        <v>129</v>
      </c>
      <c r="C17" s="206"/>
      <c r="D17" s="552">
        <f>'Calibration record'!H6</f>
        <v>11.111121000000001</v>
      </c>
      <c r="E17" s="552"/>
      <c r="F17" s="552"/>
      <c r="K17" s="207" t="s">
        <v>130</v>
      </c>
      <c r="L17" s="208"/>
      <c r="M17" s="208"/>
      <c r="N17" s="209"/>
      <c r="O17" s="210" t="str">
        <f>'[1]Calibration record'!H10</f>
        <v>12798M</v>
      </c>
    </row>
    <row r="18" spans="2:15" ht="25.9" customHeight="1" x14ac:dyDescent="0.25">
      <c r="B18" s="205" t="s">
        <v>131</v>
      </c>
      <c r="C18" s="211"/>
      <c r="D18" s="552" t="str">
        <f>'Calibration record'!H7</f>
        <v>000000204 / 07093-41</v>
      </c>
      <c r="E18" s="552"/>
      <c r="F18" s="552"/>
      <c r="K18" s="212" t="s">
        <v>132</v>
      </c>
      <c r="L18" s="213"/>
      <c r="M18" s="213"/>
      <c r="N18" s="214"/>
      <c r="O18" s="215" t="str">
        <f>'Calibration record'!H8</f>
        <v>08 12 25</v>
      </c>
    </row>
    <row r="19" spans="2:15" ht="25.9" customHeight="1" x14ac:dyDescent="0.25">
      <c r="B19" s="205" t="s">
        <v>133</v>
      </c>
      <c r="C19" s="211"/>
      <c r="D19" s="216" t="str">
        <f>D18</f>
        <v>000000204 / 07093-41</v>
      </c>
      <c r="E19" s="548" t="str">
        <f>'Calibration record'!H8</f>
        <v>08 12 25</v>
      </c>
      <c r="F19" s="549"/>
      <c r="K19" s="207" t="s">
        <v>134</v>
      </c>
      <c r="L19" s="208"/>
      <c r="M19" s="208"/>
      <c r="N19" s="209"/>
      <c r="O19" s="217">
        <f>'Calibration record'!H11</f>
        <v>367</v>
      </c>
    </row>
    <row r="20" spans="2:15" ht="14.25" customHeight="1" x14ac:dyDescent="0.25">
      <c r="B20" s="218"/>
      <c r="D20" s="219"/>
      <c r="E20" s="220"/>
      <c r="K20" s="218"/>
      <c r="L20" s="221"/>
      <c r="M20" s="221"/>
      <c r="N20" s="221"/>
      <c r="O20" s="222"/>
    </row>
    <row r="21" spans="2:15" ht="15.75" x14ac:dyDescent="0.25">
      <c r="B21" s="223" t="s">
        <v>135</v>
      </c>
    </row>
    <row r="22" spans="2:15" ht="15.75" x14ac:dyDescent="0.25">
      <c r="B22" s="223" t="s">
        <v>136</v>
      </c>
      <c r="O22" s="224"/>
    </row>
    <row r="23" spans="2:15" ht="15.75" x14ac:dyDescent="0.25">
      <c r="B23" s="223" t="s">
        <v>137</v>
      </c>
    </row>
    <row r="24" spans="2:15" ht="15.75" x14ac:dyDescent="0.25">
      <c r="B24" s="223"/>
    </row>
    <row r="25" spans="2:15" x14ac:dyDescent="0.2">
      <c r="B25" s="225"/>
    </row>
    <row r="26" spans="2:15" s="226" customFormat="1" ht="67.5" customHeight="1" x14ac:dyDescent="0.2">
      <c r="D26" s="546" t="s">
        <v>138</v>
      </c>
      <c r="E26" s="546"/>
      <c r="F26" s="546" t="s">
        <v>139</v>
      </c>
      <c r="G26" s="546"/>
      <c r="H26" s="546" t="s">
        <v>140</v>
      </c>
      <c r="I26" s="546"/>
      <c r="J26" s="227" t="s">
        <v>141</v>
      </c>
      <c r="K26" s="227" t="s">
        <v>142</v>
      </c>
      <c r="L26" s="227" t="s">
        <v>143</v>
      </c>
    </row>
    <row r="27" spans="2:15" s="228" customFormat="1" ht="25.9" customHeight="1" x14ac:dyDescent="0.2">
      <c r="D27" s="547" t="s">
        <v>144</v>
      </c>
      <c r="E27" s="547"/>
      <c r="F27" s="547" t="s">
        <v>145</v>
      </c>
      <c r="G27" s="547"/>
      <c r="H27" s="547" t="s">
        <v>146</v>
      </c>
      <c r="I27" s="547"/>
      <c r="J27" s="229" t="s">
        <v>146</v>
      </c>
      <c r="K27" s="229" t="s">
        <v>146</v>
      </c>
      <c r="L27" s="229" t="s">
        <v>147</v>
      </c>
    </row>
    <row r="28" spans="2:15" s="228" customFormat="1" ht="25.9" customHeight="1" x14ac:dyDescent="0.2">
      <c r="D28" s="545" t="s">
        <v>148</v>
      </c>
      <c r="E28" s="545"/>
      <c r="F28" s="543">
        <f>'Calibration record'!B16</f>
        <v>134</v>
      </c>
      <c r="G28" s="543"/>
      <c r="H28" s="543">
        <f>'Calibration record'!B22</f>
        <v>3481812.2857142859</v>
      </c>
      <c r="I28" s="544"/>
      <c r="J28" s="230">
        <f>'Calibration record'!I22</f>
        <v>3515052.3333333335</v>
      </c>
      <c r="K28" s="231">
        <f t="shared" ref="K28:K33" si="0">J28-H28</f>
        <v>33240.047619047575</v>
      </c>
      <c r="L28" s="232">
        <f>'Calibration record'!J22</f>
        <v>9.5467661353916024E-3</v>
      </c>
    </row>
    <row r="29" spans="2:15" s="228" customFormat="1" ht="25.9" customHeight="1" x14ac:dyDescent="0.2">
      <c r="D29" s="541" t="s">
        <v>149</v>
      </c>
      <c r="E29" s="541"/>
      <c r="F29" s="542">
        <f>'Calibration record'!C16</f>
        <v>324</v>
      </c>
      <c r="G29" s="542"/>
      <c r="H29" s="543">
        <f>'Calibration record'!B23</f>
        <v>1368160.8571428573</v>
      </c>
      <c r="I29" s="544"/>
      <c r="J29" s="230">
        <f>'Calibration record'!I23</f>
        <v>1388815.3333333333</v>
      </c>
      <c r="K29" s="233">
        <f t="shared" si="0"/>
        <v>20654.47619047598</v>
      </c>
      <c r="L29" s="232">
        <f>'Calibration record'!J23</f>
        <v>1.509652617427523E-2</v>
      </c>
    </row>
    <row r="30" spans="2:15" s="228" customFormat="1" ht="25.9" customHeight="1" x14ac:dyDescent="0.2">
      <c r="D30" s="541" t="s">
        <v>150</v>
      </c>
      <c r="E30" s="541"/>
      <c r="F30" s="542">
        <f>'Calibration record'!D16</f>
        <v>1886</v>
      </c>
      <c r="G30" s="542"/>
      <c r="H30" s="543">
        <f>'Calibration record'!B24</f>
        <v>97342.21714285716</v>
      </c>
      <c r="I30" s="544"/>
      <c r="J30" s="230">
        <f>'Calibration record'!I24</f>
        <v>98910</v>
      </c>
      <c r="K30" s="233">
        <f t="shared" si="0"/>
        <v>1567.7828571428399</v>
      </c>
      <c r="L30" s="232">
        <f>'Calibration record'!J24</f>
        <v>1.6105888104459329E-2</v>
      </c>
    </row>
    <row r="31" spans="2:15" s="228" customFormat="1" ht="25.9" customHeight="1" x14ac:dyDescent="0.2">
      <c r="D31" s="541" t="s">
        <v>151</v>
      </c>
      <c r="E31" s="541"/>
      <c r="F31" s="542">
        <f>'Calibration record'!E16</f>
        <v>4122</v>
      </c>
      <c r="G31" s="542"/>
      <c r="H31" s="543">
        <f>'Calibration record'!B25</f>
        <v>24221.302857142859</v>
      </c>
      <c r="I31" s="544"/>
      <c r="J31" s="230">
        <f>'Calibration record'!I25</f>
        <v>24523</v>
      </c>
      <c r="K31" s="233">
        <f t="shared" si="0"/>
        <v>301.69714285714144</v>
      </c>
      <c r="L31" s="232">
        <f>'Calibration record'!J25</f>
        <v>1.2455859399329174E-2</v>
      </c>
    </row>
    <row r="32" spans="2:15" s="228" customFormat="1" ht="25.9" customHeight="1" x14ac:dyDescent="0.2">
      <c r="D32" s="541" t="s">
        <v>152</v>
      </c>
      <c r="E32" s="541"/>
      <c r="F32" s="542">
        <f>'Calibration record'!F16</f>
        <v>6566</v>
      </c>
      <c r="G32" s="542"/>
      <c r="H32" s="543">
        <f>'Calibration record'!B26</f>
        <v>11396.58</v>
      </c>
      <c r="I32" s="544"/>
      <c r="J32" s="230">
        <f>'Calibration record'!I26</f>
        <v>11296</v>
      </c>
      <c r="K32" s="233">
        <f t="shared" si="0"/>
        <v>-100.57999999999993</v>
      </c>
      <c r="L32" s="232">
        <f>'Calibration record'!J26</f>
        <v>-8.8254546539400357E-3</v>
      </c>
    </row>
    <row r="33" spans="2:12" s="228" customFormat="1" ht="25.9" customHeight="1" x14ac:dyDescent="0.2">
      <c r="D33" s="541" t="s">
        <v>153</v>
      </c>
      <c r="E33" s="541"/>
      <c r="F33" s="542">
        <f>'Calibration record'!G16</f>
        <v>15500</v>
      </c>
      <c r="G33" s="542"/>
      <c r="H33" s="543">
        <f>'Calibration record'!B27</f>
        <v>1788.6061142857141</v>
      </c>
      <c r="I33" s="544"/>
      <c r="J33" s="230">
        <f>'Calibration record'!I27</f>
        <v>1652</v>
      </c>
      <c r="K33" s="233">
        <f t="shared" si="0"/>
        <v>-136.60611428571406</v>
      </c>
      <c r="L33" s="232">
        <f>'Calibration record'!J27</f>
        <v>-7.6375739294768194E-2</v>
      </c>
    </row>
    <row r="34" spans="2:12" s="228" customFormat="1" ht="25.9" customHeight="1" x14ac:dyDescent="0.2">
      <c r="D34" s="541" t="s">
        <v>154</v>
      </c>
      <c r="E34" s="541"/>
      <c r="F34" s="542">
        <f>'Calibration record'!H16</f>
        <v>22008</v>
      </c>
      <c r="G34" s="542"/>
      <c r="H34" s="543">
        <f>'Calibration record'!B28</f>
        <v>690.6498857142858</v>
      </c>
      <c r="I34" s="544"/>
      <c r="J34" s="230">
        <f>'Calibration record'!I28</f>
        <v>484.66666666666669</v>
      </c>
      <c r="K34" s="233" t="s">
        <v>101</v>
      </c>
      <c r="L34" s="234" t="s">
        <v>101</v>
      </c>
    </row>
    <row r="35" spans="2:12" s="221" customFormat="1" ht="25.9" customHeight="1" x14ac:dyDescent="0.25">
      <c r="D35" s="541" t="s">
        <v>155</v>
      </c>
      <c r="E35" s="541"/>
      <c r="F35" s="542">
        <f>'Calibration record'!I16</f>
        <v>32390</v>
      </c>
      <c r="G35" s="542"/>
      <c r="H35" s="543">
        <f>'Calibration record'!B29</f>
        <v>159.952</v>
      </c>
      <c r="I35" s="544"/>
      <c r="J35" s="230">
        <f>'Calibration record'!I29</f>
        <v>59</v>
      </c>
      <c r="K35" s="233" t="s">
        <v>101</v>
      </c>
      <c r="L35" s="234" t="s">
        <v>101</v>
      </c>
    </row>
    <row r="36" spans="2:12" ht="20.25" x14ac:dyDescent="0.3">
      <c r="D36" s="235" t="s">
        <v>156</v>
      </c>
      <c r="E36" s="236"/>
      <c r="F36" s="236"/>
      <c r="G36" s="236"/>
      <c r="H36" s="236"/>
      <c r="I36" s="236"/>
      <c r="J36" s="236"/>
      <c r="K36" s="236"/>
    </row>
    <row r="37" spans="2:12" ht="20.25" x14ac:dyDescent="0.3">
      <c r="B37" s="237"/>
      <c r="D37" s="236"/>
      <c r="E37" s="236"/>
      <c r="F37" s="236"/>
      <c r="G37" s="236"/>
      <c r="H37" s="236"/>
      <c r="I37" s="236"/>
      <c r="J37" s="236"/>
      <c r="K37" s="236"/>
    </row>
    <row r="38" spans="2:12" ht="81" customHeight="1" x14ac:dyDescent="0.2">
      <c r="B38" s="237"/>
      <c r="D38" s="238" t="s">
        <v>157</v>
      </c>
      <c r="E38" s="537" t="s">
        <v>158</v>
      </c>
      <c r="F38" s="537"/>
      <c r="G38" s="537" t="s">
        <v>159</v>
      </c>
      <c r="H38" s="537"/>
      <c r="I38" s="228"/>
      <c r="J38" s="239"/>
      <c r="K38" s="239"/>
      <c r="L38" s="239"/>
    </row>
    <row r="39" spans="2:12" ht="25.9" customHeight="1" x14ac:dyDescent="0.2">
      <c r="B39" s="237"/>
      <c r="D39" s="240" t="s">
        <v>145</v>
      </c>
      <c r="E39" s="538" t="s">
        <v>145</v>
      </c>
      <c r="F39" s="538"/>
      <c r="G39" s="538" t="s">
        <v>160</v>
      </c>
      <c r="H39" s="538"/>
      <c r="I39" s="241"/>
      <c r="J39" s="242"/>
      <c r="K39" s="242"/>
      <c r="L39" s="242"/>
    </row>
    <row r="40" spans="2:12" ht="25.9" customHeight="1" x14ac:dyDescent="0.2">
      <c r="B40" s="237"/>
      <c r="D40" s="233">
        <f>'Calibration record'!B9</f>
        <v>61</v>
      </c>
      <c r="E40" s="539">
        <f>F28-D40</f>
        <v>73</v>
      </c>
      <c r="F40" s="539"/>
      <c r="G40" s="540">
        <f>F28/D40</f>
        <v>2.1967213114754101</v>
      </c>
      <c r="H40" s="540"/>
      <c r="I40" s="241"/>
      <c r="J40" s="243"/>
      <c r="K40" s="244"/>
      <c r="L40" s="245"/>
    </row>
    <row r="41" spans="2:12" x14ac:dyDescent="0.2">
      <c r="B41" s="237"/>
    </row>
    <row r="42" spans="2:12" x14ac:dyDescent="0.2">
      <c r="B42" s="237"/>
    </row>
    <row r="43" spans="2:12" x14ac:dyDescent="0.2">
      <c r="B43" s="237"/>
    </row>
    <row r="44" spans="2:12" x14ac:dyDescent="0.2">
      <c r="B44" s="237"/>
    </row>
    <row r="45" spans="2:12" x14ac:dyDescent="0.2">
      <c r="B45" s="237"/>
    </row>
    <row r="46" spans="2:12" x14ac:dyDescent="0.2">
      <c r="B46" s="237"/>
    </row>
    <row r="47" spans="2:12" x14ac:dyDescent="0.2">
      <c r="B47" s="237"/>
    </row>
    <row r="48" spans="2:12" x14ac:dyDescent="0.2">
      <c r="B48" s="237"/>
    </row>
    <row r="49" spans="2:2" x14ac:dyDescent="0.2">
      <c r="B49" s="237"/>
    </row>
    <row r="50" spans="2:2" x14ac:dyDescent="0.2">
      <c r="B50" s="237"/>
    </row>
    <row r="51" spans="2:2" x14ac:dyDescent="0.2">
      <c r="B51" s="237"/>
    </row>
    <row r="52" spans="2:2" x14ac:dyDescent="0.2">
      <c r="B52" s="237"/>
    </row>
    <row r="53" spans="2:2" x14ac:dyDescent="0.2">
      <c r="B53" s="237"/>
    </row>
    <row r="54" spans="2:2" x14ac:dyDescent="0.2">
      <c r="B54" s="237"/>
    </row>
    <row r="55" spans="2:2" x14ac:dyDescent="0.2">
      <c r="B55" s="237"/>
    </row>
    <row r="56" spans="2:2" x14ac:dyDescent="0.2">
      <c r="B56" s="237"/>
    </row>
    <row r="57" spans="2:2" x14ac:dyDescent="0.2">
      <c r="B57" s="237"/>
    </row>
    <row r="58" spans="2:2" x14ac:dyDescent="0.2">
      <c r="B58" s="237"/>
    </row>
    <row r="59" spans="2:2" x14ac:dyDescent="0.2">
      <c r="B59" s="237"/>
    </row>
    <row r="60" spans="2:2" x14ac:dyDescent="0.2">
      <c r="B60" s="237"/>
    </row>
    <row r="61" spans="2:2" x14ac:dyDescent="0.2">
      <c r="B61" s="237"/>
    </row>
    <row r="62" spans="2:2" x14ac:dyDescent="0.2">
      <c r="B62" s="237"/>
    </row>
    <row r="63" spans="2:2" x14ac:dyDescent="0.2">
      <c r="B63" s="237"/>
    </row>
    <row r="64" spans="2:2" x14ac:dyDescent="0.2">
      <c r="B64" s="237"/>
    </row>
    <row r="65" spans="2:16" x14ac:dyDescent="0.2">
      <c r="B65" s="237"/>
    </row>
    <row r="66" spans="2:16" x14ac:dyDescent="0.2">
      <c r="B66" s="237"/>
    </row>
    <row r="67" spans="2:16" x14ac:dyDescent="0.2">
      <c r="B67" s="237"/>
    </row>
    <row r="68" spans="2:16" x14ac:dyDescent="0.2">
      <c r="B68" s="237"/>
    </row>
    <row r="69" spans="2:16" ht="13.5" thickBot="1" x14ac:dyDescent="0.25">
      <c r="B69" s="246"/>
      <c r="C69" s="247"/>
      <c r="D69" s="247"/>
      <c r="E69" s="247"/>
      <c r="F69" s="247"/>
      <c r="G69" s="247"/>
      <c r="H69" s="247"/>
      <c r="I69" s="247"/>
      <c r="J69" s="247"/>
      <c r="K69" s="247"/>
      <c r="L69" s="247"/>
      <c r="M69" s="247"/>
      <c r="N69" s="247"/>
      <c r="O69" s="247"/>
      <c r="P69" s="247"/>
    </row>
    <row r="70" spans="2:16" ht="13.5" thickTop="1" x14ac:dyDescent="0.2">
      <c r="B70" s="237"/>
    </row>
    <row r="71" spans="2:16" ht="25.9" customHeight="1" x14ac:dyDescent="0.2"/>
    <row r="72" spans="2:16" s="197" customFormat="1" ht="25.9" customHeight="1" x14ac:dyDescent="0.2">
      <c r="B72" s="248" t="s">
        <v>161</v>
      </c>
      <c r="C72" s="249"/>
      <c r="D72" s="250" t="s">
        <v>162</v>
      </c>
      <c r="H72" s="194"/>
      <c r="I72" s="194"/>
      <c r="K72" s="518" t="s">
        <v>163</v>
      </c>
      <c r="L72" s="519"/>
      <c r="M72" s="519"/>
      <c r="N72" s="519"/>
      <c r="O72" s="520"/>
    </row>
    <row r="73" spans="2:16" s="197" customFormat="1" ht="25.9" customHeight="1" x14ac:dyDescent="0.2">
      <c r="H73" s="194"/>
      <c r="I73" s="194"/>
      <c r="K73" s="521"/>
      <c r="L73" s="522"/>
      <c r="M73" s="522"/>
      <c r="N73" s="522"/>
      <c r="O73" s="523"/>
    </row>
    <row r="74" spans="2:16" s="197" customFormat="1" ht="25.9" customHeight="1" x14ac:dyDescent="0.2">
      <c r="B74" s="248" t="s">
        <v>164</v>
      </c>
      <c r="C74" s="249"/>
      <c r="D74" s="527" t="s">
        <v>347</v>
      </c>
      <c r="E74" s="528"/>
      <c r="F74" s="528"/>
      <c r="G74" s="529"/>
      <c r="H74" s="194"/>
      <c r="I74" s="194"/>
      <c r="K74" s="521"/>
      <c r="L74" s="522"/>
      <c r="M74" s="522"/>
      <c r="N74" s="522"/>
      <c r="O74" s="523"/>
    </row>
    <row r="75" spans="2:16" s="197" customFormat="1" ht="25.9" customHeight="1" x14ac:dyDescent="0.2">
      <c r="K75" s="524"/>
      <c r="L75" s="525"/>
      <c r="M75" s="525"/>
      <c r="N75" s="525"/>
      <c r="O75" s="526"/>
    </row>
    <row r="76" spans="2:16" s="197" customFormat="1" ht="25.9" customHeight="1" x14ac:dyDescent="0.2">
      <c r="B76" s="248" t="s">
        <v>166</v>
      </c>
      <c r="C76" s="249"/>
      <c r="D76" s="530" t="str">
        <f>'[1]Calibration record'!H12</f>
        <v>J Scarrott</v>
      </c>
      <c r="E76" s="531"/>
      <c r="F76" s="532"/>
      <c r="K76" s="251" t="s">
        <v>167</v>
      </c>
      <c r="L76" s="533" t="s">
        <v>168</v>
      </c>
      <c r="M76" s="534"/>
      <c r="N76" s="534"/>
      <c r="O76" s="535"/>
      <c r="P76" s="252"/>
    </row>
    <row r="77" spans="2:16" ht="25.9" customHeight="1" x14ac:dyDescent="0.2">
      <c r="H77" s="197"/>
      <c r="I77" s="197"/>
      <c r="J77" s="197"/>
      <c r="K77" s="197"/>
    </row>
    <row r="78" spans="2:16" ht="15" customHeight="1" x14ac:dyDescent="0.2">
      <c r="B78" s="237" t="s">
        <v>169</v>
      </c>
      <c r="H78" s="197"/>
      <c r="I78" s="197"/>
      <c r="J78" s="197"/>
      <c r="K78" s="536" t="s">
        <v>170</v>
      </c>
      <c r="L78" s="536"/>
      <c r="M78" s="536"/>
      <c r="N78" s="536"/>
      <c r="O78" s="536"/>
    </row>
    <row r="79" spans="2:16" ht="15" x14ac:dyDescent="0.2">
      <c r="B79" s="237" t="s">
        <v>171</v>
      </c>
      <c r="H79" s="197"/>
      <c r="I79" s="197"/>
      <c r="J79" s="197"/>
      <c r="K79" s="536"/>
      <c r="L79" s="536"/>
      <c r="M79" s="536"/>
      <c r="N79" s="536"/>
      <c r="O79" s="536"/>
    </row>
    <row r="80" spans="2:16" x14ac:dyDescent="0.2">
      <c r="B80" s="237" t="s">
        <v>172</v>
      </c>
      <c r="K80" s="536"/>
      <c r="L80" s="536"/>
      <c r="M80" s="536"/>
      <c r="N80" s="536"/>
      <c r="O80" s="536"/>
    </row>
    <row r="83" spans="2:15" x14ac:dyDescent="0.2">
      <c r="O83" s="253" t="s">
        <v>176</v>
      </c>
    </row>
    <row r="84" spans="2:15" x14ac:dyDescent="0.2">
      <c r="O84" s="253"/>
    </row>
    <row r="85" spans="2:15" x14ac:dyDescent="0.2">
      <c r="O85" s="253"/>
    </row>
    <row r="86" spans="2:15" x14ac:dyDescent="0.2">
      <c r="B86" s="254" t="s">
        <v>175</v>
      </c>
      <c r="C86" s="254"/>
      <c r="L86" s="254"/>
      <c r="N86" s="254"/>
      <c r="O86" s="253"/>
    </row>
    <row r="88" spans="2:15" x14ac:dyDescent="0.2">
      <c r="D88" s="254"/>
      <c r="E88" s="254"/>
      <c r="F88" s="254"/>
      <c r="G88" s="254"/>
      <c r="H88" s="254"/>
      <c r="I88" s="254"/>
      <c r="J88" s="254"/>
      <c r="K88" s="254"/>
    </row>
  </sheetData>
  <mergeCells count="47">
    <mergeCell ref="E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K72:O75"/>
    <mergeCell ref="D74:G74"/>
    <mergeCell ref="D76:F76"/>
    <mergeCell ref="L76:O76"/>
    <mergeCell ref="K78:O80"/>
  </mergeCells>
  <conditionalFormatting sqref="D72">
    <cfRule type="cellIs" dxfId="65" priority="2" stopIfTrue="1" operator="equal">
      <formula>"PASS"</formula>
    </cfRule>
    <cfRule type="cellIs" dxfId="64" priority="3" stopIfTrue="1" operator="equal">
      <formula>"FAIL"</formula>
    </cfRule>
  </conditionalFormatting>
  <conditionalFormatting sqref="G40">
    <cfRule type="cellIs" dxfId="63" priority="5" stopIfTrue="1" operator="greaterThanOrEqual">
      <formula>1.19</formula>
    </cfRule>
    <cfRule type="cellIs" dxfId="62" priority="6" stopIfTrue="1" operator="lessThan">
      <formula>1.19</formula>
    </cfRule>
  </conditionalFormatting>
  <conditionalFormatting sqref="K72">
    <cfRule type="cellIs" dxfId="61" priority="7" stopIfTrue="1" operator="equal">
      <formula>"FAIL"</formula>
    </cfRule>
    <cfRule type="cellIs" dxfId="60" priority="8" stopIfTrue="1" operator="equal">
      <formula>"PASS - VERIFIED"</formula>
    </cfRule>
  </conditionalFormatting>
  <conditionalFormatting sqref="L28:L33">
    <cfRule type="cellIs" dxfId="59" priority="1" operator="between">
      <formula>-0.1</formula>
      <formula>0.1</formula>
    </cfRule>
  </conditionalFormatting>
  <conditionalFormatting sqref="O22">
    <cfRule type="cellIs" dxfId="58" priority="4" stopIfTrue="1" operator="greaterThan">
      <formula>0</formula>
    </cfRule>
  </conditionalFormatting>
  <dataValidations count="2">
    <dataValidation type="list" allowBlank="1" showInputMessage="1" showErrorMessage="1" sqref="D72" xr:uid="{30B37092-652E-4C61-8D63-AEF2C08E7FBC}">
      <formula1>"PASS, FAIL"</formula1>
    </dataValidation>
    <dataValidation type="list" allowBlank="1" showInputMessage="1" showErrorMessage="1" sqref="K72" xr:uid="{5C8A2751-735B-4EC5-8DCA-A9787645702F}">
      <formula1>"PASS - VERIFIED, FAIL"</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2:AMK88"/>
  <sheetViews>
    <sheetView topLeftCell="A14" zoomScale="95" zoomScaleNormal="95" workbookViewId="0">
      <selection activeCell="K78" sqref="K78"/>
    </sheetView>
  </sheetViews>
  <sheetFormatPr defaultRowHeight="12.75" x14ac:dyDescent="0.2"/>
  <cols>
    <col min="1" max="1" width="6" style="3" customWidth="1"/>
    <col min="2" max="2" width="16.7109375" style="3" customWidth="1"/>
    <col min="3" max="3" width="19.7109375" style="3" customWidth="1"/>
    <col min="4" max="4" width="22.140625" style="3" customWidth="1"/>
    <col min="5" max="5" width="7.5703125" style="3" customWidth="1"/>
    <col min="6" max="6" width="16.7109375" style="3" customWidth="1"/>
    <col min="7" max="7" width="5.140625" style="3" customWidth="1"/>
    <col min="8" max="8" width="16.85546875" style="3" customWidth="1"/>
    <col min="9" max="9" width="3.85546875" style="3" customWidth="1"/>
    <col min="10" max="10" width="23.7109375" style="3" customWidth="1"/>
    <col min="11" max="11" width="20.7109375" style="3" customWidth="1"/>
    <col min="12" max="12" width="21" style="3" customWidth="1"/>
    <col min="13" max="13" width="18.85546875" style="3" customWidth="1"/>
    <col min="14" max="14" width="3.28515625" style="3" customWidth="1"/>
    <col min="15" max="15" width="19.28515625" style="3" customWidth="1"/>
    <col min="16" max="16" width="6" style="3" customWidth="1"/>
    <col min="17" max="1025" width="11.5703125" style="3" hidden="1"/>
  </cols>
  <sheetData>
    <row r="2" spans="1:16" ht="14.25" x14ac:dyDescent="0.2">
      <c r="B2" s="127"/>
      <c r="C2" s="128"/>
    </row>
    <row r="3" spans="1:16" ht="14.25" x14ac:dyDescent="0.2">
      <c r="B3" s="127"/>
      <c r="C3" s="128"/>
    </row>
    <row r="4" spans="1:16" ht="14.25" x14ac:dyDescent="0.2">
      <c r="B4" s="127"/>
      <c r="C4" s="128"/>
    </row>
    <row r="5" spans="1:16" ht="14.25" x14ac:dyDescent="0.2">
      <c r="B5" s="127"/>
      <c r="C5" s="128"/>
    </row>
    <row r="6" spans="1:16" ht="14.25" x14ac:dyDescent="0.2">
      <c r="B6" s="127"/>
      <c r="C6" s="128"/>
    </row>
    <row r="7" spans="1:16" ht="15" x14ac:dyDescent="0.2">
      <c r="B7" s="127"/>
      <c r="C7" s="128"/>
      <c r="D7" s="129"/>
    </row>
    <row r="8" spans="1:16" ht="14.25" x14ac:dyDescent="0.2">
      <c r="B8" s="130"/>
      <c r="C8" s="128"/>
    </row>
    <row r="9" spans="1:16" ht="14.25" x14ac:dyDescent="0.2">
      <c r="B9" s="130"/>
      <c r="C9" s="128"/>
    </row>
    <row r="10" spans="1:16" ht="37.5" customHeight="1" x14ac:dyDescent="0.5">
      <c r="B10" s="501" t="s">
        <v>126</v>
      </c>
      <c r="C10" s="501"/>
      <c r="D10" s="501"/>
      <c r="E10" s="501"/>
      <c r="F10" s="501"/>
      <c r="G10" s="501"/>
      <c r="H10" s="501"/>
      <c r="I10" s="501"/>
      <c r="J10" s="501"/>
      <c r="K10" s="501"/>
      <c r="L10" s="501"/>
      <c r="M10" s="501"/>
      <c r="N10" s="501"/>
      <c r="O10" s="501"/>
      <c r="P10" s="501"/>
    </row>
    <row r="11" spans="1:16" ht="21" customHeight="1" x14ac:dyDescent="0.4">
      <c r="B11" s="131"/>
      <c r="C11" s="131"/>
      <c r="D11" s="131"/>
      <c r="E11" s="131"/>
      <c r="F11" s="131"/>
      <c r="G11" s="131"/>
      <c r="H11" s="131"/>
      <c r="I11" s="131"/>
      <c r="J11" s="131"/>
      <c r="K11" s="131"/>
      <c r="L11" s="131"/>
      <c r="M11" s="131"/>
      <c r="N11" s="131"/>
      <c r="O11" s="131"/>
      <c r="P11" s="131"/>
    </row>
    <row r="12" spans="1:16" ht="11.25" customHeight="1" x14ac:dyDescent="0.2"/>
    <row r="13" spans="1:16" ht="60.75" customHeight="1" x14ac:dyDescent="0.2">
      <c r="B13" s="502" t="s">
        <v>127</v>
      </c>
      <c r="C13" s="502"/>
      <c r="D13" s="502"/>
      <c r="E13" s="502"/>
      <c r="F13" s="502"/>
      <c r="G13" s="502"/>
      <c r="H13" s="502"/>
      <c r="I13" s="502"/>
      <c r="J13" s="502"/>
      <c r="K13" s="502"/>
      <c r="L13" s="502"/>
      <c r="M13" s="502"/>
      <c r="N13" s="502"/>
      <c r="O13" s="502"/>
      <c r="P13" s="133"/>
    </row>
    <row r="14" spans="1:16" ht="77.25" customHeight="1" x14ac:dyDescent="0.2">
      <c r="A14" s="134"/>
      <c r="B14" s="502" t="s">
        <v>128</v>
      </c>
      <c r="C14" s="502"/>
      <c r="D14" s="502"/>
      <c r="E14" s="502"/>
      <c r="F14" s="502"/>
      <c r="G14" s="502"/>
      <c r="H14" s="502"/>
      <c r="I14" s="502"/>
      <c r="J14" s="502"/>
      <c r="K14" s="502"/>
      <c r="L14" s="502"/>
      <c r="M14" s="502"/>
      <c r="N14" s="502"/>
      <c r="O14" s="502"/>
      <c r="P14" s="133"/>
    </row>
    <row r="15" spans="1:16" ht="18" x14ac:dyDescent="0.2">
      <c r="A15" s="134"/>
      <c r="B15" s="132"/>
      <c r="C15" s="132"/>
      <c r="D15" s="132"/>
      <c r="E15" s="132"/>
      <c r="F15" s="132"/>
      <c r="G15" s="132"/>
      <c r="H15" s="132"/>
      <c r="I15" s="132"/>
      <c r="J15" s="132"/>
      <c r="K15" s="132"/>
      <c r="L15" s="132"/>
      <c r="M15" s="132"/>
      <c r="N15" s="132"/>
      <c r="O15" s="132"/>
      <c r="P15" s="133"/>
    </row>
    <row r="16" spans="1:16" ht="18" x14ac:dyDescent="0.2">
      <c r="A16" s="134"/>
      <c r="B16" s="135"/>
      <c r="C16" s="135"/>
      <c r="D16" s="133"/>
      <c r="E16" s="133"/>
      <c r="F16" s="135"/>
      <c r="G16" s="135"/>
      <c r="H16" s="135"/>
      <c r="I16" s="135"/>
      <c r="J16" s="135"/>
      <c r="K16" s="135"/>
      <c r="L16" s="135"/>
      <c r="M16" s="135"/>
      <c r="N16" s="135"/>
      <c r="O16" s="135"/>
      <c r="P16" s="135"/>
    </row>
    <row r="17" spans="2:15" ht="25.9" customHeight="1" x14ac:dyDescent="0.25">
      <c r="B17" s="136" t="s">
        <v>129</v>
      </c>
      <c r="C17" s="27"/>
      <c r="D17" s="503">
        <f>'Calibration record'!H6</f>
        <v>11.111121000000001</v>
      </c>
      <c r="E17" s="503"/>
      <c r="F17" s="503"/>
      <c r="K17" s="137" t="s">
        <v>130</v>
      </c>
      <c r="L17" s="138"/>
      <c r="M17" s="138"/>
      <c r="N17" s="139"/>
      <c r="O17" s="180" t="str">
        <f>'Calibration record'!H10</f>
        <v>12798M</v>
      </c>
    </row>
    <row r="18" spans="2:15" ht="25.9" customHeight="1" x14ac:dyDescent="0.25">
      <c r="B18" s="136" t="s">
        <v>131</v>
      </c>
      <c r="C18" s="141"/>
      <c r="D18" s="553" t="str">
        <f>'Calibration record'!H7</f>
        <v>000000204 / 07093-41</v>
      </c>
      <c r="E18" s="553"/>
      <c r="F18" s="553"/>
      <c r="K18" s="143" t="s">
        <v>132</v>
      </c>
      <c r="L18" s="144"/>
      <c r="M18" s="144"/>
      <c r="N18" s="145"/>
      <c r="O18" s="146" t="str">
        <f>'Calibration record'!H8</f>
        <v>08 12 25</v>
      </c>
    </row>
    <row r="19" spans="2:15" ht="25.9" customHeight="1" x14ac:dyDescent="0.25">
      <c r="B19" s="136" t="s">
        <v>133</v>
      </c>
      <c r="C19" s="141"/>
      <c r="D19" s="553" t="str">
        <f>'Calibration record'!H9</f>
        <v>000000204 / 07093-41</v>
      </c>
      <c r="E19" s="553"/>
      <c r="F19" s="553"/>
      <c r="K19" s="137" t="s">
        <v>134</v>
      </c>
      <c r="L19" s="138"/>
      <c r="M19" s="138"/>
      <c r="N19" s="139"/>
      <c r="O19" s="181">
        <f>'Calibration record'!H11</f>
        <v>367</v>
      </c>
    </row>
    <row r="20" spans="2:15" ht="14.25" customHeight="1" x14ac:dyDescent="0.25">
      <c r="B20" s="147"/>
      <c r="D20" s="148"/>
      <c r="E20" s="149"/>
      <c r="K20" s="147"/>
      <c r="L20" s="150"/>
      <c r="M20" s="150"/>
      <c r="N20" s="150"/>
      <c r="O20" s="151"/>
    </row>
    <row r="21" spans="2:15" ht="15.75" x14ac:dyDescent="0.25">
      <c r="B21" s="152" t="s">
        <v>135</v>
      </c>
    </row>
    <row r="22" spans="2:15" ht="15.75" x14ac:dyDescent="0.25">
      <c r="B22" s="152" t="s">
        <v>136</v>
      </c>
      <c r="O22" s="153"/>
    </row>
    <row r="23" spans="2:15" ht="15.75" x14ac:dyDescent="0.25">
      <c r="B23" s="152" t="s">
        <v>137</v>
      </c>
    </row>
    <row r="24" spans="2:15" ht="15.75" x14ac:dyDescent="0.25">
      <c r="B24" s="152"/>
    </row>
    <row r="25" spans="2:15" x14ac:dyDescent="0.2">
      <c r="B25" s="154"/>
    </row>
    <row r="26" spans="2:15" s="155" customFormat="1" ht="67.5" customHeight="1" x14ac:dyDescent="0.2">
      <c r="D26" s="508" t="s">
        <v>138</v>
      </c>
      <c r="E26" s="508"/>
      <c r="F26" s="508" t="s">
        <v>139</v>
      </c>
      <c r="G26" s="508"/>
      <c r="H26" s="508" t="s">
        <v>140</v>
      </c>
      <c r="I26" s="508"/>
      <c r="J26" s="156" t="s">
        <v>141</v>
      </c>
      <c r="K26" s="156" t="s">
        <v>142</v>
      </c>
      <c r="L26" s="156" t="s">
        <v>143</v>
      </c>
    </row>
    <row r="27" spans="2:15" s="157" customFormat="1" ht="25.9" customHeight="1" x14ac:dyDescent="0.2">
      <c r="D27" s="509" t="s">
        <v>144</v>
      </c>
      <c r="E27" s="509"/>
      <c r="F27" s="509" t="s">
        <v>145</v>
      </c>
      <c r="G27" s="509"/>
      <c r="H27" s="509" t="s">
        <v>146</v>
      </c>
      <c r="I27" s="509"/>
      <c r="J27" s="158" t="s">
        <v>146</v>
      </c>
      <c r="K27" s="158" t="s">
        <v>146</v>
      </c>
      <c r="L27" s="158" t="s">
        <v>147</v>
      </c>
    </row>
    <row r="28" spans="2:15" s="157" customFormat="1" ht="25.9" customHeight="1" x14ac:dyDescent="0.2">
      <c r="D28" s="505" t="s">
        <v>148</v>
      </c>
      <c r="E28" s="505"/>
      <c r="F28" s="506">
        <f>'Calibration record'!B16</f>
        <v>134</v>
      </c>
      <c r="G28" s="506"/>
      <c r="H28" s="507">
        <f>'Calibration record'!B22</f>
        <v>3481812.2857142859</v>
      </c>
      <c r="I28" s="507"/>
      <c r="J28" s="182">
        <f>'Calibration record'!I22</f>
        <v>3515052.3333333335</v>
      </c>
      <c r="K28" s="159">
        <f t="shared" ref="K28:K33" si="0">J28-H28</f>
        <v>33240.047619047575</v>
      </c>
      <c r="L28" s="160">
        <f>'Calibration record'!J22</f>
        <v>9.5467661353916024E-3</v>
      </c>
    </row>
    <row r="29" spans="2:15" s="157" customFormat="1" ht="25.9" customHeight="1" x14ac:dyDescent="0.2">
      <c r="D29" s="505" t="s">
        <v>149</v>
      </c>
      <c r="E29" s="505"/>
      <c r="F29" s="506">
        <f>'Calibration record'!C16</f>
        <v>324</v>
      </c>
      <c r="G29" s="506"/>
      <c r="H29" s="507">
        <f>'Calibration record'!B23</f>
        <v>1368160.8571428573</v>
      </c>
      <c r="I29" s="507"/>
      <c r="J29" s="182">
        <f>'Calibration record'!I23</f>
        <v>1388815.3333333333</v>
      </c>
      <c r="K29" s="159">
        <f t="shared" si="0"/>
        <v>20654.47619047598</v>
      </c>
      <c r="L29" s="160">
        <f>'Calibration record'!J23</f>
        <v>1.509652617427523E-2</v>
      </c>
    </row>
    <row r="30" spans="2:15" s="157" customFormat="1" ht="25.9" customHeight="1" x14ac:dyDescent="0.2">
      <c r="D30" s="505" t="s">
        <v>150</v>
      </c>
      <c r="E30" s="505"/>
      <c r="F30" s="506">
        <f>'Calibration record'!D16</f>
        <v>1886</v>
      </c>
      <c r="G30" s="506"/>
      <c r="H30" s="507">
        <f>'Calibration record'!B24</f>
        <v>97342.21714285716</v>
      </c>
      <c r="I30" s="507"/>
      <c r="J30" s="182">
        <f>'Calibration record'!I24</f>
        <v>98910</v>
      </c>
      <c r="K30" s="159">
        <f t="shared" si="0"/>
        <v>1567.7828571428399</v>
      </c>
      <c r="L30" s="160">
        <f>'Calibration record'!J24</f>
        <v>1.6105888104459329E-2</v>
      </c>
    </row>
    <row r="31" spans="2:15" s="157" customFormat="1" ht="25.9" customHeight="1" x14ac:dyDescent="0.2">
      <c r="D31" s="505" t="s">
        <v>151</v>
      </c>
      <c r="E31" s="505"/>
      <c r="F31" s="506">
        <f>'Calibration record'!E16</f>
        <v>4122</v>
      </c>
      <c r="G31" s="506"/>
      <c r="H31" s="507">
        <f>'Calibration record'!B25</f>
        <v>24221.302857142859</v>
      </c>
      <c r="I31" s="507"/>
      <c r="J31" s="182">
        <f>'Calibration record'!I25</f>
        <v>24523</v>
      </c>
      <c r="K31" s="159">
        <f t="shared" si="0"/>
        <v>301.69714285714144</v>
      </c>
      <c r="L31" s="160">
        <f>'Calibration record'!J25</f>
        <v>1.2455859399329174E-2</v>
      </c>
    </row>
    <row r="32" spans="2:15" s="157" customFormat="1" ht="25.9" customHeight="1" x14ac:dyDescent="0.2">
      <c r="D32" s="505" t="s">
        <v>152</v>
      </c>
      <c r="E32" s="505"/>
      <c r="F32" s="506">
        <f>'Calibration record'!F16</f>
        <v>6566</v>
      </c>
      <c r="G32" s="506"/>
      <c r="H32" s="507">
        <f>'Calibration record'!B26</f>
        <v>11396.58</v>
      </c>
      <c r="I32" s="507"/>
      <c r="J32" s="182">
        <f>'Calibration record'!I26</f>
        <v>11296</v>
      </c>
      <c r="K32" s="159">
        <f t="shared" si="0"/>
        <v>-100.57999999999993</v>
      </c>
      <c r="L32" s="160">
        <f>'Calibration record'!J26</f>
        <v>-8.8254546539400357E-3</v>
      </c>
    </row>
    <row r="33" spans="2:12" s="157" customFormat="1" ht="25.9" customHeight="1" x14ac:dyDescent="0.2">
      <c r="D33" s="505" t="s">
        <v>153</v>
      </c>
      <c r="E33" s="505"/>
      <c r="F33" s="506">
        <f>'Calibration record'!G16</f>
        <v>15500</v>
      </c>
      <c r="G33" s="506"/>
      <c r="H33" s="507">
        <f>'Calibration record'!B27</f>
        <v>1788.6061142857141</v>
      </c>
      <c r="I33" s="507"/>
      <c r="J33" s="182">
        <f>'Calibration record'!I27</f>
        <v>1652</v>
      </c>
      <c r="K33" s="159">
        <f t="shared" si="0"/>
        <v>-136.60611428571406</v>
      </c>
      <c r="L33" s="160">
        <f>'Calibration record'!J27</f>
        <v>-7.6375739294768194E-2</v>
      </c>
    </row>
    <row r="34" spans="2:12" s="157" customFormat="1" ht="25.9" customHeight="1" x14ac:dyDescent="0.2">
      <c r="D34" s="505" t="s">
        <v>154</v>
      </c>
      <c r="E34" s="505"/>
      <c r="F34" s="506">
        <f>'Calibration record'!H16</f>
        <v>22008</v>
      </c>
      <c r="G34" s="506"/>
      <c r="H34" s="507">
        <f>'Calibration record'!B28</f>
        <v>690.6498857142858</v>
      </c>
      <c r="I34" s="507"/>
      <c r="J34" s="182">
        <f>'Calibration record'!I28</f>
        <v>484.66666666666669</v>
      </c>
      <c r="K34" s="159" t="s">
        <v>101</v>
      </c>
      <c r="L34" s="161" t="s">
        <v>101</v>
      </c>
    </row>
    <row r="35" spans="2:12" s="150" customFormat="1" ht="25.9" customHeight="1" x14ac:dyDescent="0.25">
      <c r="D35" s="505" t="s">
        <v>155</v>
      </c>
      <c r="E35" s="505"/>
      <c r="F35" s="510">
        <f>'Calibration record'!I16</f>
        <v>32390</v>
      </c>
      <c r="G35" s="510"/>
      <c r="H35" s="507">
        <f>'Calibration record'!B29</f>
        <v>159.952</v>
      </c>
      <c r="I35" s="507"/>
      <c r="J35" s="182">
        <f>'Calibration record'!I29</f>
        <v>59</v>
      </c>
      <c r="K35" s="159" t="s">
        <v>101</v>
      </c>
      <c r="L35" s="161" t="s">
        <v>101</v>
      </c>
    </row>
    <row r="36" spans="2:12" ht="20.25" x14ac:dyDescent="0.3">
      <c r="D36" s="162" t="s">
        <v>156</v>
      </c>
      <c r="E36" s="163"/>
      <c r="F36" s="163"/>
      <c r="G36" s="163"/>
      <c r="H36" s="163"/>
      <c r="I36" s="163"/>
      <c r="J36" s="163"/>
      <c r="K36" s="163"/>
    </row>
    <row r="37" spans="2:12" ht="20.25" x14ac:dyDescent="0.3">
      <c r="B37" s="164"/>
      <c r="D37" s="163"/>
      <c r="E37" s="163"/>
      <c r="F37" s="163"/>
      <c r="G37" s="163"/>
      <c r="H37" s="163"/>
      <c r="I37" s="163"/>
      <c r="J37" s="163"/>
      <c r="K37" s="163"/>
    </row>
    <row r="38" spans="2:12" ht="81" customHeight="1" x14ac:dyDescent="0.2">
      <c r="B38" s="164"/>
      <c r="D38" s="156" t="s">
        <v>157</v>
      </c>
      <c r="E38" s="508" t="s">
        <v>158</v>
      </c>
      <c r="F38" s="508"/>
      <c r="G38" s="508" t="s">
        <v>159</v>
      </c>
      <c r="H38" s="508"/>
      <c r="I38" s="157"/>
      <c r="J38" s="132"/>
      <c r="K38" s="132"/>
      <c r="L38" s="132"/>
    </row>
    <row r="39" spans="2:12" ht="25.9" customHeight="1" x14ac:dyDescent="0.2">
      <c r="B39" s="164"/>
      <c r="D39" s="158" t="s">
        <v>145</v>
      </c>
      <c r="E39" s="509" t="s">
        <v>145</v>
      </c>
      <c r="F39" s="509"/>
      <c r="G39" s="509" t="s">
        <v>160</v>
      </c>
      <c r="H39" s="509"/>
      <c r="I39" s="165"/>
      <c r="J39" s="166"/>
      <c r="K39" s="166"/>
      <c r="L39" s="166"/>
    </row>
    <row r="40" spans="2:12" ht="25.9" customHeight="1" x14ac:dyDescent="0.2">
      <c r="B40" s="164"/>
      <c r="D40" s="167">
        <f>'Calibration record'!B9</f>
        <v>61</v>
      </c>
      <c r="E40" s="511">
        <f>F28-D40</f>
        <v>73</v>
      </c>
      <c r="F40" s="511"/>
      <c r="G40" s="512">
        <f>F28/D40</f>
        <v>2.1967213114754101</v>
      </c>
      <c r="H40" s="512"/>
      <c r="I40" s="165"/>
      <c r="J40" s="168"/>
      <c r="K40" s="169"/>
      <c r="L40" s="170"/>
    </row>
    <row r="41" spans="2:12" x14ac:dyDescent="0.2">
      <c r="B41" s="164"/>
    </row>
    <row r="42" spans="2:12" x14ac:dyDescent="0.2">
      <c r="B42" s="164"/>
    </row>
    <row r="43" spans="2:12" x14ac:dyDescent="0.2">
      <c r="B43" s="164"/>
    </row>
    <row r="44" spans="2:12" x14ac:dyDescent="0.2">
      <c r="B44" s="164"/>
    </row>
    <row r="45" spans="2:12" x14ac:dyDescent="0.2">
      <c r="B45" s="164"/>
    </row>
    <row r="46" spans="2:12" x14ac:dyDescent="0.2">
      <c r="B46" s="164"/>
    </row>
    <row r="47" spans="2:12" x14ac:dyDescent="0.2">
      <c r="B47" s="164"/>
    </row>
    <row r="48" spans="2:12" x14ac:dyDescent="0.2">
      <c r="B48" s="164"/>
    </row>
    <row r="49" spans="2:2" x14ac:dyDescent="0.2">
      <c r="B49" s="164"/>
    </row>
    <row r="50" spans="2:2" x14ac:dyDescent="0.2">
      <c r="B50" s="164"/>
    </row>
    <row r="51" spans="2:2" x14ac:dyDescent="0.2">
      <c r="B51" s="164"/>
    </row>
    <row r="52" spans="2:2" x14ac:dyDescent="0.2">
      <c r="B52" s="164"/>
    </row>
    <row r="53" spans="2:2" x14ac:dyDescent="0.2">
      <c r="B53" s="164"/>
    </row>
    <row r="54" spans="2:2" x14ac:dyDescent="0.2">
      <c r="B54" s="164"/>
    </row>
    <row r="55" spans="2:2" x14ac:dyDescent="0.2">
      <c r="B55" s="164"/>
    </row>
    <row r="56" spans="2:2" x14ac:dyDescent="0.2">
      <c r="B56" s="164"/>
    </row>
    <row r="57" spans="2:2" x14ac:dyDescent="0.2">
      <c r="B57" s="164"/>
    </row>
    <row r="58" spans="2:2" x14ac:dyDescent="0.2">
      <c r="B58" s="164"/>
    </row>
    <row r="59" spans="2:2" x14ac:dyDescent="0.2">
      <c r="B59" s="164"/>
    </row>
    <row r="60" spans="2:2" x14ac:dyDescent="0.2">
      <c r="B60" s="164"/>
    </row>
    <row r="61" spans="2:2" x14ac:dyDescent="0.2">
      <c r="B61" s="164"/>
    </row>
    <row r="62" spans="2:2" x14ac:dyDescent="0.2">
      <c r="B62" s="164"/>
    </row>
    <row r="63" spans="2:2" x14ac:dyDescent="0.2">
      <c r="B63" s="164"/>
    </row>
    <row r="64" spans="2:2" x14ac:dyDescent="0.2">
      <c r="B64" s="164"/>
    </row>
    <row r="65" spans="2:16" x14ac:dyDescent="0.2">
      <c r="B65" s="164"/>
    </row>
    <row r="66" spans="2:16" x14ac:dyDescent="0.2">
      <c r="B66" s="164"/>
    </row>
    <row r="67" spans="2:16" x14ac:dyDescent="0.2">
      <c r="B67" s="164"/>
    </row>
    <row r="68" spans="2:16" x14ac:dyDescent="0.2">
      <c r="B68" s="164"/>
    </row>
    <row r="69" spans="2:16" x14ac:dyDescent="0.2">
      <c r="B69" s="171"/>
      <c r="C69" s="172"/>
      <c r="D69" s="172"/>
      <c r="E69" s="172"/>
      <c r="F69" s="172"/>
      <c r="G69" s="172"/>
      <c r="H69" s="172"/>
      <c r="I69" s="172"/>
      <c r="J69" s="172"/>
      <c r="K69" s="172"/>
      <c r="L69" s="172"/>
      <c r="M69" s="172"/>
      <c r="N69" s="172"/>
      <c r="O69" s="172"/>
      <c r="P69" s="172"/>
    </row>
    <row r="70" spans="2:16" x14ac:dyDescent="0.2">
      <c r="B70" s="164"/>
    </row>
    <row r="71" spans="2:16" ht="25.9" customHeight="1" x14ac:dyDescent="0.2"/>
    <row r="72" spans="2:16" s="129" customFormat="1" ht="25.9" customHeight="1" x14ac:dyDescent="0.2">
      <c r="B72" s="173" t="s">
        <v>161</v>
      </c>
      <c r="C72" s="174"/>
      <c r="D72" s="175" t="s">
        <v>162</v>
      </c>
      <c r="H72" s="3"/>
      <c r="I72" s="3"/>
      <c r="K72" s="514" t="s">
        <v>163</v>
      </c>
      <c r="L72" s="514"/>
      <c r="M72" s="514"/>
      <c r="N72" s="514"/>
      <c r="O72" s="514"/>
    </row>
    <row r="73" spans="2:16" s="129" customFormat="1" ht="25.9" customHeight="1" x14ac:dyDescent="0.2">
      <c r="H73" s="3"/>
      <c r="I73" s="3"/>
      <c r="K73" s="514"/>
      <c r="L73" s="514"/>
      <c r="M73" s="514"/>
      <c r="N73" s="514"/>
      <c r="O73" s="514"/>
    </row>
    <row r="74" spans="2:16" s="129" customFormat="1" ht="25.9" customHeight="1" x14ac:dyDescent="0.2">
      <c r="B74" s="173" t="s">
        <v>164</v>
      </c>
      <c r="C74" s="174"/>
      <c r="D74" s="515" t="s">
        <v>165</v>
      </c>
      <c r="E74" s="515"/>
      <c r="F74" s="515"/>
      <c r="G74" s="515"/>
      <c r="H74" s="3"/>
      <c r="I74" s="3"/>
      <c r="K74" s="514"/>
      <c r="L74" s="514"/>
      <c r="M74" s="514"/>
      <c r="N74" s="514"/>
      <c r="O74" s="514"/>
    </row>
    <row r="75" spans="2:16" s="129" customFormat="1" ht="25.9" customHeight="1" x14ac:dyDescent="0.2">
      <c r="K75" s="514"/>
      <c r="L75" s="514"/>
      <c r="M75" s="514"/>
      <c r="N75" s="514"/>
      <c r="O75" s="514"/>
    </row>
    <row r="76" spans="2:16" s="129" customFormat="1" ht="25.9" customHeight="1" x14ac:dyDescent="0.2">
      <c r="B76" s="173" t="s">
        <v>166</v>
      </c>
      <c r="C76" s="174"/>
      <c r="D76" s="516" t="str">
        <f>'Calibration record'!H12</f>
        <v>J Scarrott</v>
      </c>
      <c r="E76" s="516"/>
      <c r="F76" s="516"/>
      <c r="K76" s="176" t="s">
        <v>167</v>
      </c>
      <c r="L76" s="517" t="s">
        <v>168</v>
      </c>
      <c r="M76" s="517"/>
      <c r="N76" s="517"/>
      <c r="O76" s="517"/>
      <c r="P76" s="177"/>
    </row>
    <row r="77" spans="2:16" ht="25.9" customHeight="1" x14ac:dyDescent="0.2">
      <c r="H77" s="129"/>
      <c r="I77" s="129"/>
      <c r="J77" s="129"/>
      <c r="K77" s="129"/>
    </row>
    <row r="78" spans="2:16" ht="15" customHeight="1" x14ac:dyDescent="0.2">
      <c r="B78" s="164" t="s">
        <v>169</v>
      </c>
      <c r="H78" s="129"/>
      <c r="I78" s="129"/>
      <c r="J78" s="129"/>
      <c r="K78" s="513" t="s">
        <v>170</v>
      </c>
      <c r="L78" s="513"/>
      <c r="M78" s="513"/>
      <c r="N78" s="513"/>
      <c r="O78" s="513"/>
    </row>
    <row r="79" spans="2:16" ht="15" x14ac:dyDescent="0.2">
      <c r="B79" s="164" t="s">
        <v>171</v>
      </c>
      <c r="H79" s="129"/>
      <c r="I79" s="129"/>
      <c r="J79" s="129"/>
      <c r="K79" s="513"/>
      <c r="L79" s="513"/>
      <c r="M79" s="513"/>
      <c r="N79" s="513"/>
      <c r="O79" s="513"/>
    </row>
    <row r="80" spans="2:16" x14ac:dyDescent="0.2">
      <c r="B80" s="164" t="s">
        <v>172</v>
      </c>
      <c r="K80" s="513"/>
      <c r="L80" s="513"/>
      <c r="M80" s="513"/>
      <c r="N80" s="513"/>
      <c r="O80" s="513"/>
    </row>
    <row r="83" spans="2:15" x14ac:dyDescent="0.2">
      <c r="O83" s="178" t="s">
        <v>176</v>
      </c>
    </row>
    <row r="84" spans="2:15" x14ac:dyDescent="0.2">
      <c r="O84" s="178"/>
    </row>
    <row r="85" spans="2:15" x14ac:dyDescent="0.2">
      <c r="O85" s="178"/>
    </row>
    <row r="86" spans="2:15" x14ac:dyDescent="0.2">
      <c r="B86" s="179" t="s">
        <v>175</v>
      </c>
      <c r="C86" s="179"/>
      <c r="L86" s="179"/>
      <c r="N86" s="179"/>
      <c r="O86" s="178"/>
    </row>
    <row r="88" spans="2:15" x14ac:dyDescent="0.2">
      <c r="D88" s="179"/>
      <c r="E88" s="179"/>
      <c r="F88" s="179"/>
      <c r="G88" s="179"/>
      <c r="H88" s="179"/>
      <c r="I88" s="179"/>
      <c r="J88" s="179"/>
      <c r="K88" s="179"/>
    </row>
  </sheetData>
  <mergeCells count="47">
    <mergeCell ref="K72:O75"/>
    <mergeCell ref="D74:G74"/>
    <mergeCell ref="D76:F76"/>
    <mergeCell ref="L76:O76"/>
    <mergeCell ref="K78:O80"/>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19:F19"/>
    <mergeCell ref="D26:E26"/>
    <mergeCell ref="F26:G26"/>
    <mergeCell ref="H26:I26"/>
    <mergeCell ref="D27:E27"/>
    <mergeCell ref="F27:G27"/>
    <mergeCell ref="H27:I27"/>
    <mergeCell ref="B10:P10"/>
    <mergeCell ref="B13:O13"/>
    <mergeCell ref="B14:O14"/>
    <mergeCell ref="D17:F17"/>
    <mergeCell ref="D18:F18"/>
  </mergeCells>
  <conditionalFormatting sqref="D72">
    <cfRule type="cellIs" dxfId="57" priority="2" operator="equal">
      <formula>"PASS"</formula>
    </cfRule>
    <cfRule type="cellIs" dxfId="56" priority="3" operator="equal">
      <formula>"FAIL"</formula>
    </cfRule>
  </conditionalFormatting>
  <conditionalFormatting sqref="G40">
    <cfRule type="cellIs" dxfId="55" priority="7" operator="greaterThanOrEqual">
      <formula>1.19</formula>
    </cfRule>
    <cfRule type="cellIs" dxfId="54" priority="8" operator="lessThan">
      <formula>1.19</formula>
    </cfRule>
  </conditionalFormatting>
  <conditionalFormatting sqref="K72">
    <cfRule type="cellIs" dxfId="53" priority="5" operator="equal">
      <formula>"FAIL"</formula>
    </cfRule>
    <cfRule type="cellIs" dxfId="52" priority="6" operator="equal">
      <formula>"PASS - VERIFIED"</formula>
    </cfRule>
  </conditionalFormatting>
  <conditionalFormatting sqref="L28:L33">
    <cfRule type="cellIs" dxfId="51" priority="9" operator="between">
      <formula>-0.1</formula>
      <formula>0.1</formula>
    </cfRule>
  </conditionalFormatting>
  <conditionalFormatting sqref="O22">
    <cfRule type="cellIs" dxfId="50" priority="4" operator="greaterThan">
      <formula>0</formula>
    </cfRule>
  </conditionalFormatting>
  <dataValidations count="2">
    <dataValidation type="list" allowBlank="1" showInputMessage="1" showErrorMessage="1" sqref="K72" xr:uid="{00000000-0002-0000-0A00-000000000000}">
      <formula1>"PASS - VERIFIED,FAIL"</formula1>
      <formula2>0</formula2>
    </dataValidation>
    <dataValidation type="list" allowBlank="1" showInputMessage="1" showErrorMessage="1" sqref="D72" xr:uid="{00000000-0002-0000-0A00-000001000000}">
      <formula1>"PASS,FAIL"</formula1>
      <formula2>0</formula2>
    </dataValidation>
  </dataValidations>
  <pageMargins left="0.25" right="0.25" top="0.75" bottom="0.75" header="0.51180555555555496" footer="0.51180555555555496"/>
  <pageSetup paperSize="9" firstPageNumber="0"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2:AMK88"/>
  <sheetViews>
    <sheetView topLeftCell="A10" zoomScale="95" zoomScaleNormal="95" workbookViewId="0">
      <selection activeCell="K78" sqref="K78"/>
    </sheetView>
  </sheetViews>
  <sheetFormatPr defaultRowHeight="12.75" x14ac:dyDescent="0.2"/>
  <cols>
    <col min="1" max="1" width="6" style="3" customWidth="1"/>
    <col min="2" max="2" width="16.7109375" style="3" customWidth="1"/>
    <col min="3" max="3" width="19.7109375" style="3" customWidth="1"/>
    <col min="4" max="4" width="22.140625" style="3" customWidth="1"/>
    <col min="5" max="5" width="7.5703125" style="3" customWidth="1"/>
    <col min="6" max="6" width="16.7109375" style="3" customWidth="1"/>
    <col min="7" max="7" width="5.140625" style="3" customWidth="1"/>
    <col min="8" max="8" width="16.85546875" style="3" customWidth="1"/>
    <col min="9" max="9" width="3.85546875" style="3" customWidth="1"/>
    <col min="10" max="10" width="23.7109375" style="3" customWidth="1"/>
    <col min="11" max="11" width="20.7109375" style="3" customWidth="1"/>
    <col min="12" max="12" width="21" style="3" customWidth="1"/>
    <col min="13" max="13" width="18.85546875" style="3" customWidth="1"/>
    <col min="14" max="14" width="3.28515625" style="3" customWidth="1"/>
    <col min="15" max="15" width="19.28515625" style="3" customWidth="1"/>
    <col min="16" max="16" width="6" style="3" customWidth="1"/>
    <col min="17" max="1025" width="11.5703125" style="3" hidden="1"/>
  </cols>
  <sheetData>
    <row r="2" spans="1:16" ht="14.25" x14ac:dyDescent="0.2">
      <c r="B2" s="127"/>
      <c r="C2" s="128"/>
    </row>
    <row r="3" spans="1:16" ht="14.25" x14ac:dyDescent="0.2">
      <c r="B3" s="127"/>
      <c r="C3" s="128"/>
    </row>
    <row r="4" spans="1:16" ht="14.25" x14ac:dyDescent="0.2">
      <c r="B4" s="127"/>
      <c r="C4" s="128"/>
    </row>
    <row r="5" spans="1:16" ht="14.25" x14ac:dyDescent="0.2">
      <c r="B5" s="127"/>
      <c r="C5" s="128"/>
    </row>
    <row r="6" spans="1:16" ht="14.25" x14ac:dyDescent="0.2">
      <c r="B6" s="127"/>
      <c r="C6" s="128"/>
    </row>
    <row r="7" spans="1:16" ht="15" x14ac:dyDescent="0.2">
      <c r="B7" s="127"/>
      <c r="C7" s="128"/>
      <c r="D7" s="129"/>
    </row>
    <row r="8" spans="1:16" ht="14.25" x14ac:dyDescent="0.2">
      <c r="B8" s="130"/>
      <c r="C8" s="128"/>
    </row>
    <row r="9" spans="1:16" ht="14.25" x14ac:dyDescent="0.2">
      <c r="B9" s="130"/>
      <c r="C9" s="128"/>
    </row>
    <row r="10" spans="1:16" ht="37.5" customHeight="1" x14ac:dyDescent="0.5">
      <c r="B10" s="501" t="s">
        <v>126</v>
      </c>
      <c r="C10" s="501"/>
      <c r="D10" s="501"/>
      <c r="E10" s="501"/>
      <c r="F10" s="501"/>
      <c r="G10" s="501"/>
      <c r="H10" s="501"/>
      <c r="I10" s="501"/>
      <c r="J10" s="501"/>
      <c r="K10" s="501"/>
      <c r="L10" s="501"/>
      <c r="M10" s="501"/>
      <c r="N10" s="501"/>
      <c r="O10" s="501"/>
      <c r="P10" s="501"/>
    </row>
    <row r="11" spans="1:16" ht="21" customHeight="1" x14ac:dyDescent="0.4">
      <c r="B11" s="131"/>
      <c r="C11" s="131"/>
      <c r="D11" s="131"/>
      <c r="E11" s="131"/>
      <c r="F11" s="131"/>
      <c r="G11" s="131"/>
      <c r="H11" s="131"/>
      <c r="I11" s="131"/>
      <c r="J11" s="131"/>
      <c r="K11" s="131"/>
      <c r="L11" s="131"/>
      <c r="M11" s="131"/>
      <c r="N11" s="131"/>
      <c r="O11" s="131"/>
      <c r="P11" s="131"/>
    </row>
    <row r="12" spans="1:16" ht="11.25" customHeight="1" x14ac:dyDescent="0.2"/>
    <row r="13" spans="1:16" ht="60.75" customHeight="1" x14ac:dyDescent="0.2">
      <c r="B13" s="502" t="s">
        <v>127</v>
      </c>
      <c r="C13" s="502"/>
      <c r="D13" s="502"/>
      <c r="E13" s="502"/>
      <c r="F13" s="502"/>
      <c r="G13" s="502"/>
      <c r="H13" s="502"/>
      <c r="I13" s="502"/>
      <c r="J13" s="502"/>
      <c r="K13" s="502"/>
      <c r="L13" s="502"/>
      <c r="M13" s="502"/>
      <c r="N13" s="502"/>
      <c r="O13" s="502"/>
      <c r="P13" s="133"/>
    </row>
    <row r="14" spans="1:16" ht="77.25" customHeight="1" x14ac:dyDescent="0.2">
      <c r="A14" s="134"/>
      <c r="B14" s="502" t="s">
        <v>128</v>
      </c>
      <c r="C14" s="502"/>
      <c r="D14" s="502"/>
      <c r="E14" s="502"/>
      <c r="F14" s="502"/>
      <c r="G14" s="502"/>
      <c r="H14" s="502"/>
      <c r="I14" s="502"/>
      <c r="J14" s="502"/>
      <c r="K14" s="502"/>
      <c r="L14" s="502"/>
      <c r="M14" s="502"/>
      <c r="N14" s="502"/>
      <c r="O14" s="502"/>
      <c r="P14" s="133"/>
    </row>
    <row r="15" spans="1:16" ht="18" x14ac:dyDescent="0.2">
      <c r="A15" s="134"/>
      <c r="B15" s="132"/>
      <c r="C15" s="132"/>
      <c r="D15" s="132"/>
      <c r="E15" s="132"/>
      <c r="F15" s="132"/>
      <c r="G15" s="132"/>
      <c r="H15" s="132"/>
      <c r="I15" s="132"/>
      <c r="J15" s="132"/>
      <c r="K15" s="132"/>
      <c r="L15" s="132"/>
      <c r="M15" s="132"/>
      <c r="N15" s="132"/>
      <c r="O15" s="132"/>
      <c r="P15" s="133"/>
    </row>
    <row r="16" spans="1:16" ht="18" x14ac:dyDescent="0.2">
      <c r="A16" s="134"/>
      <c r="B16" s="135"/>
      <c r="C16" s="135"/>
      <c r="D16" s="133"/>
      <c r="E16" s="133"/>
      <c r="F16" s="135"/>
      <c r="G16" s="135"/>
      <c r="H16" s="135"/>
      <c r="I16" s="135"/>
      <c r="J16" s="135"/>
      <c r="K16" s="135"/>
      <c r="L16" s="135"/>
      <c r="M16" s="135"/>
      <c r="N16" s="135"/>
      <c r="O16" s="135"/>
      <c r="P16" s="135"/>
    </row>
    <row r="17" spans="2:15" ht="25.9" customHeight="1" x14ac:dyDescent="0.25">
      <c r="B17" s="136" t="s">
        <v>129</v>
      </c>
      <c r="C17" s="27"/>
      <c r="D17" s="503">
        <f>'Calibration record'!H6</f>
        <v>11.111121000000001</v>
      </c>
      <c r="E17" s="503"/>
      <c r="F17" s="503"/>
      <c r="K17" s="137" t="s">
        <v>130</v>
      </c>
      <c r="L17" s="138"/>
      <c r="M17" s="138"/>
      <c r="N17" s="139"/>
      <c r="O17" s="180" t="str">
        <f>'Calibration record'!H10</f>
        <v>12798M</v>
      </c>
    </row>
    <row r="18" spans="2:15" ht="25.9" customHeight="1" x14ac:dyDescent="0.25">
      <c r="B18" s="136" t="s">
        <v>131</v>
      </c>
      <c r="C18" s="141"/>
      <c r="D18" s="553" t="str">
        <f>'Calibration record'!H7</f>
        <v>000000204 / 07093-41</v>
      </c>
      <c r="E18" s="553"/>
      <c r="F18" s="553"/>
      <c r="K18" s="143" t="s">
        <v>132</v>
      </c>
      <c r="L18" s="144"/>
      <c r="M18" s="144"/>
      <c r="N18" s="145"/>
      <c r="O18" s="146" t="str">
        <f>'Calibration record'!H8</f>
        <v>08 12 25</v>
      </c>
    </row>
    <row r="19" spans="2:15" ht="25.9" customHeight="1" x14ac:dyDescent="0.25">
      <c r="B19" s="136" t="s">
        <v>133</v>
      </c>
      <c r="C19" s="141"/>
      <c r="D19" s="553" t="str">
        <f>'Calibration record'!H9</f>
        <v>000000204 / 07093-41</v>
      </c>
      <c r="E19" s="553"/>
      <c r="F19" s="553"/>
      <c r="K19" s="137" t="s">
        <v>134</v>
      </c>
      <c r="L19" s="138"/>
      <c r="M19" s="138"/>
      <c r="N19" s="139"/>
      <c r="O19" s="181">
        <f>'Calibration record'!H11</f>
        <v>367</v>
      </c>
    </row>
    <row r="20" spans="2:15" ht="14.25" customHeight="1" x14ac:dyDescent="0.25">
      <c r="B20" s="147"/>
      <c r="D20" s="148"/>
      <c r="E20" s="149"/>
      <c r="K20" s="147"/>
      <c r="L20" s="150"/>
      <c r="M20" s="150"/>
      <c r="N20" s="150"/>
      <c r="O20" s="151"/>
    </row>
    <row r="21" spans="2:15" ht="15.75" x14ac:dyDescent="0.25">
      <c r="B21" s="152" t="s">
        <v>135</v>
      </c>
    </row>
    <row r="22" spans="2:15" ht="15.75" x14ac:dyDescent="0.25">
      <c r="B22" s="152" t="s">
        <v>136</v>
      </c>
      <c r="O22" s="153"/>
    </row>
    <row r="23" spans="2:15" ht="15.75" x14ac:dyDescent="0.25">
      <c r="B23" s="152" t="s">
        <v>137</v>
      </c>
    </row>
    <row r="24" spans="2:15" ht="15.75" x14ac:dyDescent="0.25">
      <c r="B24" s="152"/>
    </row>
    <row r="25" spans="2:15" x14ac:dyDescent="0.2">
      <c r="B25" s="154"/>
    </row>
    <row r="26" spans="2:15" s="155" customFormat="1" ht="67.5" customHeight="1" x14ac:dyDescent="0.2">
      <c r="D26" s="508" t="s">
        <v>138</v>
      </c>
      <c r="E26" s="508"/>
      <c r="F26" s="508" t="s">
        <v>139</v>
      </c>
      <c r="G26" s="508"/>
      <c r="H26" s="508" t="s">
        <v>140</v>
      </c>
      <c r="I26" s="508"/>
      <c r="J26" s="156" t="s">
        <v>141</v>
      </c>
      <c r="K26" s="156" t="s">
        <v>142</v>
      </c>
      <c r="L26" s="156" t="s">
        <v>143</v>
      </c>
    </row>
    <row r="27" spans="2:15" s="157" customFormat="1" ht="25.9" customHeight="1" x14ac:dyDescent="0.2">
      <c r="D27" s="509" t="s">
        <v>144</v>
      </c>
      <c r="E27" s="509"/>
      <c r="F27" s="509" t="s">
        <v>145</v>
      </c>
      <c r="G27" s="509"/>
      <c r="H27" s="509" t="s">
        <v>146</v>
      </c>
      <c r="I27" s="509"/>
      <c r="J27" s="158" t="s">
        <v>146</v>
      </c>
      <c r="K27" s="158" t="s">
        <v>146</v>
      </c>
      <c r="L27" s="158" t="s">
        <v>147</v>
      </c>
    </row>
    <row r="28" spans="2:15" s="157" customFormat="1" ht="25.9" customHeight="1" x14ac:dyDescent="0.2">
      <c r="D28" s="505" t="s">
        <v>148</v>
      </c>
      <c r="E28" s="505"/>
      <c r="F28" s="506">
        <f>'Calibration record'!B16</f>
        <v>134</v>
      </c>
      <c r="G28" s="506"/>
      <c r="H28" s="507">
        <f>'Calibration record'!B22</f>
        <v>3481812.2857142859</v>
      </c>
      <c r="I28" s="507"/>
      <c r="J28" s="182">
        <f>'Calibration record'!I22</f>
        <v>3515052.3333333335</v>
      </c>
      <c r="K28" s="159">
        <f t="shared" ref="K28:K33" si="0">J28-H28</f>
        <v>33240.047619047575</v>
      </c>
      <c r="L28" s="160">
        <f>'Calibration record'!J22</f>
        <v>9.5467661353916024E-3</v>
      </c>
    </row>
    <row r="29" spans="2:15" s="157" customFormat="1" ht="25.9" customHeight="1" x14ac:dyDescent="0.2">
      <c r="D29" s="505" t="s">
        <v>149</v>
      </c>
      <c r="E29" s="505"/>
      <c r="F29" s="506">
        <f>'Calibration record'!C16</f>
        <v>324</v>
      </c>
      <c r="G29" s="506"/>
      <c r="H29" s="507">
        <f>'Calibration record'!B23</f>
        <v>1368160.8571428573</v>
      </c>
      <c r="I29" s="507"/>
      <c r="J29" s="182">
        <f>'Calibration record'!I23</f>
        <v>1388815.3333333333</v>
      </c>
      <c r="K29" s="159">
        <f t="shared" si="0"/>
        <v>20654.47619047598</v>
      </c>
      <c r="L29" s="160">
        <f>'Calibration record'!J23</f>
        <v>1.509652617427523E-2</v>
      </c>
    </row>
    <row r="30" spans="2:15" s="157" customFormat="1" ht="25.9" customHeight="1" x14ac:dyDescent="0.2">
      <c r="D30" s="505" t="s">
        <v>150</v>
      </c>
      <c r="E30" s="505"/>
      <c r="F30" s="506">
        <f>'Calibration record'!D16</f>
        <v>1886</v>
      </c>
      <c r="G30" s="506"/>
      <c r="H30" s="507">
        <f>'Calibration record'!B24</f>
        <v>97342.21714285716</v>
      </c>
      <c r="I30" s="507"/>
      <c r="J30" s="182">
        <f>'Calibration record'!I24</f>
        <v>98910</v>
      </c>
      <c r="K30" s="159">
        <f t="shared" si="0"/>
        <v>1567.7828571428399</v>
      </c>
      <c r="L30" s="160">
        <f>'Calibration record'!J24</f>
        <v>1.6105888104459329E-2</v>
      </c>
    </row>
    <row r="31" spans="2:15" s="157" customFormat="1" ht="25.9" customHeight="1" x14ac:dyDescent="0.2">
      <c r="D31" s="505" t="s">
        <v>151</v>
      </c>
      <c r="E31" s="505"/>
      <c r="F31" s="506">
        <f>'Calibration record'!E16</f>
        <v>4122</v>
      </c>
      <c r="G31" s="506"/>
      <c r="H31" s="507">
        <f>'Calibration record'!B25</f>
        <v>24221.302857142859</v>
      </c>
      <c r="I31" s="507"/>
      <c r="J31" s="182">
        <f>'Calibration record'!I25</f>
        <v>24523</v>
      </c>
      <c r="K31" s="159">
        <f t="shared" si="0"/>
        <v>301.69714285714144</v>
      </c>
      <c r="L31" s="160">
        <f>'Calibration record'!J25</f>
        <v>1.2455859399329174E-2</v>
      </c>
    </row>
    <row r="32" spans="2:15" s="157" customFormat="1" ht="25.9" customHeight="1" x14ac:dyDescent="0.2">
      <c r="D32" s="505" t="s">
        <v>152</v>
      </c>
      <c r="E32" s="505"/>
      <c r="F32" s="506">
        <f>'Calibration record'!F16</f>
        <v>6566</v>
      </c>
      <c r="G32" s="506"/>
      <c r="H32" s="507">
        <f>'Calibration record'!B26</f>
        <v>11396.58</v>
      </c>
      <c r="I32" s="507"/>
      <c r="J32" s="182">
        <f>'Calibration record'!I26</f>
        <v>11296</v>
      </c>
      <c r="K32" s="159">
        <f t="shared" si="0"/>
        <v>-100.57999999999993</v>
      </c>
      <c r="L32" s="160">
        <f>'Calibration record'!J26</f>
        <v>-8.8254546539400357E-3</v>
      </c>
    </row>
    <row r="33" spans="2:12" s="157" customFormat="1" ht="25.9" customHeight="1" x14ac:dyDescent="0.2">
      <c r="D33" s="505" t="s">
        <v>153</v>
      </c>
      <c r="E33" s="505"/>
      <c r="F33" s="506">
        <f>'Calibration record'!G16</f>
        <v>15500</v>
      </c>
      <c r="G33" s="506"/>
      <c r="H33" s="507">
        <f>'Calibration record'!B27</f>
        <v>1788.6061142857141</v>
      </c>
      <c r="I33" s="507"/>
      <c r="J33" s="182">
        <f>'Calibration record'!I27</f>
        <v>1652</v>
      </c>
      <c r="K33" s="159">
        <f t="shared" si="0"/>
        <v>-136.60611428571406</v>
      </c>
      <c r="L33" s="160">
        <f>'Calibration record'!J27</f>
        <v>-7.6375739294768194E-2</v>
      </c>
    </row>
    <row r="34" spans="2:12" s="157" customFormat="1" ht="25.9" customHeight="1" x14ac:dyDescent="0.2">
      <c r="D34" s="505" t="s">
        <v>154</v>
      </c>
      <c r="E34" s="505"/>
      <c r="F34" s="506">
        <f>'Calibration record'!H16</f>
        <v>22008</v>
      </c>
      <c r="G34" s="506"/>
      <c r="H34" s="507">
        <f>'Calibration record'!B28</f>
        <v>690.6498857142858</v>
      </c>
      <c r="I34" s="507"/>
      <c r="J34" s="182">
        <f>'Calibration record'!I28</f>
        <v>484.66666666666669</v>
      </c>
      <c r="K34" s="159" t="s">
        <v>101</v>
      </c>
      <c r="L34" s="161" t="s">
        <v>101</v>
      </c>
    </row>
    <row r="35" spans="2:12" s="150" customFormat="1" ht="25.9" customHeight="1" x14ac:dyDescent="0.25">
      <c r="D35" s="505" t="s">
        <v>155</v>
      </c>
      <c r="E35" s="505"/>
      <c r="F35" s="510">
        <f>'Calibration record'!I16</f>
        <v>32390</v>
      </c>
      <c r="G35" s="510"/>
      <c r="H35" s="507">
        <f>'Calibration record'!B29</f>
        <v>159.952</v>
      </c>
      <c r="I35" s="507"/>
      <c r="J35" s="182">
        <f>'Calibration record'!I29</f>
        <v>59</v>
      </c>
      <c r="K35" s="159" t="s">
        <v>101</v>
      </c>
      <c r="L35" s="161" t="s">
        <v>101</v>
      </c>
    </row>
    <row r="36" spans="2:12" ht="20.25" x14ac:dyDescent="0.3">
      <c r="D36" s="162" t="s">
        <v>156</v>
      </c>
      <c r="E36" s="163"/>
      <c r="F36" s="163"/>
      <c r="G36" s="163"/>
      <c r="H36" s="163"/>
      <c r="I36" s="163"/>
      <c r="J36" s="163"/>
      <c r="K36" s="163"/>
    </row>
    <row r="37" spans="2:12" ht="20.25" x14ac:dyDescent="0.3">
      <c r="B37" s="164"/>
      <c r="D37" s="163"/>
      <c r="E37" s="163"/>
      <c r="F37" s="163"/>
      <c r="G37" s="163"/>
      <c r="H37" s="163"/>
      <c r="I37" s="163"/>
      <c r="J37" s="163"/>
      <c r="K37" s="163"/>
    </row>
    <row r="38" spans="2:12" ht="81" customHeight="1" x14ac:dyDescent="0.2">
      <c r="B38" s="164"/>
      <c r="D38" s="156" t="s">
        <v>157</v>
      </c>
      <c r="E38" s="508" t="s">
        <v>158</v>
      </c>
      <c r="F38" s="508"/>
      <c r="G38" s="508" t="s">
        <v>159</v>
      </c>
      <c r="H38" s="508"/>
      <c r="I38" s="157"/>
      <c r="J38" s="132"/>
      <c r="K38" s="132"/>
      <c r="L38" s="132"/>
    </row>
    <row r="39" spans="2:12" ht="25.9" customHeight="1" x14ac:dyDescent="0.2">
      <c r="B39" s="164"/>
      <c r="D39" s="158" t="s">
        <v>145</v>
      </c>
      <c r="E39" s="509" t="s">
        <v>145</v>
      </c>
      <c r="F39" s="509"/>
      <c r="G39" s="509" t="s">
        <v>160</v>
      </c>
      <c r="H39" s="509"/>
      <c r="I39" s="165"/>
      <c r="J39" s="166"/>
      <c r="K39" s="166"/>
      <c r="L39" s="166"/>
    </row>
    <row r="40" spans="2:12" ht="25.9" customHeight="1" x14ac:dyDescent="0.2">
      <c r="B40" s="164"/>
      <c r="D40" s="167">
        <f>'Calibration record'!B9</f>
        <v>61</v>
      </c>
      <c r="E40" s="511">
        <f>F28-D40</f>
        <v>73</v>
      </c>
      <c r="F40" s="511"/>
      <c r="G40" s="512">
        <f>F28/D40</f>
        <v>2.1967213114754101</v>
      </c>
      <c r="H40" s="512"/>
      <c r="I40" s="165"/>
      <c r="J40" s="168"/>
      <c r="K40" s="169"/>
      <c r="L40" s="170"/>
    </row>
    <row r="41" spans="2:12" x14ac:dyDescent="0.2">
      <c r="B41" s="164"/>
    </row>
    <row r="42" spans="2:12" x14ac:dyDescent="0.2">
      <c r="B42" s="164"/>
    </row>
    <row r="43" spans="2:12" x14ac:dyDescent="0.2">
      <c r="B43" s="164"/>
    </row>
    <row r="44" spans="2:12" x14ac:dyDescent="0.2">
      <c r="B44" s="164"/>
    </row>
    <row r="45" spans="2:12" x14ac:dyDescent="0.2">
      <c r="B45" s="164"/>
    </row>
    <row r="46" spans="2:12" x14ac:dyDescent="0.2">
      <c r="B46" s="164"/>
    </row>
    <row r="47" spans="2:12" x14ac:dyDescent="0.2">
      <c r="B47" s="164"/>
    </row>
    <row r="48" spans="2:12" x14ac:dyDescent="0.2">
      <c r="B48" s="164"/>
    </row>
    <row r="49" spans="2:2" x14ac:dyDescent="0.2">
      <c r="B49" s="164"/>
    </row>
    <row r="50" spans="2:2" x14ac:dyDescent="0.2">
      <c r="B50" s="164"/>
    </row>
    <row r="51" spans="2:2" x14ac:dyDescent="0.2">
      <c r="B51" s="164"/>
    </row>
    <row r="52" spans="2:2" x14ac:dyDescent="0.2">
      <c r="B52" s="164"/>
    </row>
    <row r="53" spans="2:2" x14ac:dyDescent="0.2">
      <c r="B53" s="164"/>
    </row>
    <row r="54" spans="2:2" x14ac:dyDescent="0.2">
      <c r="B54" s="164"/>
    </row>
    <row r="55" spans="2:2" x14ac:dyDescent="0.2">
      <c r="B55" s="164"/>
    </row>
    <row r="56" spans="2:2" x14ac:dyDescent="0.2">
      <c r="B56" s="164"/>
    </row>
    <row r="57" spans="2:2" x14ac:dyDescent="0.2">
      <c r="B57" s="164"/>
    </row>
    <row r="58" spans="2:2" x14ac:dyDescent="0.2">
      <c r="B58" s="164"/>
    </row>
    <row r="59" spans="2:2" x14ac:dyDescent="0.2">
      <c r="B59" s="164"/>
    </row>
    <row r="60" spans="2:2" x14ac:dyDescent="0.2">
      <c r="B60" s="164"/>
    </row>
    <row r="61" spans="2:2" x14ac:dyDescent="0.2">
      <c r="B61" s="164"/>
    </row>
    <row r="62" spans="2:2" x14ac:dyDescent="0.2">
      <c r="B62" s="164"/>
    </row>
    <row r="63" spans="2:2" x14ac:dyDescent="0.2">
      <c r="B63" s="164"/>
    </row>
    <row r="64" spans="2:2" x14ac:dyDescent="0.2">
      <c r="B64" s="164"/>
    </row>
    <row r="65" spans="2:16" x14ac:dyDescent="0.2">
      <c r="B65" s="164"/>
    </row>
    <row r="66" spans="2:16" x14ac:dyDescent="0.2">
      <c r="B66" s="164"/>
    </row>
    <row r="67" spans="2:16" x14ac:dyDescent="0.2">
      <c r="B67" s="164"/>
    </row>
    <row r="68" spans="2:16" x14ac:dyDescent="0.2">
      <c r="B68" s="164"/>
    </row>
    <row r="69" spans="2:16" x14ac:dyDescent="0.2">
      <c r="B69" s="171"/>
      <c r="C69" s="172"/>
      <c r="D69" s="172"/>
      <c r="E69" s="172"/>
      <c r="F69" s="172"/>
      <c r="G69" s="172"/>
      <c r="H69" s="172"/>
      <c r="I69" s="172"/>
      <c r="J69" s="172"/>
      <c r="K69" s="172"/>
      <c r="L69" s="172"/>
      <c r="M69" s="172"/>
      <c r="N69" s="172"/>
      <c r="O69" s="172"/>
      <c r="P69" s="172"/>
    </row>
    <row r="70" spans="2:16" x14ac:dyDescent="0.2">
      <c r="B70" s="164"/>
    </row>
    <row r="71" spans="2:16" ht="25.9" customHeight="1" x14ac:dyDescent="0.2"/>
    <row r="72" spans="2:16" s="129" customFormat="1" ht="25.9" customHeight="1" x14ac:dyDescent="0.2">
      <c r="B72" s="173" t="s">
        <v>161</v>
      </c>
      <c r="C72" s="174"/>
      <c r="D72" s="175" t="s">
        <v>162</v>
      </c>
      <c r="H72" s="3"/>
      <c r="I72" s="3"/>
      <c r="K72" s="514" t="s">
        <v>163</v>
      </c>
      <c r="L72" s="514"/>
      <c r="M72" s="514"/>
      <c r="N72" s="514"/>
      <c r="O72" s="514"/>
    </row>
    <row r="73" spans="2:16" s="129" customFormat="1" ht="25.9" customHeight="1" x14ac:dyDescent="0.2">
      <c r="H73" s="3"/>
      <c r="I73" s="3"/>
      <c r="K73" s="514"/>
      <c r="L73" s="514"/>
      <c r="M73" s="514"/>
      <c r="N73" s="514"/>
      <c r="O73" s="514"/>
    </row>
    <row r="74" spans="2:16" s="129" customFormat="1" ht="25.9" customHeight="1" x14ac:dyDescent="0.2">
      <c r="B74" s="173" t="s">
        <v>164</v>
      </c>
      <c r="C74" s="174"/>
      <c r="D74" s="515" t="s">
        <v>165</v>
      </c>
      <c r="E74" s="515"/>
      <c r="F74" s="515"/>
      <c r="G74" s="515"/>
      <c r="H74" s="3"/>
      <c r="I74" s="3"/>
      <c r="K74" s="514"/>
      <c r="L74" s="514"/>
      <c r="M74" s="514"/>
      <c r="N74" s="514"/>
      <c r="O74" s="514"/>
    </row>
    <row r="75" spans="2:16" s="129" customFormat="1" ht="25.9" customHeight="1" x14ac:dyDescent="0.2">
      <c r="K75" s="514"/>
      <c r="L75" s="514"/>
      <c r="M75" s="514"/>
      <c r="N75" s="514"/>
      <c r="O75" s="514"/>
    </row>
    <row r="76" spans="2:16" s="129" customFormat="1" ht="25.9" customHeight="1" x14ac:dyDescent="0.2">
      <c r="B76" s="173" t="s">
        <v>166</v>
      </c>
      <c r="C76" s="174"/>
      <c r="D76" s="516" t="str">
        <f>'Calibration record'!H12</f>
        <v>J Scarrott</v>
      </c>
      <c r="E76" s="516"/>
      <c r="F76" s="516"/>
      <c r="K76" s="176" t="s">
        <v>167</v>
      </c>
      <c r="L76" s="517" t="s">
        <v>168</v>
      </c>
      <c r="M76" s="517"/>
      <c r="N76" s="517"/>
      <c r="O76" s="517"/>
      <c r="P76" s="177"/>
    </row>
    <row r="77" spans="2:16" ht="25.9" customHeight="1" x14ac:dyDescent="0.2">
      <c r="H77" s="129"/>
      <c r="I77" s="129"/>
      <c r="J77" s="129"/>
      <c r="K77" s="129"/>
    </row>
    <row r="78" spans="2:16" ht="15" customHeight="1" x14ac:dyDescent="0.2">
      <c r="B78" s="164" t="s">
        <v>169</v>
      </c>
      <c r="H78" s="129"/>
      <c r="I78" s="129"/>
      <c r="J78" s="129"/>
      <c r="K78" s="513" t="s">
        <v>170</v>
      </c>
      <c r="L78" s="513"/>
      <c r="M78" s="513"/>
      <c r="N78" s="513"/>
      <c r="O78" s="513"/>
    </row>
    <row r="79" spans="2:16" ht="15" x14ac:dyDescent="0.2">
      <c r="B79" s="164" t="s">
        <v>171</v>
      </c>
      <c r="H79" s="129"/>
      <c r="I79" s="129"/>
      <c r="J79" s="129"/>
      <c r="K79" s="513"/>
      <c r="L79" s="513"/>
      <c r="M79" s="513"/>
      <c r="N79" s="513"/>
      <c r="O79" s="513"/>
    </row>
    <row r="80" spans="2:16" x14ac:dyDescent="0.2">
      <c r="B80" s="164" t="s">
        <v>172</v>
      </c>
      <c r="K80" s="513"/>
      <c r="L80" s="513"/>
      <c r="M80" s="513"/>
      <c r="N80" s="513"/>
      <c r="O80" s="513"/>
    </row>
    <row r="83" spans="2:15" x14ac:dyDescent="0.2">
      <c r="O83" s="178" t="s">
        <v>176</v>
      </c>
    </row>
    <row r="84" spans="2:15" x14ac:dyDescent="0.2">
      <c r="O84" s="178"/>
    </row>
    <row r="85" spans="2:15" x14ac:dyDescent="0.2">
      <c r="O85" s="178"/>
    </row>
    <row r="86" spans="2:15" x14ac:dyDescent="0.2">
      <c r="B86" s="179" t="s">
        <v>175</v>
      </c>
      <c r="C86" s="179"/>
      <c r="L86" s="179"/>
      <c r="N86" s="179"/>
      <c r="O86" s="178"/>
    </row>
    <row r="88" spans="2:15" x14ac:dyDescent="0.2">
      <c r="D88" s="179"/>
      <c r="E88" s="179"/>
      <c r="F88" s="179"/>
      <c r="G88" s="179"/>
      <c r="H88" s="179"/>
      <c r="I88" s="179"/>
      <c r="J88" s="179"/>
      <c r="K88" s="179"/>
    </row>
  </sheetData>
  <mergeCells count="47">
    <mergeCell ref="K72:O75"/>
    <mergeCell ref="D74:G74"/>
    <mergeCell ref="D76:F76"/>
    <mergeCell ref="L76:O76"/>
    <mergeCell ref="K78:O80"/>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19:F19"/>
    <mergeCell ref="D26:E26"/>
    <mergeCell ref="F26:G26"/>
    <mergeCell ref="H26:I26"/>
    <mergeCell ref="D27:E27"/>
    <mergeCell ref="F27:G27"/>
    <mergeCell ref="H27:I27"/>
    <mergeCell ref="B10:P10"/>
    <mergeCell ref="B13:O13"/>
    <mergeCell ref="B14:O14"/>
    <mergeCell ref="D17:F17"/>
    <mergeCell ref="D18:F18"/>
  </mergeCells>
  <conditionalFormatting sqref="D72">
    <cfRule type="cellIs" dxfId="49" priority="2" operator="equal">
      <formula>"PASS"</formula>
    </cfRule>
    <cfRule type="cellIs" dxfId="48" priority="3" operator="equal">
      <formula>"FAIL"</formula>
    </cfRule>
  </conditionalFormatting>
  <conditionalFormatting sqref="G40">
    <cfRule type="cellIs" dxfId="47" priority="7" operator="greaterThanOrEqual">
      <formula>1.19</formula>
    </cfRule>
    <cfRule type="cellIs" dxfId="46" priority="8" operator="lessThan">
      <formula>1.19</formula>
    </cfRule>
  </conditionalFormatting>
  <conditionalFormatting sqref="K72">
    <cfRule type="cellIs" dxfId="45" priority="5" operator="equal">
      <formula>"FAIL"</formula>
    </cfRule>
    <cfRule type="cellIs" dxfId="44" priority="6" operator="equal">
      <formula>"PASS - VERIFIED"</formula>
    </cfRule>
  </conditionalFormatting>
  <conditionalFormatting sqref="L28:L33">
    <cfRule type="cellIs" dxfId="43" priority="9" operator="between">
      <formula>-0.1</formula>
      <formula>0.1</formula>
    </cfRule>
  </conditionalFormatting>
  <conditionalFormatting sqref="O22">
    <cfRule type="cellIs" dxfId="42" priority="4" operator="greaterThan">
      <formula>0</formula>
    </cfRule>
  </conditionalFormatting>
  <dataValidations count="2">
    <dataValidation type="list" allowBlank="1" showInputMessage="1" showErrorMessage="1" sqref="D72" xr:uid="{00000000-0002-0000-0B00-000000000000}">
      <formula1>"PASS,FAIL"</formula1>
      <formula2>0</formula2>
    </dataValidation>
    <dataValidation type="list" allowBlank="1" showInputMessage="1" showErrorMessage="1" sqref="K72" xr:uid="{00000000-0002-0000-0B00-000001000000}">
      <formula1>"PASS - VERIFIED,FAIL"</formula1>
      <formula2>0</formula2>
    </dataValidation>
  </dataValidations>
  <pageMargins left="0.25" right="0.25" top="0.75" bottom="0.75" header="0.51180555555555496" footer="0.51180555555555496"/>
  <pageSetup paperSize="9" firstPageNumber="0"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2:AMK88"/>
  <sheetViews>
    <sheetView topLeftCell="A43" zoomScale="95" zoomScaleNormal="95" workbookViewId="0">
      <selection activeCell="K78" sqref="K78"/>
    </sheetView>
  </sheetViews>
  <sheetFormatPr defaultRowHeight="12.75" x14ac:dyDescent="0.2"/>
  <cols>
    <col min="1" max="1" width="6" style="3" customWidth="1"/>
    <col min="2" max="2" width="16.7109375" style="3" customWidth="1"/>
    <col min="3" max="3" width="19.7109375" style="3" customWidth="1"/>
    <col min="4" max="4" width="22.140625" style="3" customWidth="1"/>
    <col min="5" max="5" width="7.5703125" style="3" customWidth="1"/>
    <col min="6" max="6" width="16.7109375" style="3" customWidth="1"/>
    <col min="7" max="7" width="5.140625" style="3" customWidth="1"/>
    <col min="8" max="8" width="16.85546875" style="3" customWidth="1"/>
    <col min="9" max="9" width="3.85546875" style="3" customWidth="1"/>
    <col min="10" max="10" width="23.7109375" style="3" customWidth="1"/>
    <col min="11" max="11" width="20.7109375" style="3" customWidth="1"/>
    <col min="12" max="12" width="21" style="3" customWidth="1"/>
    <col min="13" max="13" width="18.85546875" style="3" customWidth="1"/>
    <col min="14" max="14" width="3.28515625" style="3" customWidth="1"/>
    <col min="15" max="15" width="19.28515625" style="3" customWidth="1"/>
    <col min="16" max="16" width="6" style="3" customWidth="1"/>
    <col min="17" max="1025" width="11.5703125" style="3" hidden="1"/>
  </cols>
  <sheetData>
    <row r="2" spans="1:16" ht="14.25" x14ac:dyDescent="0.2">
      <c r="B2" s="127"/>
      <c r="C2" s="128"/>
    </row>
    <row r="3" spans="1:16" ht="14.25" x14ac:dyDescent="0.2">
      <c r="B3" s="127"/>
      <c r="C3" s="128"/>
    </row>
    <row r="4" spans="1:16" ht="14.25" x14ac:dyDescent="0.2">
      <c r="B4" s="127"/>
      <c r="C4" s="128"/>
    </row>
    <row r="5" spans="1:16" ht="14.25" x14ac:dyDescent="0.2">
      <c r="B5" s="127"/>
      <c r="C5" s="128"/>
    </row>
    <row r="6" spans="1:16" ht="14.25" x14ac:dyDescent="0.2">
      <c r="B6" s="127"/>
      <c r="C6" s="128"/>
    </row>
    <row r="7" spans="1:16" ht="15" x14ac:dyDescent="0.2">
      <c r="B7" s="127"/>
      <c r="C7" s="128"/>
      <c r="D7" s="129"/>
    </row>
    <row r="8" spans="1:16" ht="14.25" x14ac:dyDescent="0.2">
      <c r="B8" s="130"/>
      <c r="C8" s="128"/>
    </row>
    <row r="9" spans="1:16" ht="14.25" x14ac:dyDescent="0.2">
      <c r="B9" s="130"/>
      <c r="C9" s="128"/>
    </row>
    <row r="10" spans="1:16" ht="37.5" customHeight="1" x14ac:dyDescent="0.5">
      <c r="B10" s="501" t="s">
        <v>126</v>
      </c>
      <c r="C10" s="501"/>
      <c r="D10" s="501"/>
      <c r="E10" s="501"/>
      <c r="F10" s="501"/>
      <c r="G10" s="501"/>
      <c r="H10" s="501"/>
      <c r="I10" s="501"/>
      <c r="J10" s="501"/>
      <c r="K10" s="501"/>
      <c r="L10" s="501"/>
      <c r="M10" s="501"/>
      <c r="N10" s="501"/>
      <c r="O10" s="501"/>
      <c r="P10" s="501"/>
    </row>
    <row r="11" spans="1:16" ht="21" customHeight="1" x14ac:dyDescent="0.4">
      <c r="B11" s="131"/>
      <c r="C11" s="131"/>
      <c r="D11" s="131"/>
      <c r="E11" s="131"/>
      <c r="F11" s="131"/>
      <c r="G11" s="131"/>
      <c r="H11" s="131"/>
      <c r="I11" s="131"/>
      <c r="J11" s="131"/>
      <c r="K11" s="131"/>
      <c r="L11" s="131"/>
      <c r="M11" s="131"/>
      <c r="N11" s="131"/>
      <c r="O11" s="131"/>
      <c r="P11" s="131"/>
    </row>
    <row r="12" spans="1:16" ht="11.25" customHeight="1" x14ac:dyDescent="0.2"/>
    <row r="13" spans="1:16" ht="60.75" customHeight="1" x14ac:dyDescent="0.2">
      <c r="B13" s="502" t="s">
        <v>127</v>
      </c>
      <c r="C13" s="502"/>
      <c r="D13" s="502"/>
      <c r="E13" s="502"/>
      <c r="F13" s="502"/>
      <c r="G13" s="502"/>
      <c r="H13" s="502"/>
      <c r="I13" s="502"/>
      <c r="J13" s="502"/>
      <c r="K13" s="502"/>
      <c r="L13" s="502"/>
      <c r="M13" s="502"/>
      <c r="N13" s="502"/>
      <c r="O13" s="502"/>
      <c r="P13" s="133"/>
    </row>
    <row r="14" spans="1:16" ht="77.25" customHeight="1" x14ac:dyDescent="0.2">
      <c r="A14" s="134"/>
      <c r="B14" s="502" t="s">
        <v>128</v>
      </c>
      <c r="C14" s="502"/>
      <c r="D14" s="502"/>
      <c r="E14" s="502"/>
      <c r="F14" s="502"/>
      <c r="G14" s="502"/>
      <c r="H14" s="502"/>
      <c r="I14" s="502"/>
      <c r="J14" s="502"/>
      <c r="K14" s="502"/>
      <c r="L14" s="502"/>
      <c r="M14" s="502"/>
      <c r="N14" s="502"/>
      <c r="O14" s="502"/>
      <c r="P14" s="133"/>
    </row>
    <row r="15" spans="1:16" ht="18" x14ac:dyDescent="0.2">
      <c r="A15" s="134"/>
      <c r="B15" s="132"/>
      <c r="C15" s="132"/>
      <c r="D15" s="132"/>
      <c r="E15" s="132"/>
      <c r="F15" s="132"/>
      <c r="G15" s="132"/>
      <c r="H15" s="132"/>
      <c r="I15" s="132"/>
      <c r="J15" s="132"/>
      <c r="K15" s="132"/>
      <c r="L15" s="132"/>
      <c r="M15" s="132"/>
      <c r="N15" s="132"/>
      <c r="O15" s="132"/>
      <c r="P15" s="133"/>
    </row>
    <row r="16" spans="1:16" ht="18" x14ac:dyDescent="0.2">
      <c r="A16" s="134"/>
      <c r="B16" s="135"/>
      <c r="C16" s="135"/>
      <c r="D16" s="133"/>
      <c r="E16" s="133"/>
      <c r="F16" s="135"/>
      <c r="G16" s="135"/>
      <c r="H16" s="135"/>
      <c r="I16" s="135"/>
      <c r="J16" s="135"/>
      <c r="K16" s="135"/>
      <c r="L16" s="135"/>
      <c r="M16" s="135"/>
      <c r="N16" s="135"/>
      <c r="O16" s="135"/>
      <c r="P16" s="135"/>
    </row>
    <row r="17" spans="2:15" ht="25.9" customHeight="1" x14ac:dyDescent="0.25">
      <c r="B17" s="136" t="s">
        <v>129</v>
      </c>
      <c r="C17" s="27"/>
      <c r="D17" s="503">
        <f>'Calibration record'!H6</f>
        <v>11.111121000000001</v>
      </c>
      <c r="E17" s="503"/>
      <c r="F17" s="503"/>
      <c r="K17" s="137" t="s">
        <v>130</v>
      </c>
      <c r="L17" s="138"/>
      <c r="M17" s="138"/>
      <c r="N17" s="139"/>
      <c r="O17" s="180" t="str">
        <f>'Calibration record'!H10</f>
        <v>12798M</v>
      </c>
    </row>
    <row r="18" spans="2:15" ht="25.9" customHeight="1" x14ac:dyDescent="0.25">
      <c r="B18" s="136" t="s">
        <v>131</v>
      </c>
      <c r="C18" s="141"/>
      <c r="D18" s="553" t="str">
        <f>'Calibration record'!H7</f>
        <v>000000204 / 07093-41</v>
      </c>
      <c r="E18" s="553"/>
      <c r="F18" s="553"/>
      <c r="K18" s="143" t="s">
        <v>132</v>
      </c>
      <c r="L18" s="144"/>
      <c r="M18" s="144"/>
      <c r="N18" s="145"/>
      <c r="O18" s="146" t="str">
        <f>'Calibration record'!H8</f>
        <v>08 12 25</v>
      </c>
    </row>
    <row r="19" spans="2:15" ht="25.9" customHeight="1" x14ac:dyDescent="0.25">
      <c r="B19" s="136" t="s">
        <v>133</v>
      </c>
      <c r="C19" s="141"/>
      <c r="D19" s="553" t="str">
        <f>'Calibration record'!H9</f>
        <v>000000204 / 07093-41</v>
      </c>
      <c r="E19" s="553"/>
      <c r="F19" s="553"/>
      <c r="K19" s="137" t="s">
        <v>134</v>
      </c>
      <c r="L19" s="138"/>
      <c r="M19" s="138"/>
      <c r="N19" s="139"/>
      <c r="O19" s="181">
        <f>'Calibration record'!H11</f>
        <v>367</v>
      </c>
    </row>
    <row r="20" spans="2:15" ht="14.25" customHeight="1" x14ac:dyDescent="0.25">
      <c r="B20" s="147"/>
      <c r="D20" s="148"/>
      <c r="E20" s="149"/>
      <c r="K20" s="147"/>
      <c r="L20" s="150"/>
      <c r="M20" s="150"/>
      <c r="N20" s="150"/>
      <c r="O20" s="151"/>
    </row>
    <row r="21" spans="2:15" ht="15.75" x14ac:dyDescent="0.25">
      <c r="B21" s="152" t="s">
        <v>135</v>
      </c>
    </row>
    <row r="22" spans="2:15" ht="15.75" x14ac:dyDescent="0.25">
      <c r="B22" s="152" t="s">
        <v>136</v>
      </c>
      <c r="O22" s="153"/>
    </row>
    <row r="23" spans="2:15" ht="15.75" x14ac:dyDescent="0.25">
      <c r="B23" s="152" t="s">
        <v>137</v>
      </c>
    </row>
    <row r="24" spans="2:15" ht="15.75" x14ac:dyDescent="0.25">
      <c r="B24" s="152"/>
    </row>
    <row r="25" spans="2:15" x14ac:dyDescent="0.2">
      <c r="B25" s="154"/>
    </row>
    <row r="26" spans="2:15" s="155" customFormat="1" ht="67.5" customHeight="1" x14ac:dyDescent="0.2">
      <c r="D26" s="508" t="s">
        <v>138</v>
      </c>
      <c r="E26" s="508"/>
      <c r="F26" s="508" t="s">
        <v>139</v>
      </c>
      <c r="G26" s="508"/>
      <c r="H26" s="508" t="s">
        <v>140</v>
      </c>
      <c r="I26" s="508"/>
      <c r="J26" s="156" t="s">
        <v>141</v>
      </c>
      <c r="K26" s="156" t="s">
        <v>142</v>
      </c>
      <c r="L26" s="156" t="s">
        <v>143</v>
      </c>
    </row>
    <row r="27" spans="2:15" s="157" customFormat="1" ht="25.9" customHeight="1" x14ac:dyDescent="0.2">
      <c r="D27" s="509" t="s">
        <v>144</v>
      </c>
      <c r="E27" s="509"/>
      <c r="F27" s="509" t="s">
        <v>145</v>
      </c>
      <c r="G27" s="509"/>
      <c r="H27" s="509" t="s">
        <v>146</v>
      </c>
      <c r="I27" s="509"/>
      <c r="J27" s="158" t="s">
        <v>146</v>
      </c>
      <c r="K27" s="158" t="s">
        <v>146</v>
      </c>
      <c r="L27" s="158" t="s">
        <v>147</v>
      </c>
    </row>
    <row r="28" spans="2:15" s="157" customFormat="1" ht="25.9" customHeight="1" x14ac:dyDescent="0.2">
      <c r="D28" s="505" t="s">
        <v>148</v>
      </c>
      <c r="E28" s="505"/>
      <c r="F28" s="506">
        <f>'Calibration record'!B16</f>
        <v>134</v>
      </c>
      <c r="G28" s="506"/>
      <c r="H28" s="507">
        <f>'Calibration record'!B22</f>
        <v>3481812.2857142859</v>
      </c>
      <c r="I28" s="507"/>
      <c r="J28" s="182">
        <f>'Calibration record'!I22</f>
        <v>3515052.3333333335</v>
      </c>
      <c r="K28" s="159">
        <f t="shared" ref="K28:K33" si="0">J28-H28</f>
        <v>33240.047619047575</v>
      </c>
      <c r="L28" s="160">
        <f>'Calibration record'!J22</f>
        <v>9.5467661353916024E-3</v>
      </c>
    </row>
    <row r="29" spans="2:15" s="157" customFormat="1" ht="25.9" customHeight="1" x14ac:dyDescent="0.2">
      <c r="D29" s="505" t="s">
        <v>149</v>
      </c>
      <c r="E29" s="505"/>
      <c r="F29" s="506">
        <f>'Calibration record'!C16</f>
        <v>324</v>
      </c>
      <c r="G29" s="506"/>
      <c r="H29" s="507">
        <f>'Calibration record'!B23</f>
        <v>1368160.8571428573</v>
      </c>
      <c r="I29" s="507"/>
      <c r="J29" s="182">
        <f>'Calibration record'!I23</f>
        <v>1388815.3333333333</v>
      </c>
      <c r="K29" s="159">
        <f t="shared" si="0"/>
        <v>20654.47619047598</v>
      </c>
      <c r="L29" s="160">
        <f>'Calibration record'!J23</f>
        <v>1.509652617427523E-2</v>
      </c>
    </row>
    <row r="30" spans="2:15" s="157" customFormat="1" ht="25.9" customHeight="1" x14ac:dyDescent="0.2">
      <c r="D30" s="505" t="s">
        <v>150</v>
      </c>
      <c r="E30" s="505"/>
      <c r="F30" s="506">
        <f>'Calibration record'!D16</f>
        <v>1886</v>
      </c>
      <c r="G30" s="506"/>
      <c r="H30" s="507">
        <f>'Calibration record'!B24</f>
        <v>97342.21714285716</v>
      </c>
      <c r="I30" s="507"/>
      <c r="J30" s="182">
        <f>'Calibration record'!I24</f>
        <v>98910</v>
      </c>
      <c r="K30" s="159">
        <f t="shared" si="0"/>
        <v>1567.7828571428399</v>
      </c>
      <c r="L30" s="160">
        <f>'Calibration record'!J24</f>
        <v>1.6105888104459329E-2</v>
      </c>
    </row>
    <row r="31" spans="2:15" s="157" customFormat="1" ht="25.9" customHeight="1" x14ac:dyDescent="0.2">
      <c r="D31" s="505" t="s">
        <v>151</v>
      </c>
      <c r="E31" s="505"/>
      <c r="F31" s="506">
        <f>'Calibration record'!E16</f>
        <v>4122</v>
      </c>
      <c r="G31" s="506"/>
      <c r="H31" s="507">
        <f>'Calibration record'!B25</f>
        <v>24221.302857142859</v>
      </c>
      <c r="I31" s="507"/>
      <c r="J31" s="182">
        <f>'Calibration record'!I25</f>
        <v>24523</v>
      </c>
      <c r="K31" s="159">
        <f t="shared" si="0"/>
        <v>301.69714285714144</v>
      </c>
      <c r="L31" s="160">
        <f>'Calibration record'!J25</f>
        <v>1.2455859399329174E-2</v>
      </c>
    </row>
    <row r="32" spans="2:15" s="157" customFormat="1" ht="25.9" customHeight="1" x14ac:dyDescent="0.2">
      <c r="D32" s="505" t="s">
        <v>152</v>
      </c>
      <c r="E32" s="505"/>
      <c r="F32" s="506">
        <f>'Calibration record'!F16</f>
        <v>6566</v>
      </c>
      <c r="G32" s="506"/>
      <c r="H32" s="507">
        <f>'Calibration record'!B26</f>
        <v>11396.58</v>
      </c>
      <c r="I32" s="507"/>
      <c r="J32" s="182">
        <f>'Calibration record'!I26</f>
        <v>11296</v>
      </c>
      <c r="K32" s="159">
        <f t="shared" si="0"/>
        <v>-100.57999999999993</v>
      </c>
      <c r="L32" s="160">
        <f>'Calibration record'!J26</f>
        <v>-8.8254546539400357E-3</v>
      </c>
    </row>
    <row r="33" spans="2:12" s="157" customFormat="1" ht="25.9" customHeight="1" x14ac:dyDescent="0.2">
      <c r="D33" s="505" t="s">
        <v>153</v>
      </c>
      <c r="E33" s="505"/>
      <c r="F33" s="506">
        <f>'Calibration record'!G16</f>
        <v>15500</v>
      </c>
      <c r="G33" s="506"/>
      <c r="H33" s="507">
        <f>'Calibration record'!B27</f>
        <v>1788.6061142857141</v>
      </c>
      <c r="I33" s="507"/>
      <c r="J33" s="182">
        <f>'Calibration record'!I27</f>
        <v>1652</v>
      </c>
      <c r="K33" s="159">
        <f t="shared" si="0"/>
        <v>-136.60611428571406</v>
      </c>
      <c r="L33" s="160">
        <f>'Calibration record'!J27</f>
        <v>-7.6375739294768194E-2</v>
      </c>
    </row>
    <row r="34" spans="2:12" s="157" customFormat="1" ht="25.9" customHeight="1" x14ac:dyDescent="0.2">
      <c r="D34" s="505" t="s">
        <v>154</v>
      </c>
      <c r="E34" s="505"/>
      <c r="F34" s="506">
        <f>'Calibration record'!H16</f>
        <v>22008</v>
      </c>
      <c r="G34" s="506"/>
      <c r="H34" s="507">
        <f>'Calibration record'!B28</f>
        <v>690.6498857142858</v>
      </c>
      <c r="I34" s="507"/>
      <c r="J34" s="182">
        <f>'Calibration record'!I28</f>
        <v>484.66666666666669</v>
      </c>
      <c r="K34" s="159" t="s">
        <v>101</v>
      </c>
      <c r="L34" s="161" t="s">
        <v>101</v>
      </c>
    </row>
    <row r="35" spans="2:12" s="150" customFormat="1" ht="25.9" customHeight="1" x14ac:dyDescent="0.25">
      <c r="D35" s="505" t="s">
        <v>155</v>
      </c>
      <c r="E35" s="505"/>
      <c r="F35" s="510">
        <f>'Calibration record'!I16</f>
        <v>32390</v>
      </c>
      <c r="G35" s="510"/>
      <c r="H35" s="507">
        <f>'Calibration record'!B29</f>
        <v>159.952</v>
      </c>
      <c r="I35" s="507"/>
      <c r="J35" s="182">
        <f>'Calibration record'!I29</f>
        <v>59</v>
      </c>
      <c r="K35" s="159" t="s">
        <v>101</v>
      </c>
      <c r="L35" s="161" t="s">
        <v>101</v>
      </c>
    </row>
    <row r="36" spans="2:12" ht="20.25" x14ac:dyDescent="0.3">
      <c r="D36" s="162" t="s">
        <v>156</v>
      </c>
      <c r="E36" s="163"/>
      <c r="F36" s="163"/>
      <c r="G36" s="163"/>
      <c r="H36" s="163"/>
      <c r="I36" s="163"/>
      <c r="J36" s="163"/>
      <c r="K36" s="163"/>
    </row>
    <row r="37" spans="2:12" ht="20.25" x14ac:dyDescent="0.3">
      <c r="B37" s="164"/>
      <c r="D37" s="163"/>
      <c r="E37" s="163"/>
      <c r="F37" s="163"/>
      <c r="G37" s="163"/>
      <c r="H37" s="163"/>
      <c r="I37" s="163"/>
      <c r="J37" s="163"/>
      <c r="K37" s="163"/>
    </row>
    <row r="38" spans="2:12" ht="81" customHeight="1" x14ac:dyDescent="0.2">
      <c r="B38" s="164"/>
      <c r="D38" s="156" t="s">
        <v>157</v>
      </c>
      <c r="E38" s="508" t="s">
        <v>158</v>
      </c>
      <c r="F38" s="508"/>
      <c r="G38" s="508" t="s">
        <v>159</v>
      </c>
      <c r="H38" s="508"/>
      <c r="I38" s="157"/>
      <c r="J38" s="132"/>
      <c r="K38" s="132"/>
      <c r="L38" s="132"/>
    </row>
    <row r="39" spans="2:12" ht="25.9" customHeight="1" x14ac:dyDescent="0.2">
      <c r="B39" s="164"/>
      <c r="D39" s="158" t="s">
        <v>145</v>
      </c>
      <c r="E39" s="509" t="s">
        <v>145</v>
      </c>
      <c r="F39" s="509"/>
      <c r="G39" s="509" t="s">
        <v>160</v>
      </c>
      <c r="H39" s="509"/>
      <c r="I39" s="165"/>
      <c r="J39" s="166"/>
      <c r="K39" s="166"/>
      <c r="L39" s="166"/>
    </row>
    <row r="40" spans="2:12" ht="25.9" customHeight="1" x14ac:dyDescent="0.2">
      <c r="B40" s="164"/>
      <c r="D40" s="167">
        <f>'Calibration record'!B9</f>
        <v>61</v>
      </c>
      <c r="E40" s="511">
        <f>F28-D40</f>
        <v>73</v>
      </c>
      <c r="F40" s="511"/>
      <c r="G40" s="512">
        <f>F28/D40</f>
        <v>2.1967213114754101</v>
      </c>
      <c r="H40" s="512"/>
      <c r="I40" s="165"/>
      <c r="J40" s="168"/>
      <c r="K40" s="169"/>
      <c r="L40" s="170"/>
    </row>
    <row r="41" spans="2:12" x14ac:dyDescent="0.2">
      <c r="B41" s="164"/>
    </row>
    <row r="42" spans="2:12" x14ac:dyDescent="0.2">
      <c r="B42" s="164"/>
    </row>
    <row r="43" spans="2:12" x14ac:dyDescent="0.2">
      <c r="B43" s="164"/>
    </row>
    <row r="44" spans="2:12" x14ac:dyDescent="0.2">
      <c r="B44" s="164"/>
    </row>
    <row r="45" spans="2:12" x14ac:dyDescent="0.2">
      <c r="B45" s="164"/>
    </row>
    <row r="46" spans="2:12" x14ac:dyDescent="0.2">
      <c r="B46" s="164"/>
    </row>
    <row r="47" spans="2:12" x14ac:dyDescent="0.2">
      <c r="B47" s="164"/>
    </row>
    <row r="48" spans="2:12" x14ac:dyDescent="0.2">
      <c r="B48" s="164"/>
    </row>
    <row r="49" spans="2:2" x14ac:dyDescent="0.2">
      <c r="B49" s="164"/>
    </row>
    <row r="50" spans="2:2" x14ac:dyDescent="0.2">
      <c r="B50" s="164"/>
    </row>
    <row r="51" spans="2:2" x14ac:dyDescent="0.2">
      <c r="B51" s="164"/>
    </row>
    <row r="52" spans="2:2" x14ac:dyDescent="0.2">
      <c r="B52" s="164"/>
    </row>
    <row r="53" spans="2:2" x14ac:dyDescent="0.2">
      <c r="B53" s="164"/>
    </row>
    <row r="54" spans="2:2" x14ac:dyDescent="0.2">
      <c r="B54" s="164"/>
    </row>
    <row r="55" spans="2:2" x14ac:dyDescent="0.2">
      <c r="B55" s="164"/>
    </row>
    <row r="56" spans="2:2" x14ac:dyDescent="0.2">
      <c r="B56" s="164"/>
    </row>
    <row r="57" spans="2:2" x14ac:dyDescent="0.2">
      <c r="B57" s="164"/>
    </row>
    <row r="58" spans="2:2" x14ac:dyDescent="0.2">
      <c r="B58" s="164"/>
    </row>
    <row r="59" spans="2:2" x14ac:dyDescent="0.2">
      <c r="B59" s="164"/>
    </row>
    <row r="60" spans="2:2" x14ac:dyDescent="0.2">
      <c r="B60" s="164"/>
    </row>
    <row r="61" spans="2:2" x14ac:dyDescent="0.2">
      <c r="B61" s="164"/>
    </row>
    <row r="62" spans="2:2" x14ac:dyDescent="0.2">
      <c r="B62" s="164"/>
    </row>
    <row r="63" spans="2:2" x14ac:dyDescent="0.2">
      <c r="B63" s="164"/>
    </row>
    <row r="64" spans="2:2" x14ac:dyDescent="0.2">
      <c r="B64" s="164"/>
    </row>
    <row r="65" spans="2:16" x14ac:dyDescent="0.2">
      <c r="B65" s="164"/>
    </row>
    <row r="66" spans="2:16" x14ac:dyDescent="0.2">
      <c r="B66" s="164"/>
    </row>
    <row r="67" spans="2:16" x14ac:dyDescent="0.2">
      <c r="B67" s="164"/>
    </row>
    <row r="68" spans="2:16" x14ac:dyDescent="0.2">
      <c r="B68" s="164"/>
    </row>
    <row r="69" spans="2:16" x14ac:dyDescent="0.2">
      <c r="B69" s="171"/>
      <c r="C69" s="172"/>
      <c r="D69" s="172"/>
      <c r="E69" s="172"/>
      <c r="F69" s="172"/>
      <c r="G69" s="172"/>
      <c r="H69" s="172"/>
      <c r="I69" s="172"/>
      <c r="J69" s="172"/>
      <c r="K69" s="172"/>
      <c r="L69" s="172"/>
      <c r="M69" s="172"/>
      <c r="N69" s="172"/>
      <c r="O69" s="172"/>
      <c r="P69" s="172"/>
    </row>
    <row r="70" spans="2:16" x14ac:dyDescent="0.2">
      <c r="B70" s="164"/>
    </row>
    <row r="71" spans="2:16" ht="25.9" customHeight="1" x14ac:dyDescent="0.2"/>
    <row r="72" spans="2:16" s="129" customFormat="1" ht="25.9" customHeight="1" x14ac:dyDescent="0.2">
      <c r="B72" s="173" t="s">
        <v>161</v>
      </c>
      <c r="C72" s="174"/>
      <c r="D72" s="175" t="s">
        <v>162</v>
      </c>
      <c r="H72" s="3"/>
      <c r="I72" s="3"/>
      <c r="K72" s="514" t="s">
        <v>163</v>
      </c>
      <c r="L72" s="514"/>
      <c r="M72" s="514"/>
      <c r="N72" s="514"/>
      <c r="O72" s="514"/>
    </row>
    <row r="73" spans="2:16" s="129" customFormat="1" ht="25.9" customHeight="1" x14ac:dyDescent="0.2">
      <c r="H73" s="3"/>
      <c r="I73" s="3"/>
      <c r="K73" s="514"/>
      <c r="L73" s="514"/>
      <c r="M73" s="514"/>
      <c r="N73" s="514"/>
      <c r="O73" s="514"/>
    </row>
    <row r="74" spans="2:16" s="129" customFormat="1" ht="25.9" customHeight="1" x14ac:dyDescent="0.2">
      <c r="B74" s="173" t="s">
        <v>164</v>
      </c>
      <c r="C74" s="174"/>
      <c r="D74" s="515" t="s">
        <v>165</v>
      </c>
      <c r="E74" s="515"/>
      <c r="F74" s="515"/>
      <c r="G74" s="515"/>
      <c r="H74" s="3"/>
      <c r="I74" s="3"/>
      <c r="K74" s="514"/>
      <c r="L74" s="514"/>
      <c r="M74" s="514"/>
      <c r="N74" s="514"/>
      <c r="O74" s="514"/>
    </row>
    <row r="75" spans="2:16" s="129" customFormat="1" ht="25.9" customHeight="1" x14ac:dyDescent="0.2">
      <c r="K75" s="514"/>
      <c r="L75" s="514"/>
      <c r="M75" s="514"/>
      <c r="N75" s="514"/>
      <c r="O75" s="514"/>
    </row>
    <row r="76" spans="2:16" s="129" customFormat="1" ht="25.9" customHeight="1" x14ac:dyDescent="0.2">
      <c r="B76" s="173" t="s">
        <v>166</v>
      </c>
      <c r="C76" s="174"/>
      <c r="D76" s="516" t="str">
        <f>'Calibration record'!H12</f>
        <v>J Scarrott</v>
      </c>
      <c r="E76" s="516"/>
      <c r="F76" s="516"/>
      <c r="K76" s="176" t="s">
        <v>167</v>
      </c>
      <c r="L76" s="517" t="s">
        <v>168</v>
      </c>
      <c r="M76" s="517"/>
      <c r="N76" s="517"/>
      <c r="O76" s="517"/>
      <c r="P76" s="177"/>
    </row>
    <row r="77" spans="2:16" ht="25.9" customHeight="1" x14ac:dyDescent="0.2">
      <c r="H77" s="129"/>
      <c r="I77" s="129"/>
      <c r="J77" s="129"/>
      <c r="K77" s="129"/>
    </row>
    <row r="78" spans="2:16" ht="15" customHeight="1" x14ac:dyDescent="0.2">
      <c r="B78" s="164" t="s">
        <v>169</v>
      </c>
      <c r="H78" s="129"/>
      <c r="I78" s="129"/>
      <c r="J78" s="129"/>
      <c r="K78" s="513" t="s">
        <v>170</v>
      </c>
      <c r="L78" s="513"/>
      <c r="M78" s="513"/>
      <c r="N78" s="513"/>
      <c r="O78" s="513"/>
    </row>
    <row r="79" spans="2:16" ht="15" x14ac:dyDescent="0.2">
      <c r="B79" s="164" t="s">
        <v>171</v>
      </c>
      <c r="H79" s="129"/>
      <c r="I79" s="129"/>
      <c r="J79" s="129"/>
      <c r="K79" s="513"/>
      <c r="L79" s="513"/>
      <c r="M79" s="513"/>
      <c r="N79" s="513"/>
      <c r="O79" s="513"/>
    </row>
    <row r="80" spans="2:16" x14ac:dyDescent="0.2">
      <c r="B80" s="164" t="s">
        <v>172</v>
      </c>
      <c r="K80" s="513"/>
      <c r="L80" s="513"/>
      <c r="M80" s="513"/>
      <c r="N80" s="513"/>
      <c r="O80" s="513"/>
    </row>
    <row r="83" spans="2:15" x14ac:dyDescent="0.2">
      <c r="O83" s="178" t="s">
        <v>176</v>
      </c>
    </row>
    <row r="84" spans="2:15" x14ac:dyDescent="0.2">
      <c r="O84" s="178"/>
    </row>
    <row r="85" spans="2:15" x14ac:dyDescent="0.2">
      <c r="O85" s="178"/>
    </row>
    <row r="86" spans="2:15" x14ac:dyDescent="0.2">
      <c r="B86" s="179" t="s">
        <v>175</v>
      </c>
      <c r="C86" s="179"/>
      <c r="L86" s="179"/>
      <c r="N86" s="179"/>
      <c r="O86" s="178"/>
    </row>
    <row r="88" spans="2:15" x14ac:dyDescent="0.2">
      <c r="D88" s="179"/>
      <c r="E88" s="179"/>
      <c r="F88" s="179"/>
      <c r="G88" s="179"/>
      <c r="H88" s="179"/>
      <c r="I88" s="179"/>
      <c r="J88" s="179"/>
      <c r="K88" s="179"/>
    </row>
  </sheetData>
  <mergeCells count="47">
    <mergeCell ref="K72:O75"/>
    <mergeCell ref="D74:G74"/>
    <mergeCell ref="D76:F76"/>
    <mergeCell ref="L76:O76"/>
    <mergeCell ref="K78:O80"/>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19:F19"/>
    <mergeCell ref="D26:E26"/>
    <mergeCell ref="F26:G26"/>
    <mergeCell ref="H26:I26"/>
    <mergeCell ref="D27:E27"/>
    <mergeCell ref="F27:G27"/>
    <mergeCell ref="H27:I27"/>
    <mergeCell ref="B10:P10"/>
    <mergeCell ref="B13:O13"/>
    <mergeCell ref="B14:O14"/>
    <mergeCell ref="D17:F17"/>
    <mergeCell ref="D18:F18"/>
  </mergeCells>
  <conditionalFormatting sqref="D72">
    <cfRule type="cellIs" dxfId="41" priority="2" operator="equal">
      <formula>"PASS"</formula>
    </cfRule>
    <cfRule type="cellIs" dxfId="40" priority="3" operator="equal">
      <formula>"FAIL"</formula>
    </cfRule>
  </conditionalFormatting>
  <conditionalFormatting sqref="G40">
    <cfRule type="cellIs" dxfId="39" priority="7" operator="greaterThanOrEqual">
      <formula>1.19</formula>
    </cfRule>
    <cfRule type="cellIs" dxfId="38" priority="8" operator="lessThan">
      <formula>1.19</formula>
    </cfRule>
  </conditionalFormatting>
  <conditionalFormatting sqref="K72">
    <cfRule type="cellIs" dxfId="37" priority="5" operator="equal">
      <formula>"FAIL"</formula>
    </cfRule>
    <cfRule type="cellIs" dxfId="36" priority="6" operator="equal">
      <formula>"PASS - VERIFIED"</formula>
    </cfRule>
  </conditionalFormatting>
  <conditionalFormatting sqref="L28:L33">
    <cfRule type="cellIs" dxfId="35" priority="9" operator="between">
      <formula>-0.1</formula>
      <formula>0.1</formula>
    </cfRule>
  </conditionalFormatting>
  <conditionalFormatting sqref="O22">
    <cfRule type="cellIs" dxfId="34" priority="4" operator="greaterThan">
      <formula>0</formula>
    </cfRule>
  </conditionalFormatting>
  <dataValidations count="2">
    <dataValidation type="list" allowBlank="1" showInputMessage="1" showErrorMessage="1" sqref="D72" xr:uid="{00000000-0002-0000-0C00-000000000000}">
      <formula1>"PASS,FAIL"</formula1>
      <formula2>0</formula2>
    </dataValidation>
    <dataValidation type="list" allowBlank="1" showInputMessage="1" showErrorMessage="1" sqref="K72" xr:uid="{00000000-0002-0000-0C00-000001000000}">
      <formula1>"PASS - VERIFIED,FAIL"</formula1>
      <formula2>0</formula2>
    </dataValidation>
  </dataValidations>
  <pageMargins left="0.25" right="0.25" top="0.75" bottom="0.75" header="0.51180555555555496" footer="0.51180555555555496"/>
  <pageSetup paperSize="9" firstPageNumber="0"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2:AMK88"/>
  <sheetViews>
    <sheetView zoomScale="42" zoomScaleNormal="42" workbookViewId="0">
      <selection activeCell="AMP21" sqref="AMP21"/>
    </sheetView>
  </sheetViews>
  <sheetFormatPr defaultRowHeight="12.75" x14ac:dyDescent="0.2"/>
  <cols>
    <col min="1" max="1" width="6" style="3" customWidth="1"/>
    <col min="2" max="2" width="16.7109375" style="3" customWidth="1"/>
    <col min="3" max="3" width="19.7109375" style="3" customWidth="1"/>
    <col min="4" max="4" width="22.140625" style="3" customWidth="1"/>
    <col min="5" max="5" width="7.5703125" style="3" customWidth="1"/>
    <col min="6" max="6" width="16.7109375" style="3" customWidth="1"/>
    <col min="7" max="7" width="5.140625" style="3" customWidth="1"/>
    <col min="8" max="8" width="16.85546875" style="3" customWidth="1"/>
    <col min="9" max="9" width="3.85546875" style="3" customWidth="1"/>
    <col min="10" max="10" width="23.7109375" style="3" customWidth="1"/>
    <col min="11" max="11" width="20.7109375" style="3" customWidth="1"/>
    <col min="12" max="12" width="21" style="3" customWidth="1"/>
    <col min="13" max="13" width="18.85546875" style="3" customWidth="1"/>
    <col min="14" max="14" width="3.28515625" style="3" customWidth="1"/>
    <col min="15" max="15" width="19.28515625" style="3" customWidth="1"/>
    <col min="16" max="16" width="6" style="3" customWidth="1"/>
    <col min="17" max="1025" width="11.5703125" style="3" hidden="1"/>
  </cols>
  <sheetData>
    <row r="2" spans="1:16" ht="14.25" x14ac:dyDescent="0.2">
      <c r="B2" s="127"/>
      <c r="C2" s="128"/>
    </row>
    <row r="3" spans="1:16" ht="14.25" x14ac:dyDescent="0.2">
      <c r="B3" s="127"/>
      <c r="C3" s="128"/>
    </row>
    <row r="4" spans="1:16" ht="14.25" x14ac:dyDescent="0.2">
      <c r="B4" s="127"/>
      <c r="C4" s="128"/>
    </row>
    <row r="5" spans="1:16" ht="14.25" x14ac:dyDescent="0.2">
      <c r="B5" s="127"/>
      <c r="C5" s="128"/>
    </row>
    <row r="6" spans="1:16" ht="14.25" x14ac:dyDescent="0.2">
      <c r="B6" s="127"/>
      <c r="C6" s="128"/>
    </row>
    <row r="7" spans="1:16" ht="15" x14ac:dyDescent="0.2">
      <c r="B7" s="127"/>
      <c r="C7" s="128"/>
      <c r="D7" s="129"/>
    </row>
    <row r="8" spans="1:16" ht="14.25" x14ac:dyDescent="0.2">
      <c r="B8" s="130"/>
      <c r="C8" s="128"/>
    </row>
    <row r="9" spans="1:16" ht="14.25" x14ac:dyDescent="0.2">
      <c r="B9" s="130"/>
      <c r="C9" s="128"/>
    </row>
    <row r="10" spans="1:16" ht="37.5" customHeight="1" x14ac:dyDescent="0.5">
      <c r="B10" s="501" t="s">
        <v>126</v>
      </c>
      <c r="C10" s="501"/>
      <c r="D10" s="501"/>
      <c r="E10" s="501"/>
      <c r="F10" s="501"/>
      <c r="G10" s="501"/>
      <c r="H10" s="501"/>
      <c r="I10" s="501"/>
      <c r="J10" s="501"/>
      <c r="K10" s="501"/>
      <c r="L10" s="501"/>
      <c r="M10" s="501"/>
      <c r="N10" s="501"/>
      <c r="O10" s="501"/>
      <c r="P10" s="501"/>
    </row>
    <row r="11" spans="1:16" ht="21" customHeight="1" x14ac:dyDescent="0.4">
      <c r="B11" s="131"/>
      <c r="C11" s="131"/>
      <c r="D11" s="131"/>
      <c r="E11" s="131"/>
      <c r="F11" s="131"/>
      <c r="G11" s="131"/>
      <c r="H11" s="131"/>
      <c r="I11" s="131"/>
      <c r="J11" s="131"/>
      <c r="K11" s="131"/>
      <c r="L11" s="131"/>
      <c r="M11" s="131"/>
      <c r="N11" s="131"/>
      <c r="O11" s="131"/>
      <c r="P11" s="131"/>
    </row>
    <row r="12" spans="1:16" ht="11.25" customHeight="1" x14ac:dyDescent="0.2"/>
    <row r="13" spans="1:16" ht="60.75" customHeight="1" x14ac:dyDescent="0.2">
      <c r="B13" s="502" t="s">
        <v>127</v>
      </c>
      <c r="C13" s="502"/>
      <c r="D13" s="502"/>
      <c r="E13" s="502"/>
      <c r="F13" s="502"/>
      <c r="G13" s="502"/>
      <c r="H13" s="502"/>
      <c r="I13" s="502"/>
      <c r="J13" s="502"/>
      <c r="K13" s="502"/>
      <c r="L13" s="502"/>
      <c r="M13" s="502"/>
      <c r="N13" s="502"/>
      <c r="O13" s="502"/>
      <c r="P13" s="133"/>
    </row>
    <row r="14" spans="1:16" ht="77.25" customHeight="1" x14ac:dyDescent="0.2">
      <c r="A14" s="134"/>
      <c r="B14" s="502" t="s">
        <v>128</v>
      </c>
      <c r="C14" s="502"/>
      <c r="D14" s="502"/>
      <c r="E14" s="502"/>
      <c r="F14" s="502"/>
      <c r="G14" s="502"/>
      <c r="H14" s="502"/>
      <c r="I14" s="502"/>
      <c r="J14" s="502"/>
      <c r="K14" s="502"/>
      <c r="L14" s="502"/>
      <c r="M14" s="502"/>
      <c r="N14" s="502"/>
      <c r="O14" s="502"/>
      <c r="P14" s="133"/>
    </row>
    <row r="15" spans="1:16" ht="18" x14ac:dyDescent="0.2">
      <c r="A15" s="134"/>
      <c r="B15" s="132"/>
      <c r="C15" s="132"/>
      <c r="D15" s="132"/>
      <c r="E15" s="132"/>
      <c r="F15" s="132"/>
      <c r="G15" s="132"/>
      <c r="H15" s="132"/>
      <c r="I15" s="132"/>
      <c r="J15" s="132"/>
      <c r="K15" s="132"/>
      <c r="L15" s="132"/>
      <c r="M15" s="132"/>
      <c r="N15" s="132"/>
      <c r="O15" s="132"/>
      <c r="P15" s="133"/>
    </row>
    <row r="16" spans="1:16" ht="18" x14ac:dyDescent="0.2">
      <c r="A16" s="134"/>
      <c r="B16" s="135"/>
      <c r="C16" s="135"/>
      <c r="D16" s="133"/>
      <c r="E16" s="133"/>
      <c r="F16" s="135"/>
      <c r="G16" s="135"/>
      <c r="H16" s="135"/>
      <c r="I16" s="135"/>
      <c r="J16" s="135"/>
      <c r="K16" s="135"/>
      <c r="L16" s="135"/>
      <c r="M16" s="135"/>
      <c r="N16" s="135"/>
      <c r="O16" s="135"/>
      <c r="P16" s="135"/>
    </row>
    <row r="17" spans="2:15" ht="25.9" customHeight="1" x14ac:dyDescent="0.25">
      <c r="B17" s="136" t="s">
        <v>129</v>
      </c>
      <c r="C17" s="27"/>
      <c r="D17" s="503">
        <f>'Calibration record'!H6</f>
        <v>11.111121000000001</v>
      </c>
      <c r="E17" s="503"/>
      <c r="F17" s="503"/>
      <c r="K17" s="137" t="s">
        <v>130</v>
      </c>
      <c r="L17" s="138"/>
      <c r="M17" s="138"/>
      <c r="N17" s="139"/>
      <c r="O17" s="180" t="str">
        <f>'Calibration record'!H10</f>
        <v>12798M</v>
      </c>
    </row>
    <row r="18" spans="2:15" ht="25.9" customHeight="1" x14ac:dyDescent="0.25">
      <c r="B18" s="136" t="s">
        <v>131</v>
      </c>
      <c r="C18" s="141"/>
      <c r="D18" s="553" t="str">
        <f>'Calibration record'!H7</f>
        <v>000000204 / 07093-41</v>
      </c>
      <c r="E18" s="553"/>
      <c r="F18" s="553"/>
      <c r="K18" s="143" t="s">
        <v>132</v>
      </c>
      <c r="L18" s="144"/>
      <c r="M18" s="144"/>
      <c r="N18" s="145"/>
      <c r="O18" s="146" t="str">
        <f>'Calibration record'!H8</f>
        <v>08 12 25</v>
      </c>
    </row>
    <row r="19" spans="2:15" ht="25.9" customHeight="1" x14ac:dyDescent="0.25">
      <c r="B19" s="136" t="s">
        <v>133</v>
      </c>
      <c r="C19" s="141"/>
      <c r="D19" s="553" t="str">
        <f>'Calibration record'!H9</f>
        <v>000000204 / 07093-41</v>
      </c>
      <c r="E19" s="553"/>
      <c r="F19" s="553"/>
      <c r="K19" s="137" t="s">
        <v>134</v>
      </c>
      <c r="L19" s="138"/>
      <c r="M19" s="138"/>
      <c r="N19" s="139"/>
      <c r="O19" s="181">
        <f>'Calibration record'!H11</f>
        <v>367</v>
      </c>
    </row>
    <row r="20" spans="2:15" ht="14.25" customHeight="1" x14ac:dyDescent="0.25">
      <c r="B20" s="147"/>
      <c r="D20" s="148"/>
      <c r="E20" s="149"/>
      <c r="K20" s="147"/>
      <c r="L20" s="150"/>
      <c r="M20" s="150"/>
      <c r="N20" s="150"/>
      <c r="O20" s="151"/>
    </row>
    <row r="21" spans="2:15" ht="15.75" x14ac:dyDescent="0.25">
      <c r="B21" s="152" t="s">
        <v>135</v>
      </c>
    </row>
    <row r="22" spans="2:15" ht="15.75" x14ac:dyDescent="0.25">
      <c r="B22" s="152" t="s">
        <v>136</v>
      </c>
      <c r="O22" s="153"/>
    </row>
    <row r="23" spans="2:15" ht="15.75" x14ac:dyDescent="0.25">
      <c r="B23" s="152" t="s">
        <v>137</v>
      </c>
    </row>
    <row r="24" spans="2:15" ht="15.75" x14ac:dyDescent="0.25">
      <c r="B24" s="152"/>
    </row>
    <row r="25" spans="2:15" x14ac:dyDescent="0.2">
      <c r="B25" s="154"/>
    </row>
    <row r="26" spans="2:15" s="155" customFormat="1" ht="67.5" customHeight="1" x14ac:dyDescent="0.2">
      <c r="D26" s="508" t="s">
        <v>138</v>
      </c>
      <c r="E26" s="508"/>
      <c r="F26" s="508" t="s">
        <v>139</v>
      </c>
      <c r="G26" s="508"/>
      <c r="H26" s="508" t="s">
        <v>140</v>
      </c>
      <c r="I26" s="508"/>
      <c r="J26" s="156" t="s">
        <v>141</v>
      </c>
      <c r="K26" s="156" t="s">
        <v>142</v>
      </c>
      <c r="L26" s="156" t="s">
        <v>143</v>
      </c>
    </row>
    <row r="27" spans="2:15" s="157" customFormat="1" ht="25.9" customHeight="1" x14ac:dyDescent="0.2">
      <c r="D27" s="509" t="s">
        <v>144</v>
      </c>
      <c r="E27" s="509"/>
      <c r="F27" s="509" t="s">
        <v>145</v>
      </c>
      <c r="G27" s="509"/>
      <c r="H27" s="509" t="s">
        <v>146</v>
      </c>
      <c r="I27" s="509"/>
      <c r="J27" s="158" t="s">
        <v>146</v>
      </c>
      <c r="K27" s="158" t="s">
        <v>146</v>
      </c>
      <c r="L27" s="158" t="s">
        <v>147</v>
      </c>
    </row>
    <row r="28" spans="2:15" s="157" customFormat="1" ht="25.9" customHeight="1" x14ac:dyDescent="0.2">
      <c r="D28" s="505" t="s">
        <v>148</v>
      </c>
      <c r="E28" s="505"/>
      <c r="F28" s="506">
        <f>'Calibration record'!B16</f>
        <v>134</v>
      </c>
      <c r="G28" s="506"/>
      <c r="H28" s="507">
        <f>'Calibration record'!B22</f>
        <v>3481812.2857142859</v>
      </c>
      <c r="I28" s="507"/>
      <c r="J28" s="182">
        <f>'Calibration record'!I22</f>
        <v>3515052.3333333335</v>
      </c>
      <c r="K28" s="159">
        <f t="shared" ref="K28:K33" si="0">J28-H28</f>
        <v>33240.047619047575</v>
      </c>
      <c r="L28" s="160">
        <f>'Calibration record'!J22</f>
        <v>9.5467661353916024E-3</v>
      </c>
    </row>
    <row r="29" spans="2:15" s="157" customFormat="1" ht="25.9" customHeight="1" x14ac:dyDescent="0.2">
      <c r="D29" s="505" t="s">
        <v>149</v>
      </c>
      <c r="E29" s="505"/>
      <c r="F29" s="506">
        <f>'Calibration record'!C16</f>
        <v>324</v>
      </c>
      <c r="G29" s="506"/>
      <c r="H29" s="507">
        <f>'Calibration record'!B23</f>
        <v>1368160.8571428573</v>
      </c>
      <c r="I29" s="507"/>
      <c r="J29" s="182">
        <f>'Calibration record'!I23</f>
        <v>1388815.3333333333</v>
      </c>
      <c r="K29" s="159">
        <f t="shared" si="0"/>
        <v>20654.47619047598</v>
      </c>
      <c r="L29" s="160">
        <f>'Calibration record'!J23</f>
        <v>1.509652617427523E-2</v>
      </c>
    </row>
    <row r="30" spans="2:15" s="157" customFormat="1" ht="25.9" customHeight="1" x14ac:dyDescent="0.2">
      <c r="D30" s="505" t="s">
        <v>150</v>
      </c>
      <c r="E30" s="505"/>
      <c r="F30" s="506">
        <f>'Calibration record'!D16</f>
        <v>1886</v>
      </c>
      <c r="G30" s="506"/>
      <c r="H30" s="507">
        <f>'Calibration record'!B24</f>
        <v>97342.21714285716</v>
      </c>
      <c r="I30" s="507"/>
      <c r="J30" s="182">
        <f>'Calibration record'!I24</f>
        <v>98910</v>
      </c>
      <c r="K30" s="159">
        <f t="shared" si="0"/>
        <v>1567.7828571428399</v>
      </c>
      <c r="L30" s="160">
        <f>'Calibration record'!J24</f>
        <v>1.6105888104459329E-2</v>
      </c>
    </row>
    <row r="31" spans="2:15" s="157" customFormat="1" ht="25.9" customHeight="1" x14ac:dyDescent="0.2">
      <c r="D31" s="505" t="s">
        <v>151</v>
      </c>
      <c r="E31" s="505"/>
      <c r="F31" s="506">
        <f>'Calibration record'!E16</f>
        <v>4122</v>
      </c>
      <c r="G31" s="506"/>
      <c r="H31" s="507">
        <f>'Calibration record'!B25</f>
        <v>24221.302857142859</v>
      </c>
      <c r="I31" s="507"/>
      <c r="J31" s="182">
        <f>'Calibration record'!I25</f>
        <v>24523</v>
      </c>
      <c r="K31" s="159">
        <f t="shared" si="0"/>
        <v>301.69714285714144</v>
      </c>
      <c r="L31" s="160">
        <f>'Calibration record'!J25</f>
        <v>1.2455859399329174E-2</v>
      </c>
    </row>
    <row r="32" spans="2:15" s="157" customFormat="1" ht="25.9" customHeight="1" x14ac:dyDescent="0.2">
      <c r="D32" s="505" t="s">
        <v>152</v>
      </c>
      <c r="E32" s="505"/>
      <c r="F32" s="506">
        <f>'Calibration record'!F16</f>
        <v>6566</v>
      </c>
      <c r="G32" s="506"/>
      <c r="H32" s="507">
        <f>'Calibration record'!B26</f>
        <v>11396.58</v>
      </c>
      <c r="I32" s="507"/>
      <c r="J32" s="182">
        <f>'Calibration record'!I26</f>
        <v>11296</v>
      </c>
      <c r="K32" s="159">
        <f t="shared" si="0"/>
        <v>-100.57999999999993</v>
      </c>
      <c r="L32" s="160">
        <f>'Calibration record'!J26</f>
        <v>-8.8254546539400357E-3</v>
      </c>
    </row>
    <row r="33" spans="2:12" s="157" customFormat="1" ht="25.9" customHeight="1" x14ac:dyDescent="0.2">
      <c r="D33" s="505" t="s">
        <v>153</v>
      </c>
      <c r="E33" s="505"/>
      <c r="F33" s="506">
        <f>'Calibration record'!G16</f>
        <v>15500</v>
      </c>
      <c r="G33" s="506"/>
      <c r="H33" s="507">
        <f>'Calibration record'!B27</f>
        <v>1788.6061142857141</v>
      </c>
      <c r="I33" s="507"/>
      <c r="J33" s="182">
        <f>'Calibration record'!I27</f>
        <v>1652</v>
      </c>
      <c r="K33" s="159">
        <f t="shared" si="0"/>
        <v>-136.60611428571406</v>
      </c>
      <c r="L33" s="160">
        <f>'Calibration record'!J27</f>
        <v>-7.6375739294768194E-2</v>
      </c>
    </row>
    <row r="34" spans="2:12" s="157" customFormat="1" ht="25.9" customHeight="1" x14ac:dyDescent="0.2">
      <c r="D34" s="505" t="s">
        <v>154</v>
      </c>
      <c r="E34" s="505"/>
      <c r="F34" s="506">
        <f>'Calibration record'!H16</f>
        <v>22008</v>
      </c>
      <c r="G34" s="506"/>
      <c r="H34" s="507">
        <f>'Calibration record'!B28</f>
        <v>690.6498857142858</v>
      </c>
      <c r="I34" s="507"/>
      <c r="J34" s="182">
        <f>'Calibration record'!I28</f>
        <v>484.66666666666669</v>
      </c>
      <c r="K34" s="159" t="s">
        <v>101</v>
      </c>
      <c r="L34" s="161" t="s">
        <v>101</v>
      </c>
    </row>
    <row r="35" spans="2:12" s="150" customFormat="1" ht="25.9" customHeight="1" x14ac:dyDescent="0.25">
      <c r="D35" s="505" t="s">
        <v>155</v>
      </c>
      <c r="E35" s="505"/>
      <c r="F35" s="510">
        <f>'Calibration record'!I16</f>
        <v>32390</v>
      </c>
      <c r="G35" s="510"/>
      <c r="H35" s="507">
        <f>'Calibration record'!B29</f>
        <v>159.952</v>
      </c>
      <c r="I35" s="507"/>
      <c r="J35" s="182">
        <f>'Calibration record'!I29</f>
        <v>59</v>
      </c>
      <c r="K35" s="159" t="s">
        <v>101</v>
      </c>
      <c r="L35" s="161" t="s">
        <v>101</v>
      </c>
    </row>
    <row r="36" spans="2:12" ht="20.25" x14ac:dyDescent="0.3">
      <c r="D36" s="162" t="s">
        <v>156</v>
      </c>
      <c r="E36" s="163"/>
      <c r="F36" s="163"/>
      <c r="G36" s="163"/>
      <c r="H36" s="163"/>
      <c r="I36" s="163"/>
      <c r="J36" s="163"/>
      <c r="K36" s="163"/>
    </row>
    <row r="37" spans="2:12" ht="20.25" x14ac:dyDescent="0.3">
      <c r="B37" s="164"/>
      <c r="D37" s="163"/>
      <c r="E37" s="163"/>
      <c r="F37" s="163"/>
      <c r="G37" s="163"/>
      <c r="H37" s="163"/>
      <c r="I37" s="163"/>
      <c r="J37" s="163"/>
      <c r="K37" s="163"/>
    </row>
    <row r="38" spans="2:12" ht="81" customHeight="1" x14ac:dyDescent="0.2">
      <c r="B38" s="164"/>
      <c r="D38" s="156" t="s">
        <v>157</v>
      </c>
      <c r="E38" s="508" t="s">
        <v>158</v>
      </c>
      <c r="F38" s="508"/>
      <c r="G38" s="508" t="s">
        <v>159</v>
      </c>
      <c r="H38" s="508"/>
      <c r="I38" s="157"/>
      <c r="J38" s="132"/>
      <c r="K38" s="132"/>
      <c r="L38" s="132"/>
    </row>
    <row r="39" spans="2:12" ht="25.9" customHeight="1" x14ac:dyDescent="0.2">
      <c r="B39" s="164"/>
      <c r="D39" s="158" t="s">
        <v>145</v>
      </c>
      <c r="E39" s="509" t="s">
        <v>145</v>
      </c>
      <c r="F39" s="509"/>
      <c r="G39" s="509" t="s">
        <v>160</v>
      </c>
      <c r="H39" s="509"/>
      <c r="I39" s="165"/>
      <c r="J39" s="166"/>
      <c r="K39" s="166"/>
      <c r="L39" s="166"/>
    </row>
    <row r="40" spans="2:12" ht="25.9" customHeight="1" x14ac:dyDescent="0.2">
      <c r="B40" s="164"/>
      <c r="D40" s="167">
        <f>'Calibration record'!B9</f>
        <v>61</v>
      </c>
      <c r="E40" s="511">
        <f>F28-D40</f>
        <v>73</v>
      </c>
      <c r="F40" s="511"/>
      <c r="G40" s="512">
        <f>F28/D40</f>
        <v>2.1967213114754101</v>
      </c>
      <c r="H40" s="512"/>
      <c r="I40" s="165"/>
      <c r="J40" s="168"/>
      <c r="K40" s="169"/>
      <c r="L40" s="170"/>
    </row>
    <row r="41" spans="2:12" x14ac:dyDescent="0.2">
      <c r="B41" s="164"/>
    </row>
    <row r="42" spans="2:12" x14ac:dyDescent="0.2">
      <c r="B42" s="164"/>
    </row>
    <row r="43" spans="2:12" x14ac:dyDescent="0.2">
      <c r="B43" s="164"/>
    </row>
    <row r="44" spans="2:12" x14ac:dyDescent="0.2">
      <c r="B44" s="164"/>
    </row>
    <row r="45" spans="2:12" x14ac:dyDescent="0.2">
      <c r="B45" s="164"/>
    </row>
    <row r="46" spans="2:12" x14ac:dyDescent="0.2">
      <c r="B46" s="164"/>
    </row>
    <row r="47" spans="2:12" x14ac:dyDescent="0.2">
      <c r="B47" s="164"/>
    </row>
    <row r="48" spans="2:12" x14ac:dyDescent="0.2">
      <c r="B48" s="164"/>
    </row>
    <row r="49" spans="2:2" x14ac:dyDescent="0.2">
      <c r="B49" s="164"/>
    </row>
    <row r="50" spans="2:2" x14ac:dyDescent="0.2">
      <c r="B50" s="164"/>
    </row>
    <row r="51" spans="2:2" x14ac:dyDescent="0.2">
      <c r="B51" s="164"/>
    </row>
    <row r="52" spans="2:2" x14ac:dyDescent="0.2">
      <c r="B52" s="164"/>
    </row>
    <row r="53" spans="2:2" x14ac:dyDescent="0.2">
      <c r="B53" s="164"/>
    </row>
    <row r="54" spans="2:2" x14ac:dyDescent="0.2">
      <c r="B54" s="164"/>
    </row>
    <row r="55" spans="2:2" x14ac:dyDescent="0.2">
      <c r="B55" s="164"/>
    </row>
    <row r="56" spans="2:2" x14ac:dyDescent="0.2">
      <c r="B56" s="164"/>
    </row>
    <row r="57" spans="2:2" x14ac:dyDescent="0.2">
      <c r="B57" s="164"/>
    </row>
    <row r="58" spans="2:2" x14ac:dyDescent="0.2">
      <c r="B58" s="164"/>
    </row>
    <row r="59" spans="2:2" x14ac:dyDescent="0.2">
      <c r="B59" s="164"/>
    </row>
    <row r="60" spans="2:2" x14ac:dyDescent="0.2">
      <c r="B60" s="164"/>
    </row>
    <row r="61" spans="2:2" x14ac:dyDescent="0.2">
      <c r="B61" s="164"/>
    </row>
    <row r="62" spans="2:2" x14ac:dyDescent="0.2">
      <c r="B62" s="164"/>
    </row>
    <row r="63" spans="2:2" x14ac:dyDescent="0.2">
      <c r="B63" s="164"/>
    </row>
    <row r="64" spans="2:2" x14ac:dyDescent="0.2">
      <c r="B64" s="164"/>
    </row>
    <row r="65" spans="2:16" x14ac:dyDescent="0.2">
      <c r="B65" s="164"/>
    </row>
    <row r="66" spans="2:16" x14ac:dyDescent="0.2">
      <c r="B66" s="164"/>
    </row>
    <row r="67" spans="2:16" x14ac:dyDescent="0.2">
      <c r="B67" s="164"/>
    </row>
    <row r="68" spans="2:16" x14ac:dyDescent="0.2">
      <c r="B68" s="164"/>
    </row>
    <row r="69" spans="2:16" x14ac:dyDescent="0.2">
      <c r="B69" s="171"/>
      <c r="C69" s="172"/>
      <c r="D69" s="172"/>
      <c r="E69" s="172"/>
      <c r="F69" s="172"/>
      <c r="G69" s="172"/>
      <c r="H69" s="172"/>
      <c r="I69" s="172"/>
      <c r="J69" s="172"/>
      <c r="K69" s="172"/>
      <c r="L69" s="172"/>
      <c r="M69" s="172"/>
      <c r="N69" s="172"/>
      <c r="O69" s="172"/>
      <c r="P69" s="172"/>
    </row>
    <row r="70" spans="2:16" x14ac:dyDescent="0.2">
      <c r="B70" s="164"/>
    </row>
    <row r="71" spans="2:16" ht="25.9" customHeight="1" x14ac:dyDescent="0.2"/>
    <row r="72" spans="2:16" s="129" customFormat="1" ht="25.9" customHeight="1" x14ac:dyDescent="0.2">
      <c r="B72" s="173" t="s">
        <v>161</v>
      </c>
      <c r="C72" s="174"/>
      <c r="D72" s="175" t="s">
        <v>162</v>
      </c>
      <c r="H72" s="3"/>
      <c r="I72" s="3"/>
      <c r="K72" s="514" t="s">
        <v>163</v>
      </c>
      <c r="L72" s="514"/>
      <c r="M72" s="514"/>
      <c r="N72" s="514"/>
      <c r="O72" s="514"/>
    </row>
    <row r="73" spans="2:16" s="129" customFormat="1" ht="25.9" customHeight="1" x14ac:dyDescent="0.2">
      <c r="H73" s="3"/>
      <c r="I73" s="3"/>
      <c r="K73" s="514"/>
      <c r="L73" s="514"/>
      <c r="M73" s="514"/>
      <c r="N73" s="514"/>
      <c r="O73" s="514"/>
    </row>
    <row r="74" spans="2:16" s="129" customFormat="1" ht="25.9" customHeight="1" x14ac:dyDescent="0.2">
      <c r="B74" s="173" t="s">
        <v>164</v>
      </c>
      <c r="C74" s="174"/>
      <c r="D74" s="515" t="s">
        <v>177</v>
      </c>
      <c r="E74" s="515"/>
      <c r="F74" s="515"/>
      <c r="G74" s="515"/>
      <c r="H74" s="3"/>
      <c r="I74" s="3"/>
      <c r="K74" s="514"/>
      <c r="L74" s="514"/>
      <c r="M74" s="514"/>
      <c r="N74" s="514"/>
      <c r="O74" s="514"/>
    </row>
    <row r="75" spans="2:16" s="129" customFormat="1" ht="25.9" customHeight="1" x14ac:dyDescent="0.2">
      <c r="K75" s="514"/>
      <c r="L75" s="514"/>
      <c r="M75" s="514"/>
      <c r="N75" s="514"/>
      <c r="O75" s="514"/>
    </row>
    <row r="76" spans="2:16" s="129" customFormat="1" ht="25.9" customHeight="1" x14ac:dyDescent="0.2">
      <c r="B76" s="173" t="s">
        <v>166</v>
      </c>
      <c r="C76" s="174"/>
      <c r="D76" s="516" t="str">
        <f>'Calibration record'!H12</f>
        <v>J Scarrott</v>
      </c>
      <c r="E76" s="516"/>
      <c r="F76" s="516"/>
      <c r="K76" s="176" t="s">
        <v>167</v>
      </c>
      <c r="L76" s="517" t="s">
        <v>168</v>
      </c>
      <c r="M76" s="517"/>
      <c r="N76" s="517"/>
      <c r="O76" s="517"/>
      <c r="P76" s="177"/>
    </row>
    <row r="77" spans="2:16" ht="25.9" customHeight="1" x14ac:dyDescent="0.2">
      <c r="H77" s="129"/>
      <c r="I77" s="129"/>
      <c r="J77" s="129"/>
      <c r="K77" s="129"/>
    </row>
    <row r="78" spans="2:16" ht="15" customHeight="1" x14ac:dyDescent="0.2">
      <c r="B78" s="164" t="s">
        <v>169</v>
      </c>
      <c r="H78" s="129"/>
      <c r="I78" s="129"/>
      <c r="J78" s="129"/>
      <c r="K78" s="513" t="s">
        <v>170</v>
      </c>
      <c r="L78" s="513"/>
      <c r="M78" s="513"/>
      <c r="N78" s="513"/>
      <c r="O78" s="513"/>
    </row>
    <row r="79" spans="2:16" ht="15" x14ac:dyDescent="0.2">
      <c r="B79" s="164" t="s">
        <v>171</v>
      </c>
      <c r="H79" s="129"/>
      <c r="I79" s="129"/>
      <c r="J79" s="129"/>
      <c r="K79" s="513"/>
      <c r="L79" s="513"/>
      <c r="M79" s="513"/>
      <c r="N79" s="513"/>
      <c r="O79" s="513"/>
    </row>
    <row r="80" spans="2:16" x14ac:dyDescent="0.2">
      <c r="B80" s="164" t="s">
        <v>172</v>
      </c>
      <c r="K80" s="513"/>
      <c r="L80" s="513"/>
      <c r="M80" s="513"/>
      <c r="N80" s="513"/>
      <c r="O80" s="513"/>
    </row>
    <row r="83" spans="2:15" x14ac:dyDescent="0.2">
      <c r="O83" s="178" t="s">
        <v>176</v>
      </c>
    </row>
    <row r="84" spans="2:15" x14ac:dyDescent="0.2">
      <c r="O84" s="178"/>
    </row>
    <row r="85" spans="2:15" x14ac:dyDescent="0.2">
      <c r="O85" s="178"/>
    </row>
    <row r="86" spans="2:15" x14ac:dyDescent="0.2">
      <c r="B86" s="179" t="s">
        <v>175</v>
      </c>
      <c r="C86" s="179"/>
      <c r="L86" s="179"/>
      <c r="N86" s="179"/>
      <c r="O86" s="178"/>
    </row>
    <row r="88" spans="2:15" x14ac:dyDescent="0.2">
      <c r="D88" s="179"/>
      <c r="E88" s="179"/>
      <c r="F88" s="179"/>
      <c r="G88" s="179"/>
      <c r="H88" s="179"/>
      <c r="I88" s="179"/>
      <c r="J88" s="179"/>
      <c r="K88" s="179"/>
    </row>
  </sheetData>
  <mergeCells count="47">
    <mergeCell ref="K72:O75"/>
    <mergeCell ref="D74:G74"/>
    <mergeCell ref="D76:F76"/>
    <mergeCell ref="L76:O76"/>
    <mergeCell ref="K78:O80"/>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19:F19"/>
    <mergeCell ref="D26:E26"/>
    <mergeCell ref="F26:G26"/>
    <mergeCell ref="H26:I26"/>
    <mergeCell ref="D27:E27"/>
    <mergeCell ref="F27:G27"/>
    <mergeCell ref="H27:I27"/>
    <mergeCell ref="B10:P10"/>
    <mergeCell ref="B13:O13"/>
    <mergeCell ref="B14:O14"/>
    <mergeCell ref="D17:F17"/>
    <mergeCell ref="D18:F18"/>
  </mergeCells>
  <conditionalFormatting sqref="D72">
    <cfRule type="cellIs" dxfId="33" priority="2" operator="equal">
      <formula>"PASS"</formula>
    </cfRule>
    <cfRule type="cellIs" dxfId="32" priority="3" operator="equal">
      <formula>"FAIL"</formula>
    </cfRule>
  </conditionalFormatting>
  <conditionalFormatting sqref="G40">
    <cfRule type="cellIs" dxfId="31" priority="7" operator="greaterThanOrEqual">
      <formula>1.19</formula>
    </cfRule>
    <cfRule type="cellIs" dxfId="30" priority="8" operator="lessThan">
      <formula>1.19</formula>
    </cfRule>
  </conditionalFormatting>
  <conditionalFormatting sqref="K72">
    <cfRule type="cellIs" dxfId="29" priority="5" operator="equal">
      <formula>"FAIL"</formula>
    </cfRule>
    <cfRule type="cellIs" dxfId="28" priority="6" operator="equal">
      <formula>"PASS - VERIFIED"</formula>
    </cfRule>
  </conditionalFormatting>
  <conditionalFormatting sqref="L28:L33">
    <cfRule type="cellIs" dxfId="27" priority="9" operator="between">
      <formula>-0.1</formula>
      <formula>0.1</formula>
    </cfRule>
  </conditionalFormatting>
  <conditionalFormatting sqref="O22">
    <cfRule type="cellIs" dxfId="26" priority="4" operator="greaterThan">
      <formula>0</formula>
    </cfRule>
  </conditionalFormatting>
  <dataValidations count="2">
    <dataValidation type="list" allowBlank="1" showInputMessage="1" showErrorMessage="1" sqref="D72" xr:uid="{00000000-0002-0000-0D00-000000000000}">
      <formula1>"PASS,FAIL"</formula1>
      <formula2>0</formula2>
    </dataValidation>
    <dataValidation type="list" allowBlank="1" showInputMessage="1" showErrorMessage="1" sqref="K72" xr:uid="{00000000-0002-0000-0D00-000001000000}">
      <formula1>"PASS - VERIFIED,FAIL"</formula1>
      <formula2>0</formula2>
    </dataValidation>
  </dataValidations>
  <pageMargins left="0.25" right="0.25" top="0.75" bottom="0.75" header="0.51180555555555496" footer="0.51180555555555496"/>
  <pageSetup paperSize="9" firstPageNumber="0"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2:AMK88"/>
  <sheetViews>
    <sheetView topLeftCell="A46" zoomScale="95" zoomScaleNormal="95" workbookViewId="0">
      <selection activeCell="K78" sqref="K78"/>
    </sheetView>
  </sheetViews>
  <sheetFormatPr defaultRowHeight="12.75" x14ac:dyDescent="0.2"/>
  <cols>
    <col min="1" max="1" width="6" style="3" customWidth="1"/>
    <col min="2" max="2" width="16.7109375" style="3" customWidth="1"/>
    <col min="3" max="3" width="19.7109375" style="3" customWidth="1"/>
    <col min="4" max="4" width="22.140625" style="3" customWidth="1"/>
    <col min="5" max="5" width="7.5703125" style="3" customWidth="1"/>
    <col min="6" max="6" width="16.7109375" style="3" customWidth="1"/>
    <col min="7" max="7" width="5.140625" style="3" customWidth="1"/>
    <col min="8" max="8" width="16.85546875" style="3" customWidth="1"/>
    <col min="9" max="9" width="3.85546875" style="3" customWidth="1"/>
    <col min="10" max="10" width="23.7109375" style="3" customWidth="1"/>
    <col min="11" max="11" width="20.7109375" style="3" customWidth="1"/>
    <col min="12" max="12" width="21" style="3" customWidth="1"/>
    <col min="13" max="13" width="18.85546875" style="3" customWidth="1"/>
    <col min="14" max="14" width="3.28515625" style="3" customWidth="1"/>
    <col min="15" max="15" width="19.28515625" style="3" customWidth="1"/>
    <col min="16" max="16" width="6" style="3" customWidth="1"/>
    <col min="17" max="1025" width="11.5703125" style="3" hidden="1"/>
  </cols>
  <sheetData>
    <row r="2" spans="1:16" ht="14.25" x14ac:dyDescent="0.2">
      <c r="B2" s="127"/>
      <c r="C2" s="128"/>
    </row>
    <row r="3" spans="1:16" ht="14.25" x14ac:dyDescent="0.2">
      <c r="B3" s="127"/>
      <c r="C3" s="128"/>
    </row>
    <row r="4" spans="1:16" ht="14.25" x14ac:dyDescent="0.2">
      <c r="B4" s="127"/>
      <c r="C4" s="128"/>
    </row>
    <row r="5" spans="1:16" ht="14.25" x14ac:dyDescent="0.2">
      <c r="B5" s="127"/>
      <c r="C5" s="128"/>
    </row>
    <row r="6" spans="1:16" ht="14.25" x14ac:dyDescent="0.2">
      <c r="B6" s="127"/>
      <c r="C6" s="128"/>
    </row>
    <row r="7" spans="1:16" ht="15" x14ac:dyDescent="0.2">
      <c r="B7" s="127"/>
      <c r="C7" s="128"/>
      <c r="D7" s="129"/>
    </row>
    <row r="8" spans="1:16" ht="14.25" x14ac:dyDescent="0.2">
      <c r="B8" s="130"/>
      <c r="C8" s="128"/>
    </row>
    <row r="9" spans="1:16" ht="14.25" x14ac:dyDescent="0.2">
      <c r="B9" s="130"/>
      <c r="C9" s="128"/>
    </row>
    <row r="10" spans="1:16" ht="37.5" customHeight="1" x14ac:dyDescent="0.5">
      <c r="B10" s="501" t="s">
        <v>126</v>
      </c>
      <c r="C10" s="501"/>
      <c r="D10" s="501"/>
      <c r="E10" s="501"/>
      <c r="F10" s="501"/>
      <c r="G10" s="501"/>
      <c r="H10" s="501"/>
      <c r="I10" s="501"/>
      <c r="J10" s="501"/>
      <c r="K10" s="501"/>
      <c r="L10" s="501"/>
      <c r="M10" s="501"/>
      <c r="N10" s="501"/>
      <c r="O10" s="501"/>
      <c r="P10" s="501"/>
    </row>
    <row r="11" spans="1:16" ht="21" customHeight="1" x14ac:dyDescent="0.4">
      <c r="B11" s="131"/>
      <c r="C11" s="131"/>
      <c r="D11" s="131"/>
      <c r="E11" s="131"/>
      <c r="F11" s="131"/>
      <c r="G11" s="131"/>
      <c r="H11" s="131"/>
      <c r="I11" s="131"/>
      <c r="J11" s="131"/>
      <c r="K11" s="131"/>
      <c r="L11" s="131"/>
      <c r="M11" s="131"/>
      <c r="N11" s="131"/>
      <c r="O11" s="131"/>
      <c r="P11" s="131"/>
    </row>
    <row r="12" spans="1:16" ht="11.25" customHeight="1" x14ac:dyDescent="0.2"/>
    <row r="13" spans="1:16" ht="60.75" customHeight="1" x14ac:dyDescent="0.2">
      <c r="B13" s="502" t="s">
        <v>127</v>
      </c>
      <c r="C13" s="502"/>
      <c r="D13" s="502"/>
      <c r="E13" s="502"/>
      <c r="F13" s="502"/>
      <c r="G13" s="502"/>
      <c r="H13" s="502"/>
      <c r="I13" s="502"/>
      <c r="J13" s="502"/>
      <c r="K13" s="502"/>
      <c r="L13" s="502"/>
      <c r="M13" s="502"/>
      <c r="N13" s="502"/>
      <c r="O13" s="502"/>
      <c r="P13" s="133"/>
    </row>
    <row r="14" spans="1:16" ht="77.25" customHeight="1" x14ac:dyDescent="0.2">
      <c r="A14" s="134"/>
      <c r="B14" s="502" t="s">
        <v>128</v>
      </c>
      <c r="C14" s="502"/>
      <c r="D14" s="502"/>
      <c r="E14" s="502"/>
      <c r="F14" s="502"/>
      <c r="G14" s="502"/>
      <c r="H14" s="502"/>
      <c r="I14" s="502"/>
      <c r="J14" s="502"/>
      <c r="K14" s="502"/>
      <c r="L14" s="502"/>
      <c r="M14" s="502"/>
      <c r="N14" s="502"/>
      <c r="O14" s="502"/>
      <c r="P14" s="133"/>
    </row>
    <row r="15" spans="1:16" ht="18" x14ac:dyDescent="0.2">
      <c r="A15" s="134"/>
      <c r="B15" s="132"/>
      <c r="C15" s="132"/>
      <c r="D15" s="132"/>
      <c r="E15" s="132"/>
      <c r="F15" s="132"/>
      <c r="G15" s="132"/>
      <c r="H15" s="132"/>
      <c r="I15" s="132"/>
      <c r="J15" s="132"/>
      <c r="K15" s="132"/>
      <c r="L15" s="132"/>
      <c r="M15" s="132"/>
      <c r="N15" s="132"/>
      <c r="O15" s="132"/>
      <c r="P15" s="133"/>
    </row>
    <row r="16" spans="1:16" ht="18" x14ac:dyDescent="0.2">
      <c r="A16" s="134"/>
      <c r="B16" s="135"/>
      <c r="C16" s="135"/>
      <c r="D16" s="133"/>
      <c r="E16" s="133"/>
      <c r="F16" s="135"/>
      <c r="G16" s="135"/>
      <c r="H16" s="135"/>
      <c r="I16" s="135"/>
      <c r="J16" s="135"/>
      <c r="K16" s="135"/>
      <c r="L16" s="135"/>
      <c r="M16" s="135"/>
      <c r="N16" s="135"/>
      <c r="O16" s="135"/>
      <c r="P16" s="135"/>
    </row>
    <row r="17" spans="2:15" ht="25.9" customHeight="1" x14ac:dyDescent="0.25">
      <c r="B17" s="136" t="s">
        <v>129</v>
      </c>
      <c r="C17" s="27"/>
      <c r="D17" s="503">
        <f>'Calibration record'!H6</f>
        <v>11.111121000000001</v>
      </c>
      <c r="E17" s="503"/>
      <c r="F17" s="503"/>
      <c r="K17" s="137" t="s">
        <v>130</v>
      </c>
      <c r="L17" s="138"/>
      <c r="M17" s="138"/>
      <c r="N17" s="139"/>
      <c r="O17" s="180" t="str">
        <f>'Calibration record'!H10</f>
        <v>12798M</v>
      </c>
    </row>
    <row r="18" spans="2:15" ht="25.9" customHeight="1" x14ac:dyDescent="0.25">
      <c r="B18" s="136" t="s">
        <v>131</v>
      </c>
      <c r="C18" s="141"/>
      <c r="D18" s="553" t="str">
        <f>'Calibration record'!H7</f>
        <v>000000204 / 07093-41</v>
      </c>
      <c r="E18" s="553"/>
      <c r="F18" s="553"/>
      <c r="K18" s="143" t="s">
        <v>132</v>
      </c>
      <c r="L18" s="144"/>
      <c r="M18" s="144"/>
      <c r="N18" s="145"/>
      <c r="O18" s="146" t="str">
        <f>'Calibration record'!H8</f>
        <v>08 12 25</v>
      </c>
    </row>
    <row r="19" spans="2:15" ht="25.9" customHeight="1" x14ac:dyDescent="0.25">
      <c r="B19" s="136" t="s">
        <v>133</v>
      </c>
      <c r="C19" s="141"/>
      <c r="D19" s="553" t="str">
        <f>'Calibration record'!H9</f>
        <v>000000204 / 07093-41</v>
      </c>
      <c r="E19" s="553"/>
      <c r="F19" s="553"/>
      <c r="K19" s="137" t="s">
        <v>134</v>
      </c>
      <c r="L19" s="138"/>
      <c r="M19" s="138"/>
      <c r="N19" s="139"/>
      <c r="O19" s="181">
        <f>'Calibration record'!H11</f>
        <v>367</v>
      </c>
    </row>
    <row r="20" spans="2:15" ht="14.25" customHeight="1" x14ac:dyDescent="0.25">
      <c r="B20" s="147"/>
      <c r="D20" s="148"/>
      <c r="E20" s="149"/>
      <c r="K20" s="147"/>
      <c r="L20" s="150"/>
      <c r="M20" s="150"/>
      <c r="N20" s="150"/>
      <c r="O20" s="151"/>
    </row>
    <row r="21" spans="2:15" ht="15.75" x14ac:dyDescent="0.25">
      <c r="B21" s="152" t="s">
        <v>135</v>
      </c>
    </row>
    <row r="22" spans="2:15" ht="15.75" x14ac:dyDescent="0.25">
      <c r="B22" s="152" t="s">
        <v>136</v>
      </c>
      <c r="O22" s="153"/>
    </row>
    <row r="23" spans="2:15" ht="15.75" x14ac:dyDescent="0.25">
      <c r="B23" s="152" t="s">
        <v>137</v>
      </c>
    </row>
    <row r="24" spans="2:15" ht="15.75" x14ac:dyDescent="0.25">
      <c r="B24" s="152"/>
    </row>
    <row r="25" spans="2:15" x14ac:dyDescent="0.2">
      <c r="B25" s="154"/>
    </row>
    <row r="26" spans="2:15" s="155" customFormat="1" ht="67.5" customHeight="1" x14ac:dyDescent="0.2">
      <c r="D26" s="508" t="s">
        <v>138</v>
      </c>
      <c r="E26" s="508"/>
      <c r="F26" s="508" t="s">
        <v>139</v>
      </c>
      <c r="G26" s="508"/>
      <c r="H26" s="508" t="s">
        <v>140</v>
      </c>
      <c r="I26" s="508"/>
      <c r="J26" s="156" t="s">
        <v>141</v>
      </c>
      <c r="K26" s="156" t="s">
        <v>142</v>
      </c>
      <c r="L26" s="156" t="s">
        <v>143</v>
      </c>
    </row>
    <row r="27" spans="2:15" s="157" customFormat="1" ht="25.9" customHeight="1" x14ac:dyDescent="0.2">
      <c r="D27" s="509" t="s">
        <v>144</v>
      </c>
      <c r="E27" s="509"/>
      <c r="F27" s="509" t="s">
        <v>145</v>
      </c>
      <c r="G27" s="509"/>
      <c r="H27" s="509" t="s">
        <v>146</v>
      </c>
      <c r="I27" s="509"/>
      <c r="J27" s="158" t="s">
        <v>146</v>
      </c>
      <c r="K27" s="158" t="s">
        <v>146</v>
      </c>
      <c r="L27" s="158" t="s">
        <v>147</v>
      </c>
    </row>
    <row r="28" spans="2:15" s="157" customFormat="1" ht="25.9" customHeight="1" x14ac:dyDescent="0.2">
      <c r="D28" s="505" t="s">
        <v>148</v>
      </c>
      <c r="E28" s="505"/>
      <c r="F28" s="506">
        <f>'Calibration record'!B16</f>
        <v>134</v>
      </c>
      <c r="G28" s="506"/>
      <c r="H28" s="507">
        <f>'Calibration record'!B22</f>
        <v>3481812.2857142859</v>
      </c>
      <c r="I28" s="507"/>
      <c r="J28" s="182">
        <f>'Calibration record'!I22</f>
        <v>3515052.3333333335</v>
      </c>
      <c r="K28" s="159">
        <f t="shared" ref="K28:K33" si="0">J28-H28</f>
        <v>33240.047619047575</v>
      </c>
      <c r="L28" s="160">
        <f>'Calibration record'!J22</f>
        <v>9.5467661353916024E-3</v>
      </c>
    </row>
    <row r="29" spans="2:15" s="157" customFormat="1" ht="25.9" customHeight="1" x14ac:dyDescent="0.2">
      <c r="D29" s="505" t="s">
        <v>149</v>
      </c>
      <c r="E29" s="505"/>
      <c r="F29" s="506">
        <f>'Calibration record'!C16</f>
        <v>324</v>
      </c>
      <c r="G29" s="506"/>
      <c r="H29" s="507">
        <f>'Calibration record'!B23</f>
        <v>1368160.8571428573</v>
      </c>
      <c r="I29" s="507"/>
      <c r="J29" s="182">
        <f>'Calibration record'!I23</f>
        <v>1388815.3333333333</v>
      </c>
      <c r="K29" s="159">
        <f t="shared" si="0"/>
        <v>20654.47619047598</v>
      </c>
      <c r="L29" s="160">
        <f>'Calibration record'!J23</f>
        <v>1.509652617427523E-2</v>
      </c>
    </row>
    <row r="30" spans="2:15" s="157" customFormat="1" ht="25.9" customHeight="1" x14ac:dyDescent="0.2">
      <c r="D30" s="505" t="s">
        <v>150</v>
      </c>
      <c r="E30" s="505"/>
      <c r="F30" s="506">
        <f>'Calibration record'!D16</f>
        <v>1886</v>
      </c>
      <c r="G30" s="506"/>
      <c r="H30" s="507">
        <f>'Calibration record'!B24</f>
        <v>97342.21714285716</v>
      </c>
      <c r="I30" s="507"/>
      <c r="J30" s="182">
        <f>'Calibration record'!I24</f>
        <v>98910</v>
      </c>
      <c r="K30" s="159">
        <f t="shared" si="0"/>
        <v>1567.7828571428399</v>
      </c>
      <c r="L30" s="160">
        <f>'Calibration record'!J24</f>
        <v>1.6105888104459329E-2</v>
      </c>
    </row>
    <row r="31" spans="2:15" s="157" customFormat="1" ht="25.9" customHeight="1" x14ac:dyDescent="0.2">
      <c r="D31" s="505" t="s">
        <v>151</v>
      </c>
      <c r="E31" s="505"/>
      <c r="F31" s="506">
        <f>'Calibration record'!E16</f>
        <v>4122</v>
      </c>
      <c r="G31" s="506"/>
      <c r="H31" s="507">
        <f>'Calibration record'!B25</f>
        <v>24221.302857142859</v>
      </c>
      <c r="I31" s="507"/>
      <c r="J31" s="182">
        <f>'Calibration record'!I25</f>
        <v>24523</v>
      </c>
      <c r="K31" s="159">
        <f t="shared" si="0"/>
        <v>301.69714285714144</v>
      </c>
      <c r="L31" s="160">
        <f>'Calibration record'!J25</f>
        <v>1.2455859399329174E-2</v>
      </c>
    </row>
    <row r="32" spans="2:15" s="157" customFormat="1" ht="25.9" customHeight="1" x14ac:dyDescent="0.2">
      <c r="D32" s="505" t="s">
        <v>152</v>
      </c>
      <c r="E32" s="505"/>
      <c r="F32" s="506">
        <f>'Calibration record'!F16</f>
        <v>6566</v>
      </c>
      <c r="G32" s="506"/>
      <c r="H32" s="507">
        <f>'Calibration record'!B26</f>
        <v>11396.58</v>
      </c>
      <c r="I32" s="507"/>
      <c r="J32" s="182">
        <f>'Calibration record'!I26</f>
        <v>11296</v>
      </c>
      <c r="K32" s="159">
        <f t="shared" si="0"/>
        <v>-100.57999999999993</v>
      </c>
      <c r="L32" s="160">
        <f>'Calibration record'!J26</f>
        <v>-8.8254546539400357E-3</v>
      </c>
    </row>
    <row r="33" spans="2:12" s="157" customFormat="1" ht="25.9" customHeight="1" x14ac:dyDescent="0.2">
      <c r="D33" s="505" t="s">
        <v>153</v>
      </c>
      <c r="E33" s="505"/>
      <c r="F33" s="506">
        <f>'Calibration record'!G16</f>
        <v>15500</v>
      </c>
      <c r="G33" s="506"/>
      <c r="H33" s="507">
        <f>'Calibration record'!B27</f>
        <v>1788.6061142857141</v>
      </c>
      <c r="I33" s="507"/>
      <c r="J33" s="182">
        <f>'Calibration record'!I27</f>
        <v>1652</v>
      </c>
      <c r="K33" s="159">
        <f t="shared" si="0"/>
        <v>-136.60611428571406</v>
      </c>
      <c r="L33" s="160">
        <f>'Calibration record'!J27</f>
        <v>-7.6375739294768194E-2</v>
      </c>
    </row>
    <row r="34" spans="2:12" s="157" customFormat="1" ht="25.9" customHeight="1" x14ac:dyDescent="0.2">
      <c r="D34" s="505" t="s">
        <v>154</v>
      </c>
      <c r="E34" s="505"/>
      <c r="F34" s="506">
        <f>'Calibration record'!H16</f>
        <v>22008</v>
      </c>
      <c r="G34" s="506"/>
      <c r="H34" s="507">
        <f>'Calibration record'!B28</f>
        <v>690.6498857142858</v>
      </c>
      <c r="I34" s="507"/>
      <c r="J34" s="182">
        <f>'Calibration record'!I28</f>
        <v>484.66666666666669</v>
      </c>
      <c r="K34" s="159" t="s">
        <v>101</v>
      </c>
      <c r="L34" s="161" t="s">
        <v>101</v>
      </c>
    </row>
    <row r="35" spans="2:12" s="150" customFormat="1" ht="25.9" customHeight="1" x14ac:dyDescent="0.25">
      <c r="D35" s="505" t="s">
        <v>155</v>
      </c>
      <c r="E35" s="505"/>
      <c r="F35" s="510">
        <f>'Calibration record'!I16</f>
        <v>32390</v>
      </c>
      <c r="G35" s="510"/>
      <c r="H35" s="507">
        <f>'Calibration record'!B29</f>
        <v>159.952</v>
      </c>
      <c r="I35" s="507"/>
      <c r="J35" s="182">
        <f>'Calibration record'!I29</f>
        <v>59</v>
      </c>
      <c r="K35" s="159" t="s">
        <v>101</v>
      </c>
      <c r="L35" s="161" t="s">
        <v>101</v>
      </c>
    </row>
    <row r="36" spans="2:12" ht="20.25" x14ac:dyDescent="0.3">
      <c r="D36" s="162" t="s">
        <v>156</v>
      </c>
      <c r="E36" s="163"/>
      <c r="F36" s="163"/>
      <c r="G36" s="163"/>
      <c r="H36" s="163"/>
      <c r="I36" s="163"/>
      <c r="J36" s="163"/>
      <c r="K36" s="163"/>
    </row>
    <row r="37" spans="2:12" ht="20.25" x14ac:dyDescent="0.3">
      <c r="B37" s="164"/>
      <c r="D37" s="163"/>
      <c r="E37" s="163"/>
      <c r="F37" s="163"/>
      <c r="G37" s="163"/>
      <c r="H37" s="163"/>
      <c r="I37" s="163"/>
      <c r="J37" s="163"/>
      <c r="K37" s="163"/>
    </row>
    <row r="38" spans="2:12" ht="81" customHeight="1" x14ac:dyDescent="0.2">
      <c r="B38" s="164"/>
      <c r="D38" s="156" t="s">
        <v>157</v>
      </c>
      <c r="E38" s="508" t="s">
        <v>158</v>
      </c>
      <c r="F38" s="508"/>
      <c r="G38" s="508" t="s">
        <v>159</v>
      </c>
      <c r="H38" s="508"/>
      <c r="I38" s="157"/>
      <c r="J38" s="132"/>
      <c r="K38" s="132"/>
      <c r="L38" s="132"/>
    </row>
    <row r="39" spans="2:12" ht="25.9" customHeight="1" x14ac:dyDescent="0.2">
      <c r="B39" s="164"/>
      <c r="D39" s="158" t="s">
        <v>145</v>
      </c>
      <c r="E39" s="509" t="s">
        <v>145</v>
      </c>
      <c r="F39" s="509"/>
      <c r="G39" s="509" t="s">
        <v>160</v>
      </c>
      <c r="H39" s="509"/>
      <c r="I39" s="165"/>
      <c r="J39" s="166"/>
      <c r="K39" s="166"/>
      <c r="L39" s="166"/>
    </row>
    <row r="40" spans="2:12" ht="25.9" customHeight="1" x14ac:dyDescent="0.2">
      <c r="B40" s="164"/>
      <c r="D40" s="167">
        <f>'Calibration record'!B9</f>
        <v>61</v>
      </c>
      <c r="E40" s="511">
        <f>F28-D40</f>
        <v>73</v>
      </c>
      <c r="F40" s="511"/>
      <c r="G40" s="512">
        <f>F28/D40</f>
        <v>2.1967213114754101</v>
      </c>
      <c r="H40" s="512"/>
      <c r="I40" s="165"/>
      <c r="J40" s="168"/>
      <c r="K40" s="169"/>
      <c r="L40" s="170"/>
    </row>
    <row r="41" spans="2:12" x14ac:dyDescent="0.2">
      <c r="B41" s="164"/>
    </row>
    <row r="42" spans="2:12" x14ac:dyDescent="0.2">
      <c r="B42" s="164"/>
    </row>
    <row r="43" spans="2:12" x14ac:dyDescent="0.2">
      <c r="B43" s="164"/>
    </row>
    <row r="44" spans="2:12" x14ac:dyDescent="0.2">
      <c r="B44" s="164"/>
    </row>
    <row r="45" spans="2:12" x14ac:dyDescent="0.2">
      <c r="B45" s="164"/>
    </row>
    <row r="46" spans="2:12" x14ac:dyDescent="0.2">
      <c r="B46" s="164"/>
    </row>
    <row r="47" spans="2:12" x14ac:dyDescent="0.2">
      <c r="B47" s="164"/>
    </row>
    <row r="48" spans="2:12" x14ac:dyDescent="0.2">
      <c r="B48" s="164"/>
    </row>
    <row r="49" spans="2:2" x14ac:dyDescent="0.2">
      <c r="B49" s="164"/>
    </row>
    <row r="50" spans="2:2" x14ac:dyDescent="0.2">
      <c r="B50" s="164"/>
    </row>
    <row r="51" spans="2:2" x14ac:dyDescent="0.2">
      <c r="B51" s="164"/>
    </row>
    <row r="52" spans="2:2" x14ac:dyDescent="0.2">
      <c r="B52" s="164"/>
    </row>
    <row r="53" spans="2:2" x14ac:dyDescent="0.2">
      <c r="B53" s="164"/>
    </row>
    <row r="54" spans="2:2" x14ac:dyDescent="0.2">
      <c r="B54" s="164"/>
    </row>
    <row r="55" spans="2:2" x14ac:dyDescent="0.2">
      <c r="B55" s="164"/>
    </row>
    <row r="56" spans="2:2" x14ac:dyDescent="0.2">
      <c r="B56" s="164"/>
    </row>
    <row r="57" spans="2:2" x14ac:dyDescent="0.2">
      <c r="B57" s="164"/>
    </row>
    <row r="58" spans="2:2" x14ac:dyDescent="0.2">
      <c r="B58" s="164"/>
    </row>
    <row r="59" spans="2:2" x14ac:dyDescent="0.2">
      <c r="B59" s="164"/>
    </row>
    <row r="60" spans="2:2" x14ac:dyDescent="0.2">
      <c r="B60" s="164"/>
    </row>
    <row r="61" spans="2:2" x14ac:dyDescent="0.2">
      <c r="B61" s="164"/>
    </row>
    <row r="62" spans="2:2" x14ac:dyDescent="0.2">
      <c r="B62" s="164"/>
    </row>
    <row r="63" spans="2:2" x14ac:dyDescent="0.2">
      <c r="B63" s="164"/>
    </row>
    <row r="64" spans="2:2" x14ac:dyDescent="0.2">
      <c r="B64" s="164"/>
    </row>
    <row r="65" spans="2:16" x14ac:dyDescent="0.2">
      <c r="B65" s="164"/>
    </row>
    <row r="66" spans="2:16" x14ac:dyDescent="0.2">
      <c r="B66" s="164"/>
    </row>
    <row r="67" spans="2:16" x14ac:dyDescent="0.2">
      <c r="B67" s="164"/>
    </row>
    <row r="68" spans="2:16" x14ac:dyDescent="0.2">
      <c r="B68" s="164"/>
    </row>
    <row r="69" spans="2:16" x14ac:dyDescent="0.2">
      <c r="B69" s="171"/>
      <c r="C69" s="172"/>
      <c r="D69" s="172"/>
      <c r="E69" s="172"/>
      <c r="F69" s="172"/>
      <c r="G69" s="172"/>
      <c r="H69" s="172"/>
      <c r="I69" s="172"/>
      <c r="J69" s="172"/>
      <c r="K69" s="172"/>
      <c r="L69" s="172"/>
      <c r="M69" s="172"/>
      <c r="N69" s="172"/>
      <c r="O69" s="172"/>
      <c r="P69" s="172"/>
    </row>
    <row r="70" spans="2:16" x14ac:dyDescent="0.2">
      <c r="B70" s="164"/>
    </row>
    <row r="71" spans="2:16" ht="25.9" customHeight="1" x14ac:dyDescent="0.2"/>
    <row r="72" spans="2:16" s="129" customFormat="1" ht="25.9" customHeight="1" x14ac:dyDescent="0.2">
      <c r="B72" s="173" t="s">
        <v>161</v>
      </c>
      <c r="C72" s="174"/>
      <c r="D72" s="175" t="s">
        <v>162</v>
      </c>
      <c r="H72" s="3"/>
      <c r="I72" s="3"/>
      <c r="K72" s="514" t="s">
        <v>163</v>
      </c>
      <c r="L72" s="514"/>
      <c r="M72" s="514"/>
      <c r="N72" s="514"/>
      <c r="O72" s="514"/>
    </row>
    <row r="73" spans="2:16" s="129" customFormat="1" ht="25.9" customHeight="1" x14ac:dyDescent="0.2">
      <c r="H73" s="3"/>
      <c r="I73" s="3"/>
      <c r="K73" s="514"/>
      <c r="L73" s="514"/>
      <c r="M73" s="514"/>
      <c r="N73" s="514"/>
      <c r="O73" s="514"/>
    </row>
    <row r="74" spans="2:16" s="129" customFormat="1" ht="25.9" customHeight="1" x14ac:dyDescent="0.2">
      <c r="B74" s="173" t="s">
        <v>164</v>
      </c>
      <c r="C74" s="174"/>
      <c r="D74" s="515" t="s">
        <v>165</v>
      </c>
      <c r="E74" s="515"/>
      <c r="F74" s="515"/>
      <c r="G74" s="515"/>
      <c r="H74" s="3"/>
      <c r="I74" s="3"/>
      <c r="K74" s="514"/>
      <c r="L74" s="514"/>
      <c r="M74" s="514"/>
      <c r="N74" s="514"/>
      <c r="O74" s="514"/>
    </row>
    <row r="75" spans="2:16" s="129" customFormat="1" ht="25.9" customHeight="1" x14ac:dyDescent="0.2">
      <c r="K75" s="514"/>
      <c r="L75" s="514"/>
      <c r="M75" s="514"/>
      <c r="N75" s="514"/>
      <c r="O75" s="514"/>
    </row>
    <row r="76" spans="2:16" s="129" customFormat="1" ht="25.9" customHeight="1" x14ac:dyDescent="0.2">
      <c r="B76" s="173" t="s">
        <v>166</v>
      </c>
      <c r="C76" s="174"/>
      <c r="D76" s="516" t="str">
        <f>'Calibration record'!H12</f>
        <v>J Scarrott</v>
      </c>
      <c r="E76" s="516"/>
      <c r="F76" s="516"/>
      <c r="K76" s="176" t="s">
        <v>167</v>
      </c>
      <c r="L76" s="517" t="s">
        <v>168</v>
      </c>
      <c r="M76" s="517"/>
      <c r="N76" s="517"/>
      <c r="O76" s="517"/>
      <c r="P76" s="177"/>
    </row>
    <row r="77" spans="2:16" ht="25.9" customHeight="1" x14ac:dyDescent="0.2">
      <c r="H77" s="129"/>
      <c r="I77" s="129"/>
      <c r="J77" s="129"/>
      <c r="K77" s="129"/>
    </row>
    <row r="78" spans="2:16" ht="15" customHeight="1" x14ac:dyDescent="0.2">
      <c r="B78" s="164" t="s">
        <v>169</v>
      </c>
      <c r="H78" s="129"/>
      <c r="I78" s="129"/>
      <c r="J78" s="129"/>
      <c r="K78" s="513" t="s">
        <v>170</v>
      </c>
      <c r="L78" s="513"/>
      <c r="M78" s="513"/>
      <c r="N78" s="513"/>
      <c r="O78" s="513"/>
    </row>
    <row r="79" spans="2:16" ht="15" x14ac:dyDescent="0.2">
      <c r="B79" s="164" t="s">
        <v>171</v>
      </c>
      <c r="H79" s="129"/>
      <c r="I79" s="129"/>
      <c r="J79" s="129"/>
      <c r="K79" s="513"/>
      <c r="L79" s="513"/>
      <c r="M79" s="513"/>
      <c r="N79" s="513"/>
      <c r="O79" s="513"/>
    </row>
    <row r="80" spans="2:16" x14ac:dyDescent="0.2">
      <c r="B80" s="164" t="s">
        <v>172</v>
      </c>
      <c r="K80" s="513"/>
      <c r="L80" s="513"/>
      <c r="M80" s="513"/>
      <c r="N80" s="513"/>
      <c r="O80" s="513"/>
    </row>
    <row r="83" spans="2:15" x14ac:dyDescent="0.2">
      <c r="O83" s="178" t="s">
        <v>176</v>
      </c>
    </row>
    <row r="84" spans="2:15" x14ac:dyDescent="0.2">
      <c r="O84" s="178"/>
    </row>
    <row r="85" spans="2:15" x14ac:dyDescent="0.2">
      <c r="O85" s="178"/>
    </row>
    <row r="86" spans="2:15" x14ac:dyDescent="0.2">
      <c r="B86" s="179" t="s">
        <v>175</v>
      </c>
      <c r="C86" s="179"/>
      <c r="L86" s="179"/>
      <c r="N86" s="179"/>
      <c r="O86" s="178"/>
    </row>
    <row r="88" spans="2:15" x14ac:dyDescent="0.2">
      <c r="D88" s="179"/>
      <c r="E88" s="179"/>
      <c r="F88" s="179"/>
      <c r="G88" s="179"/>
      <c r="H88" s="179"/>
      <c r="I88" s="179"/>
      <c r="J88" s="179"/>
      <c r="K88" s="179"/>
    </row>
  </sheetData>
  <mergeCells count="47">
    <mergeCell ref="K72:O75"/>
    <mergeCell ref="D74:G74"/>
    <mergeCell ref="D76:F76"/>
    <mergeCell ref="L76:O76"/>
    <mergeCell ref="K78:O80"/>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19:F19"/>
    <mergeCell ref="D26:E26"/>
    <mergeCell ref="F26:G26"/>
    <mergeCell ref="H26:I26"/>
    <mergeCell ref="D27:E27"/>
    <mergeCell ref="F27:G27"/>
    <mergeCell ref="H27:I27"/>
    <mergeCell ref="B10:P10"/>
    <mergeCell ref="B13:O13"/>
    <mergeCell ref="B14:O14"/>
    <mergeCell ref="D17:F17"/>
    <mergeCell ref="D18:F18"/>
  </mergeCells>
  <conditionalFormatting sqref="D72">
    <cfRule type="cellIs" dxfId="25" priority="2" operator="equal">
      <formula>"PASS"</formula>
    </cfRule>
    <cfRule type="cellIs" dxfId="24" priority="3" operator="equal">
      <formula>"FAIL"</formula>
    </cfRule>
  </conditionalFormatting>
  <conditionalFormatting sqref="G40">
    <cfRule type="cellIs" dxfId="23" priority="7" operator="greaterThanOrEqual">
      <formula>1.19</formula>
    </cfRule>
    <cfRule type="cellIs" dxfId="22" priority="8" operator="lessThan">
      <formula>1.19</formula>
    </cfRule>
  </conditionalFormatting>
  <conditionalFormatting sqref="K72">
    <cfRule type="cellIs" dxfId="21" priority="5" operator="equal">
      <formula>"FAIL"</formula>
    </cfRule>
    <cfRule type="cellIs" dxfId="20" priority="6" operator="equal">
      <formula>"PASS - VERIFIED"</formula>
    </cfRule>
  </conditionalFormatting>
  <conditionalFormatting sqref="L28:L33">
    <cfRule type="cellIs" dxfId="19" priority="9" operator="between">
      <formula>-0.1</formula>
      <formula>0.1</formula>
    </cfRule>
  </conditionalFormatting>
  <conditionalFormatting sqref="O22">
    <cfRule type="cellIs" dxfId="18" priority="4" operator="greaterThan">
      <formula>0</formula>
    </cfRule>
  </conditionalFormatting>
  <dataValidations count="2">
    <dataValidation type="list" allowBlank="1" showInputMessage="1" showErrorMessage="1" sqref="D72" xr:uid="{00000000-0002-0000-0E00-000000000000}">
      <formula1>"PASS,FAIL"</formula1>
      <formula2>0</formula2>
    </dataValidation>
    <dataValidation type="list" allowBlank="1" showInputMessage="1" showErrorMessage="1" sqref="K72" xr:uid="{00000000-0002-0000-0E00-000001000000}">
      <formula1>"PASS - VERIFIED,FAIL"</formula1>
      <formula2>0</formula2>
    </dataValidation>
  </dataValidations>
  <pageMargins left="0.25" right="0.25" top="0.75" bottom="0.75" header="0.51180555555555496" footer="0.51180555555555496"/>
  <pageSetup paperSize="9" firstPageNumber="0"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2:AMK88"/>
  <sheetViews>
    <sheetView zoomScale="95" zoomScaleNormal="95" workbookViewId="0">
      <selection activeCell="K78" sqref="K78"/>
    </sheetView>
  </sheetViews>
  <sheetFormatPr defaultRowHeight="12.75" x14ac:dyDescent="0.2"/>
  <cols>
    <col min="1" max="1" width="6" style="3" customWidth="1"/>
    <col min="2" max="2" width="16.7109375" style="3" customWidth="1"/>
    <col min="3" max="3" width="19.7109375" style="3" customWidth="1"/>
    <col min="4" max="4" width="22.140625" style="3" customWidth="1"/>
    <col min="5" max="5" width="7.5703125" style="3" customWidth="1"/>
    <col min="6" max="6" width="16.7109375" style="3" customWidth="1"/>
    <col min="7" max="7" width="5.140625" style="3" customWidth="1"/>
    <col min="8" max="8" width="16.85546875" style="3" customWidth="1"/>
    <col min="9" max="9" width="3.85546875" style="3" customWidth="1"/>
    <col min="10" max="10" width="23.7109375" style="3" customWidth="1"/>
    <col min="11" max="11" width="20.7109375" style="3" customWidth="1"/>
    <col min="12" max="12" width="21" style="3" customWidth="1"/>
    <col min="13" max="13" width="18.85546875" style="3" customWidth="1"/>
    <col min="14" max="14" width="3.28515625" style="3" customWidth="1"/>
    <col min="15" max="15" width="19.28515625" style="3" customWidth="1"/>
    <col min="16" max="16" width="6" style="3" customWidth="1"/>
    <col min="17" max="1025" width="11.5703125" style="3" hidden="1"/>
  </cols>
  <sheetData>
    <row r="2" spans="1:16" ht="14.25" x14ac:dyDescent="0.2">
      <c r="B2" s="127" t="s">
        <v>119</v>
      </c>
      <c r="C2" s="128"/>
    </row>
    <row r="3" spans="1:16" ht="14.25" x14ac:dyDescent="0.2">
      <c r="B3" s="127" t="s">
        <v>120</v>
      </c>
      <c r="C3" s="128"/>
    </row>
    <row r="4" spans="1:16" ht="14.25" x14ac:dyDescent="0.2">
      <c r="B4" s="127" t="s">
        <v>121</v>
      </c>
      <c r="C4" s="128"/>
    </row>
    <row r="5" spans="1:16" ht="14.25" x14ac:dyDescent="0.2">
      <c r="B5" s="127" t="s">
        <v>122</v>
      </c>
      <c r="C5" s="128"/>
    </row>
    <row r="6" spans="1:16" ht="14.25" x14ac:dyDescent="0.2">
      <c r="B6" s="127" t="s">
        <v>123</v>
      </c>
      <c r="C6" s="128"/>
    </row>
    <row r="7" spans="1:16" ht="15" x14ac:dyDescent="0.2">
      <c r="B7" s="127" t="s">
        <v>124</v>
      </c>
      <c r="C7" s="128"/>
      <c r="D7" s="129"/>
    </row>
    <row r="8" spans="1:16" ht="14.25" x14ac:dyDescent="0.2">
      <c r="B8" s="130" t="s">
        <v>125</v>
      </c>
      <c r="C8" s="128"/>
    </row>
    <row r="9" spans="1:16" ht="14.25" x14ac:dyDescent="0.2">
      <c r="B9" s="130"/>
      <c r="C9" s="128"/>
    </row>
    <row r="10" spans="1:16" ht="37.5" customHeight="1" x14ac:dyDescent="0.5">
      <c r="B10" s="501" t="s">
        <v>126</v>
      </c>
      <c r="C10" s="501"/>
      <c r="D10" s="501"/>
      <c r="E10" s="501"/>
      <c r="F10" s="501"/>
      <c r="G10" s="501"/>
      <c r="H10" s="501"/>
      <c r="I10" s="501"/>
      <c r="J10" s="501"/>
      <c r="K10" s="501"/>
      <c r="L10" s="501"/>
      <c r="M10" s="501"/>
      <c r="N10" s="501"/>
      <c r="O10" s="501"/>
      <c r="P10" s="501"/>
    </row>
    <row r="11" spans="1:16" ht="21" customHeight="1" x14ac:dyDescent="0.4">
      <c r="B11" s="131"/>
      <c r="C11" s="131"/>
      <c r="D11" s="131"/>
      <c r="E11" s="131"/>
      <c r="F11" s="131"/>
      <c r="G11" s="131"/>
      <c r="H11" s="131"/>
      <c r="I11" s="131"/>
      <c r="J11" s="131"/>
      <c r="K11" s="131"/>
      <c r="L11" s="131"/>
      <c r="M11" s="131"/>
      <c r="N11" s="131"/>
      <c r="O11" s="131"/>
      <c r="P11" s="131"/>
    </row>
    <row r="12" spans="1:16" ht="11.25" customHeight="1" x14ac:dyDescent="0.2"/>
    <row r="13" spans="1:16" ht="60.75" customHeight="1" x14ac:dyDescent="0.2">
      <c r="B13" s="502" t="s">
        <v>127</v>
      </c>
      <c r="C13" s="502"/>
      <c r="D13" s="502"/>
      <c r="E13" s="502"/>
      <c r="F13" s="502"/>
      <c r="G13" s="502"/>
      <c r="H13" s="502"/>
      <c r="I13" s="502"/>
      <c r="J13" s="502"/>
      <c r="K13" s="502"/>
      <c r="L13" s="502"/>
      <c r="M13" s="502"/>
      <c r="N13" s="502"/>
      <c r="O13" s="502"/>
      <c r="P13" s="133"/>
    </row>
    <row r="14" spans="1:16" ht="77.25" customHeight="1" x14ac:dyDescent="0.2">
      <c r="A14" s="134"/>
      <c r="B14" s="502" t="s">
        <v>128</v>
      </c>
      <c r="C14" s="502"/>
      <c r="D14" s="502"/>
      <c r="E14" s="502"/>
      <c r="F14" s="502"/>
      <c r="G14" s="502"/>
      <c r="H14" s="502"/>
      <c r="I14" s="502"/>
      <c r="J14" s="502"/>
      <c r="K14" s="502"/>
      <c r="L14" s="502"/>
      <c r="M14" s="502"/>
      <c r="N14" s="502"/>
      <c r="O14" s="502"/>
      <c r="P14" s="133"/>
    </row>
    <row r="15" spans="1:16" ht="18" x14ac:dyDescent="0.2">
      <c r="A15" s="134"/>
      <c r="B15" s="132"/>
      <c r="C15" s="132"/>
      <c r="D15" s="132"/>
      <c r="E15" s="132"/>
      <c r="F15" s="132"/>
      <c r="G15" s="132"/>
      <c r="H15" s="132"/>
      <c r="I15" s="132"/>
      <c r="J15" s="132"/>
      <c r="K15" s="132"/>
      <c r="L15" s="132"/>
      <c r="M15" s="132"/>
      <c r="N15" s="132"/>
      <c r="O15" s="132"/>
      <c r="P15" s="133"/>
    </row>
    <row r="16" spans="1:16" ht="18" x14ac:dyDescent="0.2">
      <c r="A16" s="134"/>
      <c r="B16" s="135"/>
      <c r="C16" s="135"/>
      <c r="D16" s="133"/>
      <c r="E16" s="133"/>
      <c r="F16" s="135"/>
      <c r="G16" s="135"/>
      <c r="H16" s="135"/>
      <c r="I16" s="135"/>
      <c r="J16" s="135"/>
      <c r="K16" s="135"/>
      <c r="L16" s="135"/>
      <c r="M16" s="135"/>
      <c r="N16" s="135"/>
      <c r="O16" s="135"/>
      <c r="P16" s="135"/>
    </row>
    <row r="17" spans="2:15" ht="25.9" customHeight="1" x14ac:dyDescent="0.25">
      <c r="B17" s="136" t="s">
        <v>129</v>
      </c>
      <c r="C17" s="27"/>
      <c r="D17" s="503">
        <f>'Calibration record'!H6</f>
        <v>11.111121000000001</v>
      </c>
      <c r="E17" s="503"/>
      <c r="F17" s="503"/>
      <c r="K17" s="137" t="s">
        <v>130</v>
      </c>
      <c r="L17" s="138"/>
      <c r="M17" s="138"/>
      <c r="N17" s="139"/>
      <c r="O17" s="180" t="str">
        <f>'Calibration record'!H10</f>
        <v>12798M</v>
      </c>
    </row>
    <row r="18" spans="2:15" ht="25.9" customHeight="1" x14ac:dyDescent="0.25">
      <c r="B18" s="136" t="s">
        <v>131</v>
      </c>
      <c r="C18" s="141"/>
      <c r="D18" s="553" t="str">
        <f>'Calibration record'!H7</f>
        <v>000000204 / 07093-41</v>
      </c>
      <c r="E18" s="553"/>
      <c r="F18" s="553"/>
      <c r="K18" s="143" t="s">
        <v>132</v>
      </c>
      <c r="L18" s="144"/>
      <c r="M18" s="144"/>
      <c r="N18" s="145"/>
      <c r="O18" s="146" t="str">
        <f>'Calibration record'!H8</f>
        <v>08 12 25</v>
      </c>
    </row>
    <row r="19" spans="2:15" ht="25.9" customHeight="1" x14ac:dyDescent="0.25">
      <c r="B19" s="136" t="s">
        <v>133</v>
      </c>
      <c r="C19" s="141"/>
      <c r="D19" s="553" t="str">
        <f>'Calibration record'!H9</f>
        <v>000000204 / 07093-41</v>
      </c>
      <c r="E19" s="553"/>
      <c r="F19" s="553"/>
      <c r="K19" s="137" t="s">
        <v>134</v>
      </c>
      <c r="L19" s="138"/>
      <c r="M19" s="138"/>
      <c r="N19" s="139"/>
      <c r="O19" s="181">
        <f>'Calibration record'!H11</f>
        <v>367</v>
      </c>
    </row>
    <row r="20" spans="2:15" ht="14.25" customHeight="1" x14ac:dyDescent="0.2">
      <c r="B20" s="147"/>
      <c r="D20" s="148"/>
      <c r="E20" s="149"/>
      <c r="K20" s="554" t="s">
        <v>178</v>
      </c>
      <c r="L20" s="554"/>
      <c r="M20" s="554"/>
      <c r="N20" s="554"/>
      <c r="O20" s="555" t="s">
        <v>179</v>
      </c>
    </row>
    <row r="21" spans="2:15" ht="15.75" x14ac:dyDescent="0.25">
      <c r="B21" s="152" t="s">
        <v>135</v>
      </c>
      <c r="K21" s="554"/>
      <c r="L21" s="554"/>
      <c r="M21" s="554"/>
      <c r="N21" s="554"/>
      <c r="O21" s="555"/>
    </row>
    <row r="22" spans="2:15" ht="15.75" x14ac:dyDescent="0.25">
      <c r="B22" s="152" t="s">
        <v>136</v>
      </c>
      <c r="O22" s="153"/>
    </row>
    <row r="23" spans="2:15" ht="15.75" x14ac:dyDescent="0.25">
      <c r="B23" s="152" t="s">
        <v>137</v>
      </c>
    </row>
    <row r="24" spans="2:15" ht="15.75" x14ac:dyDescent="0.25">
      <c r="B24" s="152"/>
    </row>
    <row r="25" spans="2:15" x14ac:dyDescent="0.2">
      <c r="B25" s="154"/>
    </row>
    <row r="26" spans="2:15" s="155" customFormat="1" ht="67.5" customHeight="1" x14ac:dyDescent="0.2">
      <c r="D26" s="508" t="s">
        <v>138</v>
      </c>
      <c r="E26" s="508"/>
      <c r="F26" s="508" t="s">
        <v>139</v>
      </c>
      <c r="G26" s="508"/>
      <c r="H26" s="508" t="s">
        <v>140</v>
      </c>
      <c r="I26" s="508"/>
      <c r="J26" s="156" t="s">
        <v>141</v>
      </c>
      <c r="K26" s="156" t="s">
        <v>142</v>
      </c>
      <c r="L26" s="156" t="s">
        <v>143</v>
      </c>
    </row>
    <row r="27" spans="2:15" s="157" customFormat="1" ht="25.9" customHeight="1" x14ac:dyDescent="0.2">
      <c r="D27" s="509" t="s">
        <v>144</v>
      </c>
      <c r="E27" s="509"/>
      <c r="F27" s="509" t="s">
        <v>145</v>
      </c>
      <c r="G27" s="509"/>
      <c r="H27" s="509" t="s">
        <v>146</v>
      </c>
      <c r="I27" s="509"/>
      <c r="J27" s="158" t="s">
        <v>146</v>
      </c>
      <c r="K27" s="158" t="s">
        <v>146</v>
      </c>
      <c r="L27" s="158" t="s">
        <v>147</v>
      </c>
    </row>
    <row r="28" spans="2:15" s="157" customFormat="1" ht="25.9" customHeight="1" x14ac:dyDescent="0.2">
      <c r="D28" s="505" t="s">
        <v>148</v>
      </c>
      <c r="E28" s="505"/>
      <c r="F28" s="506">
        <f>'Calibration record'!B16</f>
        <v>134</v>
      </c>
      <c r="G28" s="506"/>
      <c r="H28" s="507">
        <f>'Calibration record'!B22</f>
        <v>3481812.2857142859</v>
      </c>
      <c r="I28" s="507"/>
      <c r="J28" s="182">
        <f>'Calibration record'!I22</f>
        <v>3515052.3333333335</v>
      </c>
      <c r="K28" s="159">
        <f t="shared" ref="K28:K33" si="0">J28-H28</f>
        <v>33240.047619047575</v>
      </c>
      <c r="L28" s="160">
        <f>'Calibration record'!J22</f>
        <v>9.5467661353916024E-3</v>
      </c>
    </row>
    <row r="29" spans="2:15" s="157" customFormat="1" ht="25.9" customHeight="1" x14ac:dyDescent="0.2">
      <c r="D29" s="505" t="s">
        <v>149</v>
      </c>
      <c r="E29" s="505"/>
      <c r="F29" s="506">
        <f>'Calibration record'!C16</f>
        <v>324</v>
      </c>
      <c r="G29" s="506"/>
      <c r="H29" s="507">
        <f>'Calibration record'!B23</f>
        <v>1368160.8571428573</v>
      </c>
      <c r="I29" s="507"/>
      <c r="J29" s="182">
        <f>'Calibration record'!I23</f>
        <v>1388815.3333333333</v>
      </c>
      <c r="K29" s="159">
        <f t="shared" si="0"/>
        <v>20654.47619047598</v>
      </c>
      <c r="L29" s="160">
        <f>'Calibration record'!J23</f>
        <v>1.509652617427523E-2</v>
      </c>
    </row>
    <row r="30" spans="2:15" s="157" customFormat="1" ht="25.9" customHeight="1" x14ac:dyDescent="0.2">
      <c r="D30" s="505" t="s">
        <v>150</v>
      </c>
      <c r="E30" s="505"/>
      <c r="F30" s="506">
        <f>'Calibration record'!D16</f>
        <v>1886</v>
      </c>
      <c r="G30" s="506"/>
      <c r="H30" s="507">
        <f>'Calibration record'!B24</f>
        <v>97342.21714285716</v>
      </c>
      <c r="I30" s="507"/>
      <c r="J30" s="182">
        <f>'Calibration record'!I24</f>
        <v>98910</v>
      </c>
      <c r="K30" s="159">
        <f t="shared" si="0"/>
        <v>1567.7828571428399</v>
      </c>
      <c r="L30" s="160">
        <f>'Calibration record'!J24</f>
        <v>1.6105888104459329E-2</v>
      </c>
    </row>
    <row r="31" spans="2:15" s="157" customFormat="1" ht="25.9" customHeight="1" x14ac:dyDescent="0.2">
      <c r="D31" s="505" t="s">
        <v>151</v>
      </c>
      <c r="E31" s="505"/>
      <c r="F31" s="506">
        <f>'Calibration record'!E16</f>
        <v>4122</v>
      </c>
      <c r="G31" s="506"/>
      <c r="H31" s="507">
        <f>'Calibration record'!B25</f>
        <v>24221.302857142859</v>
      </c>
      <c r="I31" s="507"/>
      <c r="J31" s="182">
        <f>'Calibration record'!I25</f>
        <v>24523</v>
      </c>
      <c r="K31" s="159">
        <f t="shared" si="0"/>
        <v>301.69714285714144</v>
      </c>
      <c r="L31" s="160">
        <f>'Calibration record'!J25</f>
        <v>1.2455859399329174E-2</v>
      </c>
    </row>
    <row r="32" spans="2:15" s="157" customFormat="1" ht="25.9" customHeight="1" x14ac:dyDescent="0.2">
      <c r="D32" s="505" t="s">
        <v>152</v>
      </c>
      <c r="E32" s="505"/>
      <c r="F32" s="506">
        <f>'Calibration record'!F16</f>
        <v>6566</v>
      </c>
      <c r="G32" s="506"/>
      <c r="H32" s="507">
        <f>'Calibration record'!B26</f>
        <v>11396.58</v>
      </c>
      <c r="I32" s="507"/>
      <c r="J32" s="182">
        <f>'Calibration record'!I26</f>
        <v>11296</v>
      </c>
      <c r="K32" s="159">
        <f t="shared" si="0"/>
        <v>-100.57999999999993</v>
      </c>
      <c r="L32" s="160">
        <f>'Calibration record'!J26</f>
        <v>-8.8254546539400357E-3</v>
      </c>
    </row>
    <row r="33" spans="2:12" s="157" customFormat="1" ht="25.9" customHeight="1" x14ac:dyDescent="0.2">
      <c r="D33" s="505" t="s">
        <v>153</v>
      </c>
      <c r="E33" s="505"/>
      <c r="F33" s="506">
        <f>'Calibration record'!G16</f>
        <v>15500</v>
      </c>
      <c r="G33" s="506"/>
      <c r="H33" s="507">
        <f>'Calibration record'!B27</f>
        <v>1788.6061142857141</v>
      </c>
      <c r="I33" s="507"/>
      <c r="J33" s="182">
        <f>'Calibration record'!I27</f>
        <v>1652</v>
      </c>
      <c r="K33" s="159">
        <f t="shared" si="0"/>
        <v>-136.60611428571406</v>
      </c>
      <c r="L33" s="160">
        <f>'Calibration record'!J27</f>
        <v>-7.6375739294768194E-2</v>
      </c>
    </row>
    <row r="34" spans="2:12" s="157" customFormat="1" ht="25.9" customHeight="1" x14ac:dyDescent="0.2">
      <c r="D34" s="505" t="s">
        <v>154</v>
      </c>
      <c r="E34" s="505"/>
      <c r="F34" s="506">
        <f>'Calibration record'!H16</f>
        <v>22008</v>
      </c>
      <c r="G34" s="506"/>
      <c r="H34" s="507">
        <f>'Calibration record'!B28</f>
        <v>690.6498857142858</v>
      </c>
      <c r="I34" s="507"/>
      <c r="J34" s="182">
        <f>'Calibration record'!I28</f>
        <v>484.66666666666669</v>
      </c>
      <c r="K34" s="159" t="s">
        <v>101</v>
      </c>
      <c r="L34" s="161" t="s">
        <v>101</v>
      </c>
    </row>
    <row r="35" spans="2:12" s="150" customFormat="1" ht="25.9" customHeight="1" x14ac:dyDescent="0.25">
      <c r="D35" s="505" t="s">
        <v>155</v>
      </c>
      <c r="E35" s="505"/>
      <c r="F35" s="510">
        <f>'Calibration record'!I16</f>
        <v>32390</v>
      </c>
      <c r="G35" s="510"/>
      <c r="H35" s="507">
        <f>'Calibration record'!B29</f>
        <v>159.952</v>
      </c>
      <c r="I35" s="507"/>
      <c r="J35" s="182">
        <f>'Calibration record'!I29</f>
        <v>59</v>
      </c>
      <c r="K35" s="159" t="s">
        <v>101</v>
      </c>
      <c r="L35" s="161" t="s">
        <v>101</v>
      </c>
    </row>
    <row r="36" spans="2:12" ht="20.25" x14ac:dyDescent="0.3">
      <c r="D36" s="162" t="s">
        <v>156</v>
      </c>
      <c r="E36" s="163"/>
      <c r="F36" s="163"/>
      <c r="G36" s="163"/>
      <c r="H36" s="163"/>
      <c r="I36" s="163"/>
      <c r="J36" s="163"/>
      <c r="K36" s="163"/>
    </row>
    <row r="37" spans="2:12" ht="20.25" x14ac:dyDescent="0.3">
      <c r="B37" s="164"/>
      <c r="D37" s="163"/>
      <c r="E37" s="163"/>
      <c r="F37" s="163"/>
      <c r="G37" s="163"/>
      <c r="H37" s="163"/>
      <c r="I37" s="163"/>
      <c r="J37" s="163"/>
      <c r="K37" s="163"/>
    </row>
    <row r="38" spans="2:12" ht="81" customHeight="1" x14ac:dyDescent="0.2">
      <c r="B38" s="164"/>
      <c r="D38" s="156" t="s">
        <v>157</v>
      </c>
      <c r="E38" s="508" t="s">
        <v>158</v>
      </c>
      <c r="F38" s="508"/>
      <c r="G38" s="508" t="s">
        <v>159</v>
      </c>
      <c r="H38" s="508"/>
      <c r="I38" s="157"/>
      <c r="J38" s="132"/>
      <c r="K38" s="132"/>
      <c r="L38" s="132"/>
    </row>
    <row r="39" spans="2:12" ht="25.9" customHeight="1" x14ac:dyDescent="0.2">
      <c r="B39" s="164"/>
      <c r="D39" s="158" t="s">
        <v>145</v>
      </c>
      <c r="E39" s="509" t="s">
        <v>145</v>
      </c>
      <c r="F39" s="509"/>
      <c r="G39" s="509" t="s">
        <v>160</v>
      </c>
      <c r="H39" s="509"/>
      <c r="I39" s="165"/>
      <c r="J39" s="166"/>
      <c r="K39" s="166"/>
      <c r="L39" s="166"/>
    </row>
    <row r="40" spans="2:12" ht="25.9" customHeight="1" x14ac:dyDescent="0.2">
      <c r="B40" s="164"/>
      <c r="D40" s="167">
        <f>'Calibration record'!B9</f>
        <v>61</v>
      </c>
      <c r="E40" s="511">
        <f>F28-D40</f>
        <v>73</v>
      </c>
      <c r="F40" s="511"/>
      <c r="G40" s="512">
        <f>F28/D40</f>
        <v>2.1967213114754101</v>
      </c>
      <c r="H40" s="512"/>
      <c r="I40" s="165"/>
      <c r="J40" s="168"/>
      <c r="K40" s="169"/>
      <c r="L40" s="170"/>
    </row>
    <row r="41" spans="2:12" x14ac:dyDescent="0.2">
      <c r="B41" s="164"/>
    </row>
    <row r="42" spans="2:12" x14ac:dyDescent="0.2">
      <c r="B42" s="164"/>
    </row>
    <row r="43" spans="2:12" x14ac:dyDescent="0.2">
      <c r="B43" s="164"/>
    </row>
    <row r="44" spans="2:12" x14ac:dyDescent="0.2">
      <c r="B44" s="164"/>
    </row>
    <row r="45" spans="2:12" x14ac:dyDescent="0.2">
      <c r="B45" s="164"/>
    </row>
    <row r="46" spans="2:12" x14ac:dyDescent="0.2">
      <c r="B46" s="164"/>
    </row>
    <row r="47" spans="2:12" x14ac:dyDescent="0.2">
      <c r="B47" s="164"/>
    </row>
    <row r="48" spans="2:12" x14ac:dyDescent="0.2">
      <c r="B48" s="164"/>
    </row>
    <row r="49" spans="2:2" x14ac:dyDescent="0.2">
      <c r="B49" s="164"/>
    </row>
    <row r="50" spans="2:2" x14ac:dyDescent="0.2">
      <c r="B50" s="164"/>
    </row>
    <row r="51" spans="2:2" x14ac:dyDescent="0.2">
      <c r="B51" s="164"/>
    </row>
    <row r="52" spans="2:2" x14ac:dyDescent="0.2">
      <c r="B52" s="164"/>
    </row>
    <row r="53" spans="2:2" x14ac:dyDescent="0.2">
      <c r="B53" s="164"/>
    </row>
    <row r="54" spans="2:2" x14ac:dyDescent="0.2">
      <c r="B54" s="164"/>
    </row>
    <row r="55" spans="2:2" x14ac:dyDescent="0.2">
      <c r="B55" s="164"/>
    </row>
    <row r="56" spans="2:2" x14ac:dyDescent="0.2">
      <c r="B56" s="164"/>
    </row>
    <row r="57" spans="2:2" x14ac:dyDescent="0.2">
      <c r="B57" s="164"/>
    </row>
    <row r="58" spans="2:2" x14ac:dyDescent="0.2">
      <c r="B58" s="164"/>
    </row>
    <row r="59" spans="2:2" x14ac:dyDescent="0.2">
      <c r="B59" s="164"/>
    </row>
    <row r="60" spans="2:2" x14ac:dyDescent="0.2">
      <c r="B60" s="164"/>
    </row>
    <row r="61" spans="2:2" x14ac:dyDescent="0.2">
      <c r="B61" s="164"/>
    </row>
    <row r="62" spans="2:2" x14ac:dyDescent="0.2">
      <c r="B62" s="164"/>
    </row>
    <row r="63" spans="2:2" x14ac:dyDescent="0.2">
      <c r="B63" s="164"/>
    </row>
    <row r="64" spans="2:2" x14ac:dyDescent="0.2">
      <c r="B64" s="164"/>
    </row>
    <row r="65" spans="2:16" x14ac:dyDescent="0.2">
      <c r="B65" s="164"/>
    </row>
    <row r="66" spans="2:16" x14ac:dyDescent="0.2">
      <c r="B66" s="164"/>
    </row>
    <row r="67" spans="2:16" x14ac:dyDescent="0.2">
      <c r="B67" s="164"/>
    </row>
    <row r="68" spans="2:16" x14ac:dyDescent="0.2">
      <c r="B68" s="164"/>
    </row>
    <row r="69" spans="2:16" x14ac:dyDescent="0.2">
      <c r="B69" s="171"/>
      <c r="C69" s="172"/>
      <c r="D69" s="172"/>
      <c r="E69" s="172"/>
      <c r="F69" s="172"/>
      <c r="G69" s="172"/>
      <c r="H69" s="172"/>
      <c r="I69" s="172"/>
      <c r="J69" s="172"/>
      <c r="K69" s="172"/>
      <c r="L69" s="172"/>
      <c r="M69" s="172"/>
      <c r="N69" s="172"/>
      <c r="O69" s="172"/>
      <c r="P69" s="172"/>
    </row>
    <row r="70" spans="2:16" x14ac:dyDescent="0.2">
      <c r="B70" s="556" t="s">
        <v>180</v>
      </c>
      <c r="C70" s="556"/>
      <c r="D70" s="556"/>
      <c r="E70" s="556"/>
      <c r="F70" s="556"/>
      <c r="G70" s="556"/>
      <c r="H70" s="556"/>
      <c r="I70" s="556"/>
      <c r="J70" s="556"/>
      <c r="K70" s="556"/>
      <c r="L70" s="556"/>
      <c r="M70" s="556"/>
      <c r="N70" s="556"/>
      <c r="O70" s="556"/>
    </row>
    <row r="71" spans="2:16" ht="25.9" customHeight="1" x14ac:dyDescent="0.2"/>
    <row r="72" spans="2:16" s="129" customFormat="1" ht="25.9" customHeight="1" x14ac:dyDescent="0.2">
      <c r="B72" s="173" t="s">
        <v>161</v>
      </c>
      <c r="C72" s="174"/>
      <c r="D72" s="175" t="s">
        <v>162</v>
      </c>
      <c r="H72" s="3"/>
      <c r="I72" s="3"/>
      <c r="K72" s="514" t="s">
        <v>163</v>
      </c>
      <c r="L72" s="514"/>
      <c r="M72" s="514"/>
      <c r="N72" s="514"/>
      <c r="O72" s="514"/>
    </row>
    <row r="73" spans="2:16" s="129" customFormat="1" ht="25.9" customHeight="1" x14ac:dyDescent="0.2">
      <c r="H73" s="3"/>
      <c r="I73" s="3"/>
      <c r="K73" s="514"/>
      <c r="L73" s="514"/>
      <c r="M73" s="514"/>
      <c r="N73" s="514"/>
      <c r="O73" s="514"/>
    </row>
    <row r="74" spans="2:16" s="129" customFormat="1" ht="25.9" customHeight="1" x14ac:dyDescent="0.2">
      <c r="B74" s="173" t="s">
        <v>164</v>
      </c>
      <c r="C74" s="174"/>
      <c r="D74" s="515" t="s">
        <v>165</v>
      </c>
      <c r="E74" s="515"/>
      <c r="F74" s="515"/>
      <c r="G74" s="515"/>
      <c r="H74" s="3"/>
      <c r="I74" s="3"/>
      <c r="K74" s="514"/>
      <c r="L74" s="514"/>
      <c r="M74" s="514"/>
      <c r="N74" s="514"/>
      <c r="O74" s="514"/>
    </row>
    <row r="75" spans="2:16" s="129" customFormat="1" ht="25.9" customHeight="1" x14ac:dyDescent="0.2">
      <c r="K75" s="514"/>
      <c r="L75" s="514"/>
      <c r="M75" s="514"/>
      <c r="N75" s="514"/>
      <c r="O75" s="514"/>
    </row>
    <row r="76" spans="2:16" s="129" customFormat="1" ht="25.9" customHeight="1" x14ac:dyDescent="0.2">
      <c r="B76" s="173" t="s">
        <v>166</v>
      </c>
      <c r="C76" s="174"/>
      <c r="D76" s="516" t="str">
        <f>'Calibration record'!H12</f>
        <v>J Scarrott</v>
      </c>
      <c r="E76" s="516"/>
      <c r="F76" s="516"/>
      <c r="K76" s="176" t="s">
        <v>167</v>
      </c>
      <c r="L76" s="517" t="s">
        <v>168</v>
      </c>
      <c r="M76" s="517"/>
      <c r="N76" s="517"/>
      <c r="O76" s="517"/>
      <c r="P76" s="177"/>
    </row>
    <row r="77" spans="2:16" ht="25.9" customHeight="1" x14ac:dyDescent="0.2">
      <c r="H77" s="129"/>
      <c r="I77" s="129"/>
      <c r="J77" s="129"/>
      <c r="K77" s="129"/>
    </row>
    <row r="78" spans="2:16" ht="15" customHeight="1" x14ac:dyDescent="0.2">
      <c r="B78" s="164" t="s">
        <v>169</v>
      </c>
      <c r="H78" s="129"/>
      <c r="I78" s="129"/>
      <c r="J78" s="129"/>
      <c r="K78" s="513" t="s">
        <v>170</v>
      </c>
      <c r="L78" s="513"/>
      <c r="M78" s="513"/>
      <c r="N78" s="513"/>
      <c r="O78" s="513"/>
    </row>
    <row r="79" spans="2:16" ht="15" x14ac:dyDescent="0.2">
      <c r="B79" s="164" t="s">
        <v>171</v>
      </c>
      <c r="H79" s="129"/>
      <c r="I79" s="129"/>
      <c r="J79" s="129"/>
      <c r="K79" s="513"/>
      <c r="L79" s="513"/>
      <c r="M79" s="513"/>
      <c r="N79" s="513"/>
      <c r="O79" s="513"/>
    </row>
    <row r="80" spans="2:16" x14ac:dyDescent="0.2">
      <c r="B80" s="164" t="s">
        <v>172</v>
      </c>
      <c r="K80" s="513"/>
      <c r="L80" s="513"/>
      <c r="M80" s="513"/>
      <c r="N80" s="513"/>
      <c r="O80" s="513"/>
    </row>
    <row r="83" spans="2:15" x14ac:dyDescent="0.2">
      <c r="O83" s="178" t="s">
        <v>173</v>
      </c>
    </row>
    <row r="84" spans="2:15" x14ac:dyDescent="0.2">
      <c r="O84" s="178" t="s">
        <v>174</v>
      </c>
    </row>
    <row r="85" spans="2:15" x14ac:dyDescent="0.2">
      <c r="O85" s="178" t="s">
        <v>19</v>
      </c>
    </row>
    <row r="86" spans="2:15" x14ac:dyDescent="0.2">
      <c r="B86" s="179" t="s">
        <v>175</v>
      </c>
      <c r="C86" s="179"/>
      <c r="L86" s="179"/>
      <c r="N86" s="179"/>
      <c r="O86" s="178" t="s">
        <v>20</v>
      </c>
    </row>
    <row r="88" spans="2:15" x14ac:dyDescent="0.2">
      <c r="D88" s="179"/>
      <c r="E88" s="179"/>
      <c r="F88" s="179"/>
      <c r="G88" s="179"/>
      <c r="H88" s="179"/>
      <c r="I88" s="179"/>
      <c r="J88" s="179"/>
      <c r="K88" s="179"/>
    </row>
  </sheetData>
  <mergeCells count="50">
    <mergeCell ref="K72:O75"/>
    <mergeCell ref="D74:G74"/>
    <mergeCell ref="D76:F76"/>
    <mergeCell ref="L76:O76"/>
    <mergeCell ref="K78:O80"/>
    <mergeCell ref="E39:F39"/>
    <mergeCell ref="G39:H39"/>
    <mergeCell ref="E40:F40"/>
    <mergeCell ref="G40:H40"/>
    <mergeCell ref="B70:O70"/>
    <mergeCell ref="D35:E35"/>
    <mergeCell ref="F35:G35"/>
    <mergeCell ref="H35:I35"/>
    <mergeCell ref="E38:F38"/>
    <mergeCell ref="G38:H38"/>
    <mergeCell ref="D33:E33"/>
    <mergeCell ref="F33:G33"/>
    <mergeCell ref="H33:I33"/>
    <mergeCell ref="D34:E34"/>
    <mergeCell ref="F34:G34"/>
    <mergeCell ref="H34:I34"/>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19:F19"/>
    <mergeCell ref="K20:N21"/>
    <mergeCell ref="O20:O21"/>
    <mergeCell ref="D26:E26"/>
    <mergeCell ref="F26:G26"/>
    <mergeCell ref="H26:I26"/>
    <mergeCell ref="B10:P10"/>
    <mergeCell ref="B13:O13"/>
    <mergeCell ref="B14:O14"/>
    <mergeCell ref="D17:F17"/>
    <mergeCell ref="D18:F18"/>
  </mergeCells>
  <conditionalFormatting sqref="D72">
    <cfRule type="cellIs" dxfId="17" priority="2" operator="equal">
      <formula>"PASS"</formula>
    </cfRule>
    <cfRule type="cellIs" dxfId="16" priority="3" operator="equal">
      <formula>"FAIL"</formula>
    </cfRule>
  </conditionalFormatting>
  <conditionalFormatting sqref="G40">
    <cfRule type="cellIs" dxfId="15" priority="7" operator="greaterThanOrEqual">
      <formula>1.19</formula>
    </cfRule>
    <cfRule type="cellIs" dxfId="14" priority="8" operator="lessThan">
      <formula>1.19</formula>
    </cfRule>
  </conditionalFormatting>
  <conditionalFormatting sqref="K72">
    <cfRule type="cellIs" dxfId="13" priority="5" operator="equal">
      <formula>"FAIL"</formula>
    </cfRule>
    <cfRule type="cellIs" dxfId="12" priority="6" operator="equal">
      <formula>"PASS - VERIFIED"</formula>
    </cfRule>
  </conditionalFormatting>
  <conditionalFormatting sqref="L28:L33">
    <cfRule type="cellIs" dxfId="11" priority="9" operator="between">
      <formula>-0.1</formula>
      <formula>0.1</formula>
    </cfRule>
  </conditionalFormatting>
  <conditionalFormatting sqref="O22">
    <cfRule type="cellIs" dxfId="10" priority="4" operator="greaterThan">
      <formula>0</formula>
    </cfRule>
  </conditionalFormatting>
  <dataValidations count="2">
    <dataValidation type="list" allowBlank="1" showInputMessage="1" showErrorMessage="1" sqref="D72" xr:uid="{00000000-0002-0000-0F00-000000000000}">
      <formula1>"PASS,FAIL"</formula1>
      <formula2>0</formula2>
    </dataValidation>
    <dataValidation type="list" allowBlank="1" showInputMessage="1" showErrorMessage="1" sqref="K72" xr:uid="{00000000-0002-0000-0F00-000001000000}">
      <formula1>"PASS - VERIFIED,FAIL"</formula1>
      <formula2>0</formula2>
    </dataValidation>
  </dataValidations>
  <hyperlinks>
    <hyperlink ref="B8" r:id="rId1" xr:uid="{00000000-0004-0000-0F00-000000000000}"/>
  </hyperlinks>
  <pageMargins left="0.25" right="0.25" top="0.75" bottom="0.75" header="0.51180555555555496" footer="0.51180555555555496"/>
  <pageSetup paperSize="9" firstPageNumber="0" orientation="portrait" horizontalDpi="300" verticalDpi="30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AMK88"/>
  <sheetViews>
    <sheetView topLeftCell="A14" zoomScale="95" zoomScaleNormal="95" workbookViewId="0">
      <selection activeCell="G69" sqref="G69"/>
    </sheetView>
  </sheetViews>
  <sheetFormatPr defaultRowHeight="12.75" x14ac:dyDescent="0.2"/>
  <cols>
    <col min="1" max="1" width="6" style="3" customWidth="1"/>
    <col min="2" max="2" width="16.7109375" style="3" customWidth="1"/>
    <col min="3" max="3" width="19.7109375" style="3" customWidth="1"/>
    <col min="4" max="4" width="22.140625" style="3" customWidth="1"/>
    <col min="5" max="5" width="7.5703125" style="3" customWidth="1"/>
    <col min="6" max="6" width="16.7109375" style="3" customWidth="1"/>
    <col min="7" max="7" width="5.140625" style="3" customWidth="1"/>
    <col min="8" max="8" width="16.85546875" style="3" customWidth="1"/>
    <col min="9" max="9" width="3.85546875" style="3" customWidth="1"/>
    <col min="10" max="10" width="23.7109375" style="3" customWidth="1"/>
    <col min="11" max="11" width="20.7109375" style="3" customWidth="1"/>
    <col min="12" max="12" width="21" style="3" customWidth="1"/>
    <col min="13" max="13" width="18.85546875" style="3" customWidth="1"/>
    <col min="14" max="14" width="3.28515625" style="3" customWidth="1"/>
    <col min="15" max="15" width="19.28515625" style="3" customWidth="1"/>
    <col min="16" max="16" width="6" style="3" customWidth="1"/>
    <col min="17" max="1025" width="11.5703125" style="3" hidden="1"/>
  </cols>
  <sheetData>
    <row r="2" spans="1:16" ht="14.25" x14ac:dyDescent="0.2">
      <c r="B2" s="127"/>
      <c r="C2" s="128"/>
    </row>
    <row r="3" spans="1:16" ht="14.25" x14ac:dyDescent="0.2">
      <c r="B3" s="127"/>
      <c r="C3" s="128"/>
    </row>
    <row r="4" spans="1:16" ht="14.25" x14ac:dyDescent="0.2">
      <c r="B4" s="127"/>
      <c r="C4" s="128"/>
    </row>
    <row r="5" spans="1:16" ht="14.25" x14ac:dyDescent="0.2">
      <c r="B5" s="127"/>
      <c r="C5" s="128"/>
    </row>
    <row r="6" spans="1:16" ht="14.25" x14ac:dyDescent="0.2">
      <c r="B6" s="127"/>
      <c r="C6" s="128"/>
    </row>
    <row r="7" spans="1:16" ht="15" x14ac:dyDescent="0.2">
      <c r="B7" s="127"/>
      <c r="C7" s="128"/>
      <c r="D7" s="129"/>
    </row>
    <row r="8" spans="1:16" ht="14.25" x14ac:dyDescent="0.2">
      <c r="B8" s="130"/>
      <c r="C8" s="128"/>
    </row>
    <row r="9" spans="1:16" ht="14.25" x14ac:dyDescent="0.2">
      <c r="B9" s="130"/>
      <c r="C9" s="128"/>
    </row>
    <row r="10" spans="1:16" ht="37.5" customHeight="1" x14ac:dyDescent="0.5">
      <c r="B10" s="501" t="s">
        <v>126</v>
      </c>
      <c r="C10" s="501"/>
      <c r="D10" s="501"/>
      <c r="E10" s="501"/>
      <c r="F10" s="501"/>
      <c r="G10" s="501"/>
      <c r="H10" s="501"/>
      <c r="I10" s="501"/>
      <c r="J10" s="501"/>
      <c r="K10" s="501"/>
      <c r="L10" s="501"/>
      <c r="M10" s="501"/>
      <c r="N10" s="501"/>
      <c r="O10" s="501"/>
      <c r="P10" s="501"/>
    </row>
    <row r="11" spans="1:16" ht="21" customHeight="1" x14ac:dyDescent="0.4">
      <c r="B11" s="131"/>
      <c r="C11" s="131"/>
      <c r="D11" s="131"/>
      <c r="E11" s="131"/>
      <c r="F11" s="131"/>
      <c r="G11" s="131"/>
      <c r="H11" s="131"/>
      <c r="I11" s="131"/>
      <c r="J11" s="131"/>
      <c r="K11" s="131"/>
      <c r="L11" s="131"/>
      <c r="M11" s="131"/>
      <c r="N11" s="131"/>
      <c r="O11" s="131"/>
      <c r="P11" s="131"/>
    </row>
    <row r="12" spans="1:16" ht="11.25" customHeight="1" x14ac:dyDescent="0.2"/>
    <row r="13" spans="1:16" ht="60.75" customHeight="1" x14ac:dyDescent="0.2">
      <c r="B13" s="502" t="s">
        <v>127</v>
      </c>
      <c r="C13" s="502"/>
      <c r="D13" s="502"/>
      <c r="E13" s="502"/>
      <c r="F13" s="502"/>
      <c r="G13" s="502"/>
      <c r="H13" s="502"/>
      <c r="I13" s="502"/>
      <c r="J13" s="502"/>
      <c r="K13" s="502"/>
      <c r="L13" s="502"/>
      <c r="M13" s="502"/>
      <c r="N13" s="502"/>
      <c r="O13" s="502"/>
      <c r="P13" s="133"/>
    </row>
    <row r="14" spans="1:16" ht="77.25" customHeight="1" x14ac:dyDescent="0.2">
      <c r="A14" s="134"/>
      <c r="B14" s="502" t="s">
        <v>128</v>
      </c>
      <c r="C14" s="502"/>
      <c r="D14" s="502"/>
      <c r="E14" s="502"/>
      <c r="F14" s="502"/>
      <c r="G14" s="502"/>
      <c r="H14" s="502"/>
      <c r="I14" s="502"/>
      <c r="J14" s="502"/>
      <c r="K14" s="502"/>
      <c r="L14" s="502"/>
      <c r="M14" s="502"/>
      <c r="N14" s="502"/>
      <c r="O14" s="502"/>
      <c r="P14" s="133"/>
    </row>
    <row r="15" spans="1:16" ht="18" x14ac:dyDescent="0.2">
      <c r="A15" s="134"/>
      <c r="B15" s="132"/>
      <c r="C15" s="132"/>
      <c r="D15" s="132"/>
      <c r="E15" s="132"/>
      <c r="F15" s="132"/>
      <c r="G15" s="132"/>
      <c r="H15" s="132"/>
      <c r="I15" s="132"/>
      <c r="J15" s="132"/>
      <c r="K15" s="132"/>
      <c r="L15" s="132"/>
      <c r="M15" s="132"/>
      <c r="N15" s="132"/>
      <c r="O15" s="132"/>
      <c r="P15" s="133"/>
    </row>
    <row r="16" spans="1:16" ht="18" x14ac:dyDescent="0.2">
      <c r="A16" s="134"/>
      <c r="B16" s="135"/>
      <c r="C16" s="135"/>
      <c r="D16" s="133"/>
      <c r="E16" s="133"/>
      <c r="F16" s="135"/>
      <c r="G16" s="135"/>
      <c r="H16" s="135"/>
      <c r="I16" s="135"/>
      <c r="J16" s="135"/>
      <c r="K16" s="135"/>
      <c r="L16" s="135"/>
      <c r="M16" s="135"/>
      <c r="N16" s="135"/>
      <c r="O16" s="135"/>
      <c r="P16" s="135"/>
    </row>
    <row r="17" spans="2:15" ht="25.9" customHeight="1" x14ac:dyDescent="0.25">
      <c r="B17" s="136" t="s">
        <v>129</v>
      </c>
      <c r="C17" s="27"/>
      <c r="D17" s="503">
        <f>'Calibration record'!H6</f>
        <v>11.111121000000001</v>
      </c>
      <c r="E17" s="503"/>
      <c r="F17" s="503"/>
      <c r="K17" s="137" t="s">
        <v>130</v>
      </c>
      <c r="L17" s="138"/>
      <c r="M17" s="138"/>
      <c r="N17" s="139"/>
      <c r="O17" s="140" t="str">
        <f>'Calibration record'!H10</f>
        <v>12798M</v>
      </c>
    </row>
    <row r="18" spans="2:15" ht="25.9" customHeight="1" x14ac:dyDescent="0.25">
      <c r="B18" s="136" t="s">
        <v>131</v>
      </c>
      <c r="C18" s="141"/>
      <c r="D18" s="553" t="str">
        <f>'Calibration record'!H7</f>
        <v>000000204 / 07093-41</v>
      </c>
      <c r="E18" s="553"/>
      <c r="F18" s="553"/>
      <c r="K18" s="143" t="s">
        <v>132</v>
      </c>
      <c r="L18" s="144"/>
      <c r="M18" s="144"/>
      <c r="N18" s="145"/>
      <c r="O18" s="146" t="str">
        <f>'Calibration record'!H8</f>
        <v>08 12 25</v>
      </c>
    </row>
    <row r="19" spans="2:15" ht="25.9" customHeight="1" x14ac:dyDescent="0.25">
      <c r="B19" s="136" t="s">
        <v>133</v>
      </c>
      <c r="C19" s="141"/>
      <c r="D19" s="553" t="str">
        <f>'Calibration record'!H9</f>
        <v>000000204 / 07093-41</v>
      </c>
      <c r="E19" s="553"/>
      <c r="F19" s="553"/>
      <c r="K19" s="137" t="s">
        <v>134</v>
      </c>
      <c r="L19" s="138"/>
      <c r="M19" s="138"/>
      <c r="N19" s="139"/>
      <c r="O19" s="142">
        <f>'Calibration record'!H11</f>
        <v>367</v>
      </c>
    </row>
    <row r="20" spans="2:15" ht="14.25" customHeight="1" x14ac:dyDescent="0.25">
      <c r="B20" s="147"/>
      <c r="D20" s="148"/>
      <c r="E20" s="149"/>
      <c r="K20" s="147"/>
      <c r="L20" s="150"/>
      <c r="M20" s="150"/>
      <c r="N20" s="150"/>
      <c r="O20" s="151"/>
    </row>
    <row r="21" spans="2:15" ht="15.75" x14ac:dyDescent="0.25">
      <c r="B21" s="152" t="s">
        <v>135</v>
      </c>
    </row>
    <row r="22" spans="2:15" ht="15.75" x14ac:dyDescent="0.25">
      <c r="B22" s="152" t="s">
        <v>136</v>
      </c>
      <c r="O22" s="153"/>
    </row>
    <row r="23" spans="2:15" ht="15.75" x14ac:dyDescent="0.25">
      <c r="B23" s="152" t="s">
        <v>137</v>
      </c>
    </row>
    <row r="24" spans="2:15" ht="15.75" x14ac:dyDescent="0.25">
      <c r="B24" s="152"/>
    </row>
    <row r="25" spans="2:15" x14ac:dyDescent="0.2">
      <c r="B25" s="154"/>
    </row>
    <row r="26" spans="2:15" s="155" customFormat="1" ht="67.5" customHeight="1" x14ac:dyDescent="0.2">
      <c r="D26" s="508" t="s">
        <v>138</v>
      </c>
      <c r="E26" s="508"/>
      <c r="F26" s="508" t="s">
        <v>139</v>
      </c>
      <c r="G26" s="508"/>
      <c r="H26" s="508" t="s">
        <v>140</v>
      </c>
      <c r="I26" s="508"/>
      <c r="J26" s="156" t="s">
        <v>141</v>
      </c>
      <c r="K26" s="156" t="s">
        <v>142</v>
      </c>
      <c r="L26" s="156" t="s">
        <v>143</v>
      </c>
    </row>
    <row r="27" spans="2:15" s="157" customFormat="1" ht="25.9" customHeight="1" x14ac:dyDescent="0.2">
      <c r="D27" s="509" t="s">
        <v>144</v>
      </c>
      <c r="E27" s="509"/>
      <c r="F27" s="509" t="s">
        <v>145</v>
      </c>
      <c r="G27" s="509"/>
      <c r="H27" s="509" t="s">
        <v>146</v>
      </c>
      <c r="I27" s="509"/>
      <c r="J27" s="158" t="s">
        <v>146</v>
      </c>
      <c r="K27" s="158" t="s">
        <v>146</v>
      </c>
      <c r="L27" s="158" t="s">
        <v>147</v>
      </c>
    </row>
    <row r="28" spans="2:15" s="157" customFormat="1" ht="25.9" customHeight="1" x14ac:dyDescent="0.2">
      <c r="D28" s="505" t="s">
        <v>148</v>
      </c>
      <c r="E28" s="505"/>
      <c r="F28" s="506">
        <f>'Calibration record'!B16</f>
        <v>134</v>
      </c>
      <c r="G28" s="506"/>
      <c r="H28" s="507">
        <f>'Calibration record'!B22</f>
        <v>3481812.2857142859</v>
      </c>
      <c r="I28" s="507"/>
      <c r="J28" s="159">
        <f>'Calibration record'!I22</f>
        <v>3515052.3333333335</v>
      </c>
      <c r="K28" s="159">
        <f t="shared" ref="K28:K33" si="0">J28-H28</f>
        <v>33240.047619047575</v>
      </c>
      <c r="L28" s="160">
        <f>'Calibration record'!J22</f>
        <v>9.5467661353916024E-3</v>
      </c>
    </row>
    <row r="29" spans="2:15" s="157" customFormat="1" ht="25.9" customHeight="1" x14ac:dyDescent="0.2">
      <c r="D29" s="505" t="s">
        <v>149</v>
      </c>
      <c r="E29" s="505"/>
      <c r="F29" s="506">
        <f>'Calibration record'!C16</f>
        <v>324</v>
      </c>
      <c r="G29" s="506"/>
      <c r="H29" s="507">
        <f>'Calibration record'!B23</f>
        <v>1368160.8571428573</v>
      </c>
      <c r="I29" s="507"/>
      <c r="J29" s="159">
        <f>'Calibration record'!I23</f>
        <v>1388815.3333333333</v>
      </c>
      <c r="K29" s="159">
        <f t="shared" si="0"/>
        <v>20654.47619047598</v>
      </c>
      <c r="L29" s="160">
        <f>'Calibration record'!J23</f>
        <v>1.509652617427523E-2</v>
      </c>
    </row>
    <row r="30" spans="2:15" s="157" customFormat="1" ht="25.9" customHeight="1" x14ac:dyDescent="0.2">
      <c r="D30" s="505" t="s">
        <v>150</v>
      </c>
      <c r="E30" s="505"/>
      <c r="F30" s="506">
        <f>'Calibration record'!D16</f>
        <v>1886</v>
      </c>
      <c r="G30" s="506"/>
      <c r="H30" s="507">
        <f>'Calibration record'!B24</f>
        <v>97342.21714285716</v>
      </c>
      <c r="I30" s="507"/>
      <c r="J30" s="159">
        <f>'Calibration record'!I24</f>
        <v>98910</v>
      </c>
      <c r="K30" s="159">
        <f t="shared" si="0"/>
        <v>1567.7828571428399</v>
      </c>
      <c r="L30" s="160">
        <f>'Calibration record'!J24</f>
        <v>1.6105888104459329E-2</v>
      </c>
    </row>
    <row r="31" spans="2:15" s="157" customFormat="1" ht="25.9" customHeight="1" x14ac:dyDescent="0.2">
      <c r="D31" s="505" t="s">
        <v>151</v>
      </c>
      <c r="E31" s="505"/>
      <c r="F31" s="506">
        <f>'Calibration record'!E16</f>
        <v>4122</v>
      </c>
      <c r="G31" s="506"/>
      <c r="H31" s="507">
        <f>'Calibration record'!B25</f>
        <v>24221.302857142859</v>
      </c>
      <c r="I31" s="507"/>
      <c r="J31" s="159">
        <f>'Calibration record'!I25</f>
        <v>24523</v>
      </c>
      <c r="K31" s="159">
        <f t="shared" si="0"/>
        <v>301.69714285714144</v>
      </c>
      <c r="L31" s="160">
        <f>'Calibration record'!J25</f>
        <v>1.2455859399329174E-2</v>
      </c>
    </row>
    <row r="32" spans="2:15" s="157" customFormat="1" ht="25.9" customHeight="1" x14ac:dyDescent="0.2">
      <c r="D32" s="505" t="s">
        <v>152</v>
      </c>
      <c r="E32" s="505"/>
      <c r="F32" s="506">
        <f>'Calibration record'!F16</f>
        <v>6566</v>
      </c>
      <c r="G32" s="506"/>
      <c r="H32" s="507">
        <f>'Calibration record'!B26</f>
        <v>11396.58</v>
      </c>
      <c r="I32" s="507"/>
      <c r="J32" s="159">
        <f>'Calibration record'!I26</f>
        <v>11296</v>
      </c>
      <c r="K32" s="159">
        <f t="shared" si="0"/>
        <v>-100.57999999999993</v>
      </c>
      <c r="L32" s="160">
        <f>'Calibration record'!J26</f>
        <v>-8.8254546539400357E-3</v>
      </c>
    </row>
    <row r="33" spans="2:12" s="157" customFormat="1" ht="25.9" customHeight="1" x14ac:dyDescent="0.2">
      <c r="D33" s="505" t="s">
        <v>153</v>
      </c>
      <c r="E33" s="505"/>
      <c r="F33" s="506">
        <f>'Calibration record'!G16</f>
        <v>15500</v>
      </c>
      <c r="G33" s="506"/>
      <c r="H33" s="507">
        <f>'Calibration record'!B27</f>
        <v>1788.6061142857141</v>
      </c>
      <c r="I33" s="507"/>
      <c r="J33" s="159">
        <f>'Calibration record'!I27</f>
        <v>1652</v>
      </c>
      <c r="K33" s="159">
        <f t="shared" si="0"/>
        <v>-136.60611428571406</v>
      </c>
      <c r="L33" s="160">
        <f>'Calibration record'!J27</f>
        <v>-7.6375739294768194E-2</v>
      </c>
    </row>
    <row r="34" spans="2:12" s="157" customFormat="1" ht="25.9" customHeight="1" x14ac:dyDescent="0.2">
      <c r="D34" s="505" t="s">
        <v>154</v>
      </c>
      <c r="E34" s="505"/>
      <c r="F34" s="506">
        <f>'Calibration record'!H16</f>
        <v>22008</v>
      </c>
      <c r="G34" s="506"/>
      <c r="H34" s="507">
        <f>'Calibration record'!B28</f>
        <v>690.6498857142858</v>
      </c>
      <c r="I34" s="507"/>
      <c r="J34" s="159">
        <f>'Calibration record'!I28</f>
        <v>484.66666666666669</v>
      </c>
      <c r="K34" s="159" t="s">
        <v>101</v>
      </c>
      <c r="L34" s="161" t="s">
        <v>101</v>
      </c>
    </row>
    <row r="35" spans="2:12" s="150" customFormat="1" ht="25.9" customHeight="1" x14ac:dyDescent="0.25">
      <c r="D35" s="505" t="s">
        <v>155</v>
      </c>
      <c r="E35" s="505"/>
      <c r="F35" s="510">
        <f>'Calibration record'!I16</f>
        <v>32390</v>
      </c>
      <c r="G35" s="510"/>
      <c r="H35" s="507">
        <f>'Calibration record'!B29</f>
        <v>159.952</v>
      </c>
      <c r="I35" s="507"/>
      <c r="J35" s="159">
        <f>'Calibration record'!I29</f>
        <v>59</v>
      </c>
      <c r="K35" s="159" t="s">
        <v>101</v>
      </c>
      <c r="L35" s="161" t="s">
        <v>101</v>
      </c>
    </row>
    <row r="36" spans="2:12" ht="20.25" x14ac:dyDescent="0.3">
      <c r="D36" s="162" t="s">
        <v>156</v>
      </c>
      <c r="E36" s="163"/>
      <c r="F36" s="163"/>
      <c r="G36" s="163"/>
      <c r="H36" s="163"/>
      <c r="I36" s="163"/>
      <c r="J36" s="163"/>
      <c r="K36" s="163"/>
    </row>
    <row r="37" spans="2:12" ht="20.25" x14ac:dyDescent="0.3">
      <c r="B37" s="164"/>
      <c r="D37" s="163"/>
      <c r="E37" s="163"/>
      <c r="F37" s="163"/>
      <c r="G37" s="163"/>
      <c r="H37" s="163"/>
      <c r="I37" s="163"/>
      <c r="J37" s="163"/>
      <c r="K37" s="163"/>
    </row>
    <row r="38" spans="2:12" ht="81" customHeight="1" x14ac:dyDescent="0.2">
      <c r="B38" s="164"/>
      <c r="D38" s="156" t="s">
        <v>157</v>
      </c>
      <c r="E38" s="508" t="s">
        <v>158</v>
      </c>
      <c r="F38" s="508"/>
      <c r="G38" s="508" t="s">
        <v>159</v>
      </c>
      <c r="H38" s="508"/>
      <c r="I38" s="157"/>
      <c r="J38" s="132"/>
      <c r="K38" s="132"/>
      <c r="L38" s="132"/>
    </row>
    <row r="39" spans="2:12" ht="25.9" customHeight="1" x14ac:dyDescent="0.2">
      <c r="B39" s="164"/>
      <c r="D39" s="158" t="s">
        <v>145</v>
      </c>
      <c r="E39" s="509" t="s">
        <v>145</v>
      </c>
      <c r="F39" s="509"/>
      <c r="G39" s="509" t="s">
        <v>160</v>
      </c>
      <c r="H39" s="509"/>
      <c r="I39" s="165"/>
      <c r="J39" s="166"/>
      <c r="K39" s="166"/>
      <c r="L39" s="166"/>
    </row>
    <row r="40" spans="2:12" ht="25.9" customHeight="1" x14ac:dyDescent="0.2">
      <c r="B40" s="164"/>
      <c r="D40" s="167">
        <f>'Calibration record'!B9</f>
        <v>61</v>
      </c>
      <c r="E40" s="511">
        <f>F28-D40</f>
        <v>73</v>
      </c>
      <c r="F40" s="511"/>
      <c r="G40" s="512">
        <f>F28/D40</f>
        <v>2.1967213114754101</v>
      </c>
      <c r="H40" s="512"/>
      <c r="I40" s="165"/>
      <c r="J40" s="168"/>
      <c r="K40" s="169"/>
      <c r="L40" s="170"/>
    </row>
    <row r="41" spans="2:12" x14ac:dyDescent="0.2">
      <c r="B41" s="164"/>
    </row>
    <row r="42" spans="2:12" x14ac:dyDescent="0.2">
      <c r="B42" s="164"/>
    </row>
    <row r="43" spans="2:12" x14ac:dyDescent="0.2">
      <c r="B43" s="164"/>
    </row>
    <row r="44" spans="2:12" x14ac:dyDescent="0.2">
      <c r="B44" s="164"/>
    </row>
    <row r="45" spans="2:12" x14ac:dyDescent="0.2">
      <c r="B45" s="164"/>
    </row>
    <row r="46" spans="2:12" x14ac:dyDescent="0.2">
      <c r="B46" s="164"/>
    </row>
    <row r="47" spans="2:12" x14ac:dyDescent="0.2">
      <c r="B47" s="164"/>
    </row>
    <row r="48" spans="2:12" x14ac:dyDescent="0.2">
      <c r="B48" s="164"/>
    </row>
    <row r="49" spans="2:2" x14ac:dyDescent="0.2">
      <c r="B49" s="164"/>
    </row>
    <row r="50" spans="2:2" x14ac:dyDescent="0.2">
      <c r="B50" s="164"/>
    </row>
    <row r="51" spans="2:2" x14ac:dyDescent="0.2">
      <c r="B51" s="164"/>
    </row>
    <row r="52" spans="2:2" x14ac:dyDescent="0.2">
      <c r="B52" s="164"/>
    </row>
    <row r="53" spans="2:2" x14ac:dyDescent="0.2">
      <c r="B53" s="164"/>
    </row>
    <row r="54" spans="2:2" x14ac:dyDescent="0.2">
      <c r="B54" s="164"/>
    </row>
    <row r="55" spans="2:2" x14ac:dyDescent="0.2">
      <c r="B55" s="164"/>
    </row>
    <row r="56" spans="2:2" x14ac:dyDescent="0.2">
      <c r="B56" s="164"/>
    </row>
    <row r="57" spans="2:2" x14ac:dyDescent="0.2">
      <c r="B57" s="164"/>
    </row>
    <row r="58" spans="2:2" x14ac:dyDescent="0.2">
      <c r="B58" s="164"/>
    </row>
    <row r="59" spans="2:2" x14ac:dyDescent="0.2">
      <c r="B59" s="164"/>
    </row>
    <row r="60" spans="2:2" x14ac:dyDescent="0.2">
      <c r="B60" s="164"/>
    </row>
    <row r="61" spans="2:2" x14ac:dyDescent="0.2">
      <c r="B61" s="164"/>
    </row>
    <row r="62" spans="2:2" x14ac:dyDescent="0.2">
      <c r="B62" s="164"/>
    </row>
    <row r="63" spans="2:2" x14ac:dyDescent="0.2">
      <c r="B63" s="164"/>
    </row>
    <row r="64" spans="2:2" x14ac:dyDescent="0.2">
      <c r="B64" s="164"/>
    </row>
    <row r="65" spans="2:16" x14ac:dyDescent="0.2">
      <c r="B65" s="164"/>
    </row>
    <row r="66" spans="2:16" x14ac:dyDescent="0.2">
      <c r="B66" s="164"/>
    </row>
    <row r="67" spans="2:16" x14ac:dyDescent="0.2">
      <c r="B67" s="164"/>
    </row>
    <row r="68" spans="2:16" x14ac:dyDescent="0.2">
      <c r="B68" s="164"/>
    </row>
    <row r="69" spans="2:16" x14ac:dyDescent="0.2">
      <c r="B69" s="171"/>
      <c r="C69" s="172"/>
      <c r="D69" s="172"/>
      <c r="E69" s="172"/>
      <c r="F69" s="172"/>
      <c r="G69" s="172"/>
      <c r="H69" s="172"/>
      <c r="I69" s="172"/>
      <c r="J69" s="172"/>
      <c r="K69" s="172"/>
      <c r="L69" s="172"/>
      <c r="M69" s="172"/>
      <c r="N69" s="172"/>
      <c r="O69" s="172"/>
      <c r="P69" s="172"/>
    </row>
    <row r="70" spans="2:16" x14ac:dyDescent="0.2">
      <c r="B70" s="164"/>
    </row>
    <row r="71" spans="2:16" ht="25.9" customHeight="1" x14ac:dyDescent="0.2"/>
    <row r="72" spans="2:16" s="129" customFormat="1" ht="25.9" customHeight="1" x14ac:dyDescent="0.2">
      <c r="B72" s="173" t="s">
        <v>161</v>
      </c>
      <c r="C72" s="174"/>
      <c r="D72" s="175" t="s">
        <v>162</v>
      </c>
      <c r="H72" s="3"/>
      <c r="I72" s="3"/>
      <c r="K72" s="514" t="s">
        <v>163</v>
      </c>
      <c r="L72" s="514"/>
      <c r="M72" s="514"/>
      <c r="N72" s="514"/>
      <c r="O72" s="514"/>
    </row>
    <row r="73" spans="2:16" s="129" customFormat="1" ht="25.9" customHeight="1" x14ac:dyDescent="0.2">
      <c r="H73" s="3"/>
      <c r="I73" s="3"/>
      <c r="K73" s="514"/>
      <c r="L73" s="514"/>
      <c r="M73" s="514"/>
      <c r="N73" s="514"/>
      <c r="O73" s="514"/>
    </row>
    <row r="74" spans="2:16" s="129" customFormat="1" ht="39" customHeight="1" x14ac:dyDescent="0.2">
      <c r="B74" s="173" t="s">
        <v>164</v>
      </c>
      <c r="C74" s="174"/>
      <c r="D74" s="515" t="s">
        <v>165</v>
      </c>
      <c r="E74" s="515"/>
      <c r="F74" s="515"/>
      <c r="G74" s="515"/>
      <c r="H74" s="3"/>
      <c r="I74" s="3"/>
      <c r="K74" s="514"/>
      <c r="L74" s="514"/>
      <c r="M74" s="514"/>
      <c r="N74" s="514"/>
      <c r="O74" s="514"/>
    </row>
    <row r="75" spans="2:16" s="129" customFormat="1" ht="25.9" customHeight="1" x14ac:dyDescent="0.2">
      <c r="K75" s="514"/>
      <c r="L75" s="514"/>
      <c r="M75" s="514"/>
      <c r="N75" s="514"/>
      <c r="O75" s="514"/>
    </row>
    <row r="76" spans="2:16" s="129" customFormat="1" ht="25.9" customHeight="1" x14ac:dyDescent="0.2">
      <c r="B76" s="173" t="s">
        <v>166</v>
      </c>
      <c r="C76" s="174"/>
      <c r="D76" s="516"/>
      <c r="E76" s="516"/>
      <c r="F76" s="516"/>
      <c r="K76" s="176" t="s">
        <v>167</v>
      </c>
      <c r="L76" s="517" t="s">
        <v>168</v>
      </c>
      <c r="M76" s="517"/>
      <c r="N76" s="517"/>
      <c r="O76" s="517"/>
      <c r="P76" s="177"/>
    </row>
    <row r="77" spans="2:16" ht="25.9" customHeight="1" x14ac:dyDescent="0.2">
      <c r="D77" s="517" t="str">
        <f>'Calibration record'!H12</f>
        <v>J Scarrott</v>
      </c>
      <c r="E77" s="517"/>
      <c r="F77" s="517"/>
      <c r="H77" s="129"/>
      <c r="I77" s="129"/>
      <c r="J77" s="129"/>
      <c r="K77" s="129"/>
    </row>
    <row r="78" spans="2:16" ht="15" customHeight="1" x14ac:dyDescent="0.2">
      <c r="B78" s="164" t="s">
        <v>169</v>
      </c>
      <c r="H78" s="129"/>
      <c r="I78" s="129"/>
      <c r="J78" s="129"/>
      <c r="K78" s="513" t="s">
        <v>170</v>
      </c>
      <c r="L78" s="513"/>
      <c r="M78" s="513"/>
      <c r="N78" s="513"/>
      <c r="O78" s="513"/>
    </row>
    <row r="79" spans="2:16" ht="15" x14ac:dyDescent="0.2">
      <c r="B79" s="164" t="s">
        <v>171</v>
      </c>
      <c r="H79" s="129"/>
      <c r="I79" s="129"/>
      <c r="J79" s="129"/>
      <c r="K79" s="513"/>
      <c r="L79" s="513"/>
      <c r="M79" s="513"/>
      <c r="N79" s="513"/>
      <c r="O79" s="513"/>
    </row>
    <row r="80" spans="2:16" x14ac:dyDescent="0.2">
      <c r="B80" s="164" t="s">
        <v>172</v>
      </c>
      <c r="K80" s="513"/>
      <c r="L80" s="513"/>
      <c r="M80" s="513"/>
      <c r="N80" s="513"/>
      <c r="O80" s="513"/>
    </row>
    <row r="83" spans="2:15" x14ac:dyDescent="0.2">
      <c r="O83" s="178" t="s">
        <v>173</v>
      </c>
    </row>
    <row r="84" spans="2:15" x14ac:dyDescent="0.2">
      <c r="O84" s="178" t="s">
        <v>174</v>
      </c>
    </row>
    <row r="85" spans="2:15" x14ac:dyDescent="0.2">
      <c r="O85" s="178" t="s">
        <v>19</v>
      </c>
    </row>
    <row r="86" spans="2:15" x14ac:dyDescent="0.2">
      <c r="B86" s="179" t="s">
        <v>175</v>
      </c>
      <c r="C86" s="179"/>
      <c r="L86" s="179"/>
      <c r="N86" s="179"/>
      <c r="O86" s="178" t="s">
        <v>20</v>
      </c>
    </row>
    <row r="88" spans="2:15" x14ac:dyDescent="0.2">
      <c r="D88" s="179"/>
      <c r="E88" s="179"/>
      <c r="F88" s="179"/>
      <c r="G88" s="179"/>
      <c r="H88" s="179"/>
      <c r="I88" s="179"/>
      <c r="J88" s="179"/>
      <c r="K88" s="179"/>
    </row>
  </sheetData>
  <sheetProtection sheet="1" objects="1" scenarios="1"/>
  <mergeCells count="48">
    <mergeCell ref="K78:O80"/>
    <mergeCell ref="K72:O75"/>
    <mergeCell ref="D74:G74"/>
    <mergeCell ref="D76:F76"/>
    <mergeCell ref="L76:O76"/>
    <mergeCell ref="D77:F77"/>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19:F19"/>
    <mergeCell ref="D26:E26"/>
    <mergeCell ref="F26:G26"/>
    <mergeCell ref="H26:I26"/>
    <mergeCell ref="D27:E27"/>
    <mergeCell ref="F27:G27"/>
    <mergeCell ref="H27:I27"/>
    <mergeCell ref="B10:P10"/>
    <mergeCell ref="B13:O13"/>
    <mergeCell ref="B14:O14"/>
    <mergeCell ref="D17:F17"/>
    <mergeCell ref="D18:F18"/>
  </mergeCells>
  <conditionalFormatting sqref="D72">
    <cfRule type="cellIs" dxfId="9" priority="2" operator="equal">
      <formula>"PASS"</formula>
    </cfRule>
    <cfRule type="cellIs" dxfId="8" priority="3" operator="equal">
      <formula>"FAIL"</formula>
    </cfRule>
  </conditionalFormatting>
  <conditionalFormatting sqref="G40">
    <cfRule type="cellIs" dxfId="7" priority="7" operator="greaterThanOrEqual">
      <formula>1.19</formula>
    </cfRule>
    <cfRule type="cellIs" dxfId="6" priority="8" operator="lessThan">
      <formula>1.19</formula>
    </cfRule>
  </conditionalFormatting>
  <conditionalFormatting sqref="K72">
    <cfRule type="cellIs" dxfId="5" priority="5" operator="equal">
      <formula>"FAIL"</formula>
    </cfRule>
    <cfRule type="cellIs" dxfId="4" priority="6" operator="equal">
      <formula>"PASS - VERIFIED"</formula>
    </cfRule>
  </conditionalFormatting>
  <conditionalFormatting sqref="L28:L33">
    <cfRule type="cellIs" dxfId="3" priority="9" operator="lessThan">
      <formula>-0.1</formula>
    </cfRule>
    <cfRule type="cellIs" dxfId="2" priority="10" operator="greaterThan">
      <formula>0.1</formula>
    </cfRule>
    <cfRule type="cellIs" dxfId="1" priority="11" operator="between">
      <formula>-0.1</formula>
      <formula>0.1</formula>
    </cfRule>
  </conditionalFormatting>
  <conditionalFormatting sqref="O22">
    <cfRule type="cellIs" dxfId="0" priority="4" operator="greaterThan">
      <formula>0</formula>
    </cfRule>
  </conditionalFormatting>
  <dataValidations count="2">
    <dataValidation type="list" allowBlank="1" showInputMessage="1" showErrorMessage="1" sqref="D72" xr:uid="{00000000-0002-0000-1000-000000000000}">
      <formula1>"PASS,FAIL"</formula1>
      <formula2>0</formula2>
    </dataValidation>
    <dataValidation type="list" allowBlank="1" showInputMessage="1" showErrorMessage="1" sqref="K72" xr:uid="{00000000-0002-0000-1000-000001000000}">
      <formula1>"PASS - VERIFIED,FAIL"</formula1>
      <formula2>0</formula2>
    </dataValidation>
  </dataValidations>
  <pageMargins left="0.7" right="0.7" top="0.75" bottom="0.75" header="0.51180555555555496" footer="0.51180555555555496"/>
  <pageSetup paperSize="9" firstPageNumber="0" orientation="portrait" horizontalDpi="300" verticalDpi="3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70475e36154c5a6df9853e6a71789db3">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eb2bbe31f4c1165038e1bbd7a1ddea17"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_Flow_SignoffStatus xmlns="572944f8-833f-4c78-98b4-5f94e81f5976" xsi:nil="true"/>
    <lcf76f155ced4ddcb4097134ff3c332f xmlns="572944f8-833f-4c78-98b4-5f94e81f5976">
      <Terms xmlns="http://schemas.microsoft.com/office/infopath/2007/PartnerControls"/>
    </lcf76f155ced4ddcb4097134ff3c332f>
    <image_x0020_type xmlns="572944f8-833f-4c78-98b4-5f94e81f5976" xsi:nil="true"/>
  </documentManagement>
</p:properties>
</file>

<file path=customXml/itemProps1.xml><?xml version="1.0" encoding="utf-8"?>
<ds:datastoreItem xmlns:ds="http://schemas.openxmlformats.org/officeDocument/2006/customXml" ds:itemID="{27B284EC-2CC7-47F3-A75C-6C320C0955DF}">
  <ds:schemaRefs>
    <ds:schemaRef ds:uri="http://schemas.microsoft.com/DataMashup"/>
  </ds:schemaRefs>
</ds:datastoreItem>
</file>

<file path=customXml/itemProps2.xml><?xml version="1.0" encoding="utf-8"?>
<ds:datastoreItem xmlns:ds="http://schemas.openxmlformats.org/officeDocument/2006/customXml" ds:itemID="{D134036C-17E6-4C7F-80E5-F1A9D166B2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804FF4F-4846-4533-887C-6580A9B3765E}">
  <ds:schemaRefs>
    <ds:schemaRef ds:uri="http://schemas.microsoft.com/sharepoint/v3/contenttype/forms"/>
  </ds:schemaRefs>
</ds:datastoreItem>
</file>

<file path=customXml/itemProps4.xml><?xml version="1.0" encoding="utf-8"?>
<ds:datastoreItem xmlns:ds="http://schemas.openxmlformats.org/officeDocument/2006/customXml" ds:itemID="{869C9BEE-2CA8-4C45-A217-E868BC046E44}">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13</vt:i4>
      </vt:variant>
    </vt:vector>
  </HeadingPairs>
  <TitlesOfParts>
    <vt:vector size="33" baseType="lpstr">
      <vt:lpstr>mtd-10-micron</vt:lpstr>
      <vt:lpstr>mtd-100-micron</vt:lpstr>
      <vt:lpstr>CAL</vt:lpstr>
      <vt:lpstr>mtd</vt:lpstr>
      <vt:lpstr>ICM Job Card 2022</vt:lpstr>
      <vt:lpstr>Service Report</vt:lpstr>
      <vt:lpstr>UK Sterling service quote</vt:lpstr>
      <vt:lpstr>Non UK Sterling service quote</vt:lpstr>
      <vt:lpstr>Euro Service Quote</vt:lpstr>
      <vt:lpstr>Calibration record</vt:lpstr>
      <vt:lpstr>Post calibration</vt:lpstr>
      <vt:lpstr>MP Calibration Certificate</vt:lpstr>
      <vt:lpstr>DESCASE CERT</vt:lpstr>
      <vt:lpstr>LPM Certificate</vt:lpstr>
      <vt:lpstr>Solge Certificate</vt:lpstr>
      <vt:lpstr>RMF Certificate</vt:lpstr>
      <vt:lpstr>CCJ Certificate</vt:lpstr>
      <vt:lpstr>Hanzaflex Certificate</vt:lpstr>
      <vt:lpstr>ICM SUNHML Certificate</vt:lpstr>
      <vt:lpstr>Unbranded Cert</vt:lpstr>
      <vt:lpstr>CAL!_666.lpacal_1</vt:lpstr>
      <vt:lpstr>'Calibration record'!Print_Area</vt:lpstr>
      <vt:lpstr>'CCJ Certificate'!Print_Area</vt:lpstr>
      <vt:lpstr>'Hanzaflex Certificate'!Print_Area</vt:lpstr>
      <vt:lpstr>'ICM Job Card 2022'!Print_Area</vt:lpstr>
      <vt:lpstr>'ICM SUNHML Certificate'!Print_Area</vt:lpstr>
      <vt:lpstr>'LPM Certificate'!Print_Area</vt:lpstr>
      <vt:lpstr>'MP Calibration Certificate'!Print_Area</vt:lpstr>
      <vt:lpstr>mtd!Print_Area</vt:lpstr>
      <vt:lpstr>'RMF Certificate'!Print_Area</vt:lpstr>
      <vt:lpstr>'Solge Certificate'!Print_Area</vt:lpstr>
      <vt:lpstr>mtd!solver_adj</vt:lpstr>
      <vt:lpstr>mtd!solver_opt</vt:lpstr>
    </vt:vector>
  </TitlesOfParts>
  <Company>Plastech Control Systems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dc:description/>
  <cp:lastModifiedBy>Aaron Hayward</cp:lastModifiedBy>
  <cp:revision>0</cp:revision>
  <cp:lastPrinted>2024-06-04T11:07:23Z</cp:lastPrinted>
  <dcterms:created xsi:type="dcterms:W3CDTF">2002-07-09T10:21:12Z</dcterms:created>
  <dcterms:modified xsi:type="dcterms:W3CDTF">2025-12-16T14:37:49Z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Plastech Control Systems</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ContentTypeId">
    <vt:lpwstr>0x0101006E6BFFCDBA237041887AF7B2E09114C0</vt:lpwstr>
  </property>
  <property fmtid="{D5CDD505-2E9C-101B-9397-08002B2CF9AE}" pid="10" name="MediaServiceImageTags">
    <vt:lpwstr/>
  </property>
</Properties>
</file>