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etBeansProjects\HI-Parser v3\templates\"/>
    </mc:Choice>
  </mc:AlternateContent>
  <bookViews>
    <workbookView xWindow="0" yWindow="0" windowWidth="21570" windowHeight="8610" tabRatio="717" xr2:uid="{00000000-000D-0000-FFFF-FFFF00000000}"/>
  </bookViews>
  <sheets>
    <sheet name="Scores" sheetId="18" r:id="rId1"/>
    <sheet name="Totals" sheetId="37" r:id="rId2"/>
    <sheet name="Interior Hallway" sheetId="29" r:id="rId3"/>
    <sheet name="Dumpsters" sheetId="33" r:id="rId4"/>
    <sheet name="Main Supplies" sheetId="31" r:id="rId5"/>
    <sheet name="Landscaping" sheetId="32" r:id="rId6"/>
    <sheet name="Building Exterior" sheetId="30" r:id="rId7"/>
    <sheet name="Asphalt_Concrete" sheetId="36" r:id="rId8"/>
    <sheet name="Fencing" sheetId="34" r:id="rId9"/>
    <sheet name="Signage" sheetId="35" r:id="rId10"/>
  </sheets>
  <externalReferences>
    <externalReference r:id="rId11"/>
  </externalReferences>
  <definedNames>
    <definedName name="Floor">Scores!$AA$3</definedName>
    <definedName name="Units" localSheetId="1">[1]Summary!$D$1</definedName>
    <definedName name="Units">#REF!</definedName>
  </definedNames>
  <calcPr calcId="171027"/>
  <fileRecoveryPr autoRecover="0"/>
</workbook>
</file>

<file path=xl/calcChain.xml><?xml version="1.0" encoding="utf-8"?>
<calcChain xmlns="http://schemas.openxmlformats.org/spreadsheetml/2006/main">
  <c r="G46" i="37" l="1"/>
  <c r="G45" i="37"/>
  <c r="G44" i="37"/>
  <c r="G43" i="37"/>
  <c r="G42" i="37"/>
  <c r="G41" i="37"/>
  <c r="G40" i="37"/>
  <c r="G39" i="37"/>
  <c r="G38" i="37"/>
  <c r="G37" i="37"/>
  <c r="G34" i="37"/>
  <c r="G33" i="37"/>
  <c r="G32" i="37"/>
  <c r="B56" i="37"/>
  <c r="B55" i="37"/>
  <c r="B54" i="37"/>
  <c r="B53" i="37"/>
  <c r="B52" i="37"/>
  <c r="B51" i="37"/>
  <c r="B50" i="37"/>
  <c r="B49" i="37"/>
  <c r="B48" i="37"/>
  <c r="B45" i="37"/>
  <c r="B44" i="37"/>
  <c r="B43" i="37"/>
  <c r="B42" i="37"/>
  <c r="B41" i="37"/>
  <c r="B40" i="37"/>
  <c r="B39" i="37"/>
  <c r="B38" i="37"/>
  <c r="B37" i="37"/>
  <c r="B36" i="37"/>
  <c r="B35" i="37"/>
  <c r="G23" i="37"/>
  <c r="G22" i="37"/>
  <c r="G21" i="37"/>
  <c r="G20" i="37"/>
  <c r="G19" i="37"/>
  <c r="G18" i="37"/>
  <c r="G17" i="37"/>
  <c r="G29" i="37"/>
  <c r="G28" i="37"/>
  <c r="G27" i="37"/>
  <c r="G26" i="37"/>
  <c r="G14" i="37"/>
  <c r="G13" i="37"/>
  <c r="G12" i="37"/>
  <c r="G11" i="37"/>
  <c r="G10" i="37"/>
  <c r="G9" i="37"/>
  <c r="G8" i="37"/>
  <c r="G7" i="37"/>
  <c r="G6" i="37"/>
  <c r="G5" i="37"/>
  <c r="G4" i="37"/>
  <c r="G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33" i="30" l="1"/>
  <c r="B32" i="30"/>
  <c r="B31" i="30"/>
  <c r="B30" i="30"/>
  <c r="B29" i="30"/>
  <c r="B28" i="30"/>
  <c r="C5" i="35" l="1"/>
  <c r="C6" i="35"/>
  <c r="C7" i="35"/>
  <c r="C8" i="35"/>
  <c r="C9" i="35"/>
  <c r="D9" i="35" s="1"/>
  <c r="C10" i="35"/>
  <c r="D10" i="35" s="1"/>
  <c r="C11" i="35"/>
  <c r="D11" i="35" s="1"/>
  <c r="C12" i="35"/>
  <c r="C13" i="35"/>
  <c r="D13" i="35" s="1"/>
  <c r="C4" i="35"/>
  <c r="C6" i="34"/>
  <c r="C5" i="34"/>
  <c r="C4" i="34"/>
  <c r="C5" i="36"/>
  <c r="C6" i="36"/>
  <c r="D6" i="36" s="1"/>
  <c r="C7" i="36"/>
  <c r="C8" i="36"/>
  <c r="C9" i="36"/>
  <c r="C10" i="36"/>
  <c r="D10" i="36" s="1"/>
  <c r="C11" i="36"/>
  <c r="D11" i="36" s="1"/>
  <c r="C12" i="36"/>
  <c r="C4" i="36"/>
  <c r="C5" i="30"/>
  <c r="C6" i="30"/>
  <c r="C7" i="30"/>
  <c r="C8" i="30"/>
  <c r="C9" i="30"/>
  <c r="C10" i="30"/>
  <c r="C11" i="30"/>
  <c r="D11" i="30" s="1"/>
  <c r="C12" i="30"/>
  <c r="C13" i="30"/>
  <c r="C14" i="30"/>
  <c r="C15" i="30"/>
  <c r="C16" i="30"/>
  <c r="C17" i="30"/>
  <c r="C18" i="30"/>
  <c r="C19" i="30"/>
  <c r="D19" i="30" s="1"/>
  <c r="C20" i="30"/>
  <c r="C21" i="30"/>
  <c r="C22" i="30"/>
  <c r="C23" i="30"/>
  <c r="C24" i="30"/>
  <c r="C25" i="30"/>
  <c r="C26" i="30"/>
  <c r="C27" i="30"/>
  <c r="D27" i="30" s="1"/>
  <c r="C28" i="30"/>
  <c r="C29" i="30"/>
  <c r="C30" i="30"/>
  <c r="C31" i="30"/>
  <c r="C32" i="30"/>
  <c r="C33" i="30"/>
  <c r="C4" i="30"/>
  <c r="C5" i="32"/>
  <c r="C6" i="32"/>
  <c r="C7" i="32"/>
  <c r="C8" i="32"/>
  <c r="C9" i="32"/>
  <c r="C10" i="32"/>
  <c r="C11" i="32"/>
  <c r="D11" i="32" s="1"/>
  <c r="C12" i="32"/>
  <c r="C13" i="32"/>
  <c r="C14" i="32"/>
  <c r="C4" i="32"/>
  <c r="C5" i="31"/>
  <c r="D5" i="31" s="1"/>
  <c r="C6" i="31"/>
  <c r="D6" i="31" s="1"/>
  <c r="C7" i="31"/>
  <c r="C8" i="31"/>
  <c r="C9" i="31"/>
  <c r="C10" i="31"/>
  <c r="D10" i="31" s="1"/>
  <c r="C4" i="31"/>
  <c r="C5" i="33"/>
  <c r="C6" i="33"/>
  <c r="C7" i="33"/>
  <c r="C4" i="33"/>
  <c r="C5" i="29"/>
  <c r="C6" i="29"/>
  <c r="C7" i="29"/>
  <c r="C8" i="29"/>
  <c r="C9" i="29"/>
  <c r="C10" i="29"/>
  <c r="C11" i="29"/>
  <c r="C12" i="29"/>
  <c r="D12" i="29" s="1"/>
  <c r="C13" i="29"/>
  <c r="C14" i="29"/>
  <c r="C15" i="29"/>
  <c r="C4" i="29"/>
  <c r="B13" i="35"/>
  <c r="B12" i="35"/>
  <c r="B11" i="35"/>
  <c r="B10" i="35"/>
  <c r="B9" i="35"/>
  <c r="B8" i="35"/>
  <c r="B7" i="35"/>
  <c r="B6" i="35"/>
  <c r="B5" i="35"/>
  <c r="B4" i="35"/>
  <c r="D7" i="35"/>
  <c r="B12" i="36"/>
  <c r="B11" i="36"/>
  <c r="B10" i="36"/>
  <c r="B9" i="36"/>
  <c r="B8" i="36"/>
  <c r="B7" i="36"/>
  <c r="B6" i="36"/>
  <c r="B5" i="36"/>
  <c r="B4" i="36"/>
  <c r="B6" i="34"/>
  <c r="D6" i="34" s="1"/>
  <c r="B5" i="34"/>
  <c r="B4" i="34"/>
  <c r="D4" i="34" s="1"/>
  <c r="B27" i="30"/>
  <c r="B26" i="30"/>
  <c r="B25" i="30"/>
  <c r="B24" i="30"/>
  <c r="B23" i="30"/>
  <c r="B22" i="30"/>
  <c r="B21" i="30"/>
  <c r="D21" i="30" s="1"/>
  <c r="B20" i="30"/>
  <c r="B19" i="30"/>
  <c r="B18" i="30"/>
  <c r="D18" i="30" s="1"/>
  <c r="B17" i="30"/>
  <c r="B16" i="30"/>
  <c r="B15" i="30"/>
  <c r="B14" i="30"/>
  <c r="D14" i="30" s="1"/>
  <c r="B13" i="30"/>
  <c r="D13" i="30" s="1"/>
  <c r="B12" i="30"/>
  <c r="B11" i="30"/>
  <c r="B10" i="30"/>
  <c r="B9" i="30"/>
  <c r="B8" i="30"/>
  <c r="B7" i="30"/>
  <c r="B6" i="30"/>
  <c r="D6" i="30" s="1"/>
  <c r="B5" i="30"/>
  <c r="D5" i="30" s="1"/>
  <c r="B4" i="30"/>
  <c r="D33" i="30"/>
  <c r="D29" i="30"/>
  <c r="D28" i="30"/>
  <c r="D26" i="30"/>
  <c r="D10" i="30"/>
  <c r="D20" i="30"/>
  <c r="D12" i="30"/>
  <c r="D4" i="30"/>
  <c r="B14" i="32"/>
  <c r="B13" i="32"/>
  <c r="D13" i="32" s="1"/>
  <c r="B12" i="32"/>
  <c r="B11" i="32"/>
  <c r="B10" i="32"/>
  <c r="D10" i="32" s="1"/>
  <c r="B9" i="32"/>
  <c r="D9" i="32" s="1"/>
  <c r="B8" i="32"/>
  <c r="B7" i="32"/>
  <c r="D7" i="32" s="1"/>
  <c r="B6" i="32"/>
  <c r="D6" i="32" s="1"/>
  <c r="B5" i="32"/>
  <c r="D5" i="32" s="1"/>
  <c r="B4" i="32"/>
  <c r="D8" i="32"/>
  <c r="D4" i="32"/>
  <c r="B10" i="31"/>
  <c r="B9" i="31"/>
  <c r="B8" i="31"/>
  <c r="B7" i="31"/>
  <c r="B6" i="31"/>
  <c r="B5" i="31"/>
  <c r="B4" i="31"/>
  <c r="D4" i="31" s="1"/>
  <c r="D9" i="31"/>
  <c r="D8" i="31"/>
  <c r="D7" i="31"/>
  <c r="B7" i="33"/>
  <c r="D7" i="33" s="1"/>
  <c r="B6" i="33"/>
  <c r="B5" i="33"/>
  <c r="D5" i="33" s="1"/>
  <c r="B4" i="33"/>
  <c r="D4" i="33" s="1"/>
  <c r="B15" i="29"/>
  <c r="D15" i="29" s="1"/>
  <c r="B14" i="29"/>
  <c r="D14" i="29" s="1"/>
  <c r="B13" i="29"/>
  <c r="D13" i="29" s="1"/>
  <c r="B12" i="29"/>
  <c r="B11" i="29"/>
  <c r="D11" i="29" s="1"/>
  <c r="B10" i="29"/>
  <c r="D10" i="29" s="1"/>
  <c r="B9" i="29"/>
  <c r="D9" i="29" s="1"/>
  <c r="B8" i="29"/>
  <c r="B7" i="29"/>
  <c r="D7" i="29" s="1"/>
  <c r="B6" i="29"/>
  <c r="D6" i="29" s="1"/>
  <c r="B5" i="29"/>
  <c r="D5" i="29" s="1"/>
  <c r="B4" i="29"/>
  <c r="D4" i="29" s="1"/>
  <c r="D12" i="36"/>
  <c r="D9" i="36"/>
  <c r="D8" i="36"/>
  <c r="D7" i="36"/>
  <c r="D4" i="36"/>
  <c r="D12" i="35"/>
  <c r="D8" i="35"/>
  <c r="D5" i="35"/>
  <c r="D4" i="35"/>
  <c r="D14" i="32"/>
  <c r="D12" i="32"/>
  <c r="D8" i="29"/>
  <c r="D32" i="30"/>
  <c r="D31" i="30"/>
  <c r="D30" i="30"/>
  <c r="D25" i="30"/>
  <c r="D24" i="30"/>
  <c r="D23" i="30"/>
  <c r="D17" i="30"/>
  <c r="D16" i="30"/>
  <c r="D15" i="30"/>
  <c r="D9" i="30"/>
  <c r="D8" i="30"/>
  <c r="D7" i="30"/>
  <c r="D49" i="37"/>
  <c r="D50" i="37"/>
  <c r="D51" i="37"/>
  <c r="D52" i="37"/>
  <c r="D53" i="37"/>
  <c r="D54" i="37"/>
  <c r="D55" i="37"/>
  <c r="D56" i="37"/>
  <c r="D48" i="37"/>
  <c r="D36" i="37"/>
  <c r="D37" i="37"/>
  <c r="D38" i="37"/>
  <c r="D39" i="37"/>
  <c r="D40" i="37"/>
  <c r="D41" i="37"/>
  <c r="D42" i="37"/>
  <c r="D43" i="37"/>
  <c r="D44" i="37"/>
  <c r="D45" i="37"/>
  <c r="D35" i="37"/>
  <c r="I38" i="37"/>
  <c r="I39" i="37"/>
  <c r="I40" i="37"/>
  <c r="I41" i="37"/>
  <c r="I42" i="37"/>
  <c r="I43" i="37"/>
  <c r="I44" i="37"/>
  <c r="I45" i="37"/>
  <c r="I46" i="37"/>
  <c r="I37" i="37"/>
  <c r="I34" i="37"/>
  <c r="I33" i="37"/>
  <c r="I32" i="37"/>
  <c r="I27" i="37"/>
  <c r="I28" i="37"/>
  <c r="I29" i="37"/>
  <c r="I26" i="37"/>
  <c r="I23" i="37"/>
  <c r="I22" i="37"/>
  <c r="I21" i="37"/>
  <c r="I20" i="37"/>
  <c r="I19" i="37"/>
  <c r="I18" i="37"/>
  <c r="I17" i="37"/>
  <c r="I14" i="37"/>
  <c r="I13" i="37"/>
  <c r="I12" i="37"/>
  <c r="I11" i="37"/>
  <c r="I10" i="37"/>
  <c r="I9" i="37"/>
  <c r="I8" i="37"/>
  <c r="I7" i="37"/>
  <c r="I6" i="37"/>
  <c r="I5" i="37"/>
  <c r="I4" i="37"/>
  <c r="I3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11" i="37"/>
  <c r="D10" i="37"/>
  <c r="D9" i="37"/>
  <c r="D8" i="37"/>
  <c r="D7" i="37"/>
  <c r="D6" i="37"/>
  <c r="D5" i="37"/>
  <c r="D4" i="37"/>
  <c r="D3" i="37"/>
  <c r="D22" i="30" l="1"/>
  <c r="D6" i="35"/>
  <c r="D5" i="34"/>
  <c r="D5" i="36"/>
  <c r="D6" i="33"/>
  <c r="H58" i="37"/>
</calcChain>
</file>

<file path=xl/sharedStrings.xml><?xml version="1.0" encoding="utf-8"?>
<sst xmlns="http://schemas.openxmlformats.org/spreadsheetml/2006/main" count="427" uniqueCount="198">
  <si>
    <t>Floor</t>
  </si>
  <si>
    <t>Doors</t>
  </si>
  <si>
    <t>Windows</t>
  </si>
  <si>
    <t>Stairs</t>
  </si>
  <si>
    <t>Total</t>
  </si>
  <si>
    <t>Gutters</t>
  </si>
  <si>
    <t>Down Spouts</t>
  </si>
  <si>
    <t>Roofs</t>
  </si>
  <si>
    <t>Moldings</t>
  </si>
  <si>
    <t>Lighting</t>
  </si>
  <si>
    <t>Retaining Walls</t>
  </si>
  <si>
    <t>Irrigation</t>
  </si>
  <si>
    <t>Landscaping</t>
  </si>
  <si>
    <t>Gates</t>
  </si>
  <si>
    <t>Walls/Ceiling</t>
  </si>
  <si>
    <t>Smoke Detectors</t>
  </si>
  <si>
    <t>Building</t>
  </si>
  <si>
    <t>Light Fixtures</t>
  </si>
  <si>
    <t>Handrails</t>
  </si>
  <si>
    <t>Fire Extinguisher</t>
  </si>
  <si>
    <t>Stair Coverings</t>
  </si>
  <si>
    <t>Door Knockers</t>
  </si>
  <si>
    <t>Unit Numbers on Doors</t>
  </si>
  <si>
    <t>Interior Hallway</t>
  </si>
  <si>
    <t>Fence Pickets</t>
  </si>
  <si>
    <t>Gate Holes in Ground</t>
  </si>
  <si>
    <t>Ballasts/Bumpers</t>
  </si>
  <si>
    <t>Dumpsters</t>
  </si>
  <si>
    <t>Water Shutoff</t>
  </si>
  <si>
    <t>Sump Pumps</t>
  </si>
  <si>
    <t>Sewer Cleanout</t>
  </si>
  <si>
    <t>Electric Meter</t>
  </si>
  <si>
    <t>Gas Meter</t>
  </si>
  <si>
    <t>Fire Hydrants</t>
  </si>
  <si>
    <t>HVAC Shutoff Locations</t>
  </si>
  <si>
    <t>Main Supplies</t>
  </si>
  <si>
    <t>Trees</t>
  </si>
  <si>
    <t>Bushes</t>
  </si>
  <si>
    <t>Mulch/Gravel</t>
  </si>
  <si>
    <t>Drainage</t>
  </si>
  <si>
    <t>Water Pooling</t>
  </si>
  <si>
    <t>Weeds</t>
  </si>
  <si>
    <t>Picnic/Sitting Area</t>
  </si>
  <si>
    <t>Debris</t>
  </si>
  <si>
    <t>Soffit</t>
  </si>
  <si>
    <t>Fascia</t>
  </si>
  <si>
    <t>Siding/Stucco</t>
  </si>
  <si>
    <t>Vent Pipes &amp; Caging</t>
  </si>
  <si>
    <t>Gutter Drains on Roofs</t>
  </si>
  <si>
    <t>Debris on Roofs</t>
  </si>
  <si>
    <t>Window Weather Stripping</t>
  </si>
  <si>
    <t>Foundation Cracks</t>
  </si>
  <si>
    <t>Foundation Leaks</t>
  </si>
  <si>
    <t>Porch Posts</t>
  </si>
  <si>
    <t>Mailbox</t>
  </si>
  <si>
    <t>Brickwork</t>
  </si>
  <si>
    <t>Termites</t>
  </si>
  <si>
    <t>Door Hardware</t>
  </si>
  <si>
    <t>Satellites</t>
  </si>
  <si>
    <t>Exposed Wiring/Cables</t>
  </si>
  <si>
    <t>Decks</t>
  </si>
  <si>
    <t>Deck Flashing</t>
  </si>
  <si>
    <t>Exterior Unit Numbers</t>
  </si>
  <si>
    <t>HVAC/AC</t>
  </si>
  <si>
    <t>Window Wells</t>
  </si>
  <si>
    <t>Exterior Access</t>
  </si>
  <si>
    <t>Building Exterior</t>
  </si>
  <si>
    <t>Overlay</t>
  </si>
  <si>
    <t>Parking Bumpers</t>
  </si>
  <si>
    <t>Striping</t>
  </si>
  <si>
    <t>Sealing</t>
  </si>
  <si>
    <t>Crack Filings</t>
  </si>
  <si>
    <t>Potholes</t>
  </si>
  <si>
    <t>Sidewalks</t>
  </si>
  <si>
    <t>Trip Hazards</t>
  </si>
  <si>
    <t>Handicap Parking</t>
  </si>
  <si>
    <t>Asphalt/Concrete</t>
  </si>
  <si>
    <t>Locks/Latches</t>
  </si>
  <si>
    <t>Fencing</t>
  </si>
  <si>
    <t>Entrance Sign</t>
  </si>
  <si>
    <t>Office Signange</t>
  </si>
  <si>
    <t>Street Signs</t>
  </si>
  <si>
    <t>Parking Signs</t>
  </si>
  <si>
    <t>Pool Signage</t>
  </si>
  <si>
    <t>ADA Marking on Pavement</t>
  </si>
  <si>
    <t>Dog Park Signs</t>
  </si>
  <si>
    <t>Dumpster Signage</t>
  </si>
  <si>
    <t>Fire Lane Signs</t>
  </si>
  <si>
    <t>Signage</t>
  </si>
  <si>
    <t>Floor - IH</t>
  </si>
  <si>
    <t>Doors - IH</t>
  </si>
  <si>
    <t>Door Hardware - IH</t>
  </si>
  <si>
    <t>Walls/Ceilings - IH</t>
  </si>
  <si>
    <t>Light Fixtures - IH</t>
  </si>
  <si>
    <t>Handrails - IH</t>
  </si>
  <si>
    <t>Moldings - IH</t>
  </si>
  <si>
    <t>Smoke Detectors - IH</t>
  </si>
  <si>
    <t>Fire Extinguisher - IH</t>
  </si>
  <si>
    <t>Stair Coverings - IH</t>
  </si>
  <si>
    <t>Door Knockers - IH</t>
  </si>
  <si>
    <t>Unit Numbers on Doors - IH</t>
  </si>
  <si>
    <t>Gate Holes in Ground - D</t>
  </si>
  <si>
    <t>Fence Pickets - D</t>
  </si>
  <si>
    <t>Gates - D</t>
  </si>
  <si>
    <t>Ballasts/Bumpers - D</t>
  </si>
  <si>
    <t>Water Shutoff - MS</t>
  </si>
  <si>
    <t>Sump Pumps - MS</t>
  </si>
  <si>
    <t>Sewer Cleanout - MS</t>
  </si>
  <si>
    <t>Electric Meter - MS</t>
  </si>
  <si>
    <t>Gas Meter - MS</t>
  </si>
  <si>
    <t>Fire Hydrants - MS</t>
  </si>
  <si>
    <t>HVAC Shutoff - MS</t>
  </si>
  <si>
    <t>Trees - L</t>
  </si>
  <si>
    <t>Bushes - L</t>
  </si>
  <si>
    <t>Mulch/Gravel - L</t>
  </si>
  <si>
    <t>Retaining Walls - L</t>
  </si>
  <si>
    <t>Irrigation - L</t>
  </si>
  <si>
    <t>Drainage - L</t>
  </si>
  <si>
    <t>Water Pooling - L</t>
  </si>
  <si>
    <t>Weeds - L</t>
  </si>
  <si>
    <t>Picnic/Sitting Area - L</t>
  </si>
  <si>
    <t>Lighting - L</t>
  </si>
  <si>
    <t>Debris - L</t>
  </si>
  <si>
    <t>Gutters - BE</t>
  </si>
  <si>
    <t>Down Spouts - BE</t>
  </si>
  <si>
    <t>Soffit - BE</t>
  </si>
  <si>
    <t>Fascia - BE</t>
  </si>
  <si>
    <t>Siding/Stucco - BE</t>
  </si>
  <si>
    <t>Roofs - BE</t>
  </si>
  <si>
    <t>Vent Pipes/Caging - BE</t>
  </si>
  <si>
    <t>Gutter Drains - BE</t>
  </si>
  <si>
    <t>Debris on Roofs - BE</t>
  </si>
  <si>
    <t>Windows - BE</t>
  </si>
  <si>
    <t>Window Weather Stripping - BE</t>
  </si>
  <si>
    <t>Foundation Cracks - BE</t>
  </si>
  <si>
    <t>Foundation Leaks - BE</t>
  </si>
  <si>
    <t>Porch Posts - BE</t>
  </si>
  <si>
    <t>Mailbox - BE</t>
  </si>
  <si>
    <t>Brickwork - BE</t>
  </si>
  <si>
    <t>Termites - BE</t>
  </si>
  <si>
    <t>Doors - BE</t>
  </si>
  <si>
    <t>Door Hardware - BE</t>
  </si>
  <si>
    <t>Satellites - BE</t>
  </si>
  <si>
    <t>Exposed Wiring/Cables - BE</t>
  </si>
  <si>
    <t>Decks - BE</t>
  </si>
  <si>
    <t>Deck Flashing - BE</t>
  </si>
  <si>
    <t>Lighting - BE</t>
  </si>
  <si>
    <t>Stairs - BE</t>
  </si>
  <si>
    <t>Handrails - BE</t>
  </si>
  <si>
    <t>Exterior Unit Numbers - BE</t>
  </si>
  <si>
    <t>HVAC/AC - BE</t>
  </si>
  <si>
    <t>Window Wells - BE</t>
  </si>
  <si>
    <t>Exterior Access - BE</t>
  </si>
  <si>
    <t>Overlay - AC</t>
  </si>
  <si>
    <t>Parking Bumpers - AC</t>
  </si>
  <si>
    <t>Striping - AC</t>
  </si>
  <si>
    <t>Sealing - AC</t>
  </si>
  <si>
    <t>Crack Fillings - AC</t>
  </si>
  <si>
    <t>Potholes - AC</t>
  </si>
  <si>
    <t>Sidewalks - AC</t>
  </si>
  <si>
    <t>Trip Hazards - AC</t>
  </si>
  <si>
    <t>Handicap Parking - AC</t>
  </si>
  <si>
    <t>Fence Pickets - F</t>
  </si>
  <si>
    <t>Locks/Latches - F</t>
  </si>
  <si>
    <t>Gates - F</t>
  </si>
  <si>
    <t>Entrance Sign - S</t>
  </si>
  <si>
    <t>Office Signage - S</t>
  </si>
  <si>
    <t>Street Signs - S</t>
  </si>
  <si>
    <t>Parking Signs - S</t>
  </si>
  <si>
    <t>Handicap Parking - S</t>
  </si>
  <si>
    <t>Pool Signage - S</t>
  </si>
  <si>
    <t>ADA - S</t>
  </si>
  <si>
    <t>Dog Park Signs - S</t>
  </si>
  <si>
    <t>Dumpster Signage - S</t>
  </si>
  <si>
    <t>Fire Lane Signs - S</t>
  </si>
  <si>
    <t>HVAC Shutoff</t>
  </si>
  <si>
    <t>Sump Pump</t>
  </si>
  <si>
    <t>Gutter Drains</t>
  </si>
  <si>
    <t>Weather Stripping</t>
  </si>
  <si>
    <t>Crack Fillings</t>
  </si>
  <si>
    <t>Office Sign</t>
  </si>
  <si>
    <t>Pool Signs</t>
  </si>
  <si>
    <t>ADA Pavement Marking</t>
  </si>
  <si>
    <t>Dumpster Signs</t>
  </si>
  <si>
    <t>Grills</t>
  </si>
  <si>
    <t>Grills - L</t>
  </si>
  <si>
    <t>Dog Park</t>
  </si>
  <si>
    <t>Dog Park Fence</t>
  </si>
  <si>
    <t>Dog Park - L</t>
  </si>
  <si>
    <t>Dog Park Fence - L</t>
  </si>
  <si>
    <t>Spindles - BE</t>
  </si>
  <si>
    <t>Spindles</t>
  </si>
  <si>
    <t>Total #</t>
  </si>
  <si>
    <t>Cost</t>
  </si>
  <si>
    <t>Total Cost</t>
  </si>
  <si>
    <t>Grand Total</t>
  </si>
  <si>
    <t># of 3's</t>
  </si>
  <si>
    <t>Price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</si>
</sst>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6100"/>
      <name val="Calibri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2" fillId="0" borderId="0"/>
    <xf numFmtId="0" fontId="5" fillId="0" borderId="0"/>
    <xf numFmtId="0" fontId="4" fillId="0" borderId="0"/>
    <xf numFmtId="0" fontId="3" fillId="0" borderId="0"/>
    <xf numFmtId="0" fontId="16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0" fontId="7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 textRotation="90"/>
    </xf>
    <xf numFmtId="0" fontId="6" fillId="0" borderId="3" xfId="0" applyFont="1" applyFill="1" applyBorder="1" applyAlignment="1">
      <alignment horizontal="center" textRotation="90"/>
    </xf>
    <xf numFmtId="0" fontId="6" fillId="0" borderId="6" xfId="0" applyFont="1" applyFill="1" applyBorder="1" applyAlignment="1">
      <alignment horizontal="center" textRotation="90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0" xfId="0" applyFont="1" applyBorder="1" applyAlignment="1"/>
    <xf numFmtId="0" fontId="8" fillId="3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/>
    <xf numFmtId="0" fontId="11" fillId="2" borderId="0" xfId="0" applyFont="1" applyFill="1" applyBorder="1" applyAlignment="1">
      <alignment horizontal="center" vertical="top" textRotation="90"/>
    </xf>
    <xf numFmtId="0" fontId="11" fillId="2" borderId="8" xfId="0" applyFont="1" applyFill="1" applyBorder="1" applyAlignment="1">
      <alignment horizontal="center" vertical="top" textRotation="90"/>
    </xf>
    <xf numFmtId="0" fontId="11" fillId="2" borderId="7" xfId="0" applyFont="1" applyFill="1" applyBorder="1" applyAlignment="1">
      <alignment horizontal="center" vertical="top" textRotation="90"/>
    </xf>
    <xf numFmtId="0" fontId="9" fillId="0" borderId="4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10" fillId="0" borderId="0" xfId="0" applyFont="1" applyAlignment="1"/>
    <xf numFmtId="0" fontId="13" fillId="0" borderId="1" xfId="0" applyFont="1" applyBorder="1" applyAlignment="1">
      <alignment horizontal="center"/>
    </xf>
    <xf numFmtId="0" fontId="14" fillId="0" borderId="11" xfId="7" applyFont="1" applyBorder="1"/>
    <xf numFmtId="0" fontId="13" fillId="0" borderId="1" xfId="7" applyFont="1" applyBorder="1" applyAlignment="1">
      <alignment horizontal="center"/>
    </xf>
    <xf numFmtId="0" fontId="1" fillId="0" borderId="0" xfId="7"/>
    <xf numFmtId="0" fontId="1" fillId="0" borderId="12" xfId="7" applyBorder="1" applyAlignment="1">
      <alignment horizontal="center"/>
    </xf>
    <xf numFmtId="44" fontId="12" fillId="4" borderId="12" xfId="8" applyFont="1" applyFill="1" applyBorder="1"/>
    <xf numFmtId="44" fontId="0" fillId="0" borderId="15" xfId="8" applyFont="1" applyBorder="1"/>
    <xf numFmtId="0" fontId="1" fillId="0" borderId="13" xfId="7" applyBorder="1" applyAlignment="1">
      <alignment horizontal="center"/>
    </xf>
    <xf numFmtId="44" fontId="12" fillId="4" borderId="13" xfId="8" applyFont="1" applyFill="1" applyBorder="1"/>
    <xf numFmtId="44" fontId="0" fillId="0" borderId="17" xfId="8" applyFont="1" applyBorder="1"/>
    <xf numFmtId="44" fontId="12" fillId="4" borderId="19" xfId="8" applyFont="1" applyFill="1" applyBorder="1"/>
    <xf numFmtId="44" fontId="0" fillId="0" borderId="20" xfId="8" applyFont="1" applyBorder="1"/>
    <xf numFmtId="0" fontId="1" fillId="0" borderId="19" xfId="7" applyBorder="1" applyAlignment="1">
      <alignment horizontal="center"/>
    </xf>
    <xf numFmtId="0" fontId="1" fillId="0" borderId="22" xfId="7" applyBorder="1"/>
    <xf numFmtId="0" fontId="1" fillId="0" borderId="0" xfId="7" applyBorder="1"/>
    <xf numFmtId="0" fontId="1" fillId="0" borderId="23" xfId="7" applyBorder="1"/>
    <xf numFmtId="0" fontId="13" fillId="0" borderId="0" xfId="7" applyFont="1"/>
    <xf numFmtId="0" fontId="15" fillId="0" borderId="14" xfId="0" applyFont="1" applyFill="1" applyBorder="1" applyAlignment="1">
      <alignment horizontal="right"/>
    </xf>
    <xf numFmtId="0" fontId="15" fillId="0" borderId="16" xfId="0" applyFont="1" applyFill="1" applyBorder="1" applyAlignment="1">
      <alignment horizontal="right"/>
    </xf>
    <xf numFmtId="0" fontId="15" fillId="0" borderId="25" xfId="0" applyFont="1" applyFill="1" applyBorder="1" applyAlignment="1">
      <alignment horizontal="right"/>
    </xf>
    <xf numFmtId="0" fontId="15" fillId="0" borderId="21" xfId="0" applyFont="1" applyFill="1" applyBorder="1" applyAlignment="1">
      <alignment horizontal="right"/>
    </xf>
    <xf numFmtId="0" fontId="15" fillId="0" borderId="18" xfId="0" applyFont="1" applyFill="1" applyBorder="1" applyAlignment="1">
      <alignment horizontal="right"/>
    </xf>
    <xf numFmtId="0" fontId="14" fillId="0" borderId="10" xfId="7" applyFont="1" applyBorder="1"/>
    <xf numFmtId="44" fontId="0" fillId="0" borderId="10" xfId="8" applyFont="1" applyBorder="1"/>
    <xf numFmtId="0" fontId="17" fillId="0" borderId="0" xfId="0" applyFont="1"/>
    <xf numFmtId="0" fontId="0" fillId="0" borderId="1" xfId="0" applyBorder="1"/>
    <xf numFmtId="0" fontId="18" fillId="0" borderId="14" xfId="0" applyFont="1" applyFill="1" applyBorder="1" applyAlignment="1">
      <alignment horizontal="left"/>
    </xf>
    <xf numFmtId="0" fontId="18" fillId="0" borderId="16" xfId="0" applyFont="1" applyFill="1" applyBorder="1" applyAlignment="1">
      <alignment horizontal="left"/>
    </xf>
    <xf numFmtId="0" fontId="18" fillId="0" borderId="25" xfId="0" applyFont="1" applyFill="1" applyBorder="1" applyAlignment="1">
      <alignment horizontal="left"/>
    </xf>
    <xf numFmtId="0" fontId="18" fillId="0" borderId="21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44" fontId="1" fillId="0" borderId="24" xfId="7" applyNumberFormat="1" applyBorder="1" applyAlignment="1">
      <alignment horizontal="right"/>
    </xf>
  </cellXfs>
  <cellStyles count="10">
    <cellStyle name="Currency 2" xfId="8" xr:uid="{CAE548DC-FF0B-4B07-9DD7-7DA415111C1B}"/>
    <cellStyle name="Good 2" xfId="6" xr:uid="{19561989-D678-4007-9775-CD1A399D3542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3" xr:uid="{00000000-0005-0000-0000-000004000000}"/>
    <cellStyle name="Normal 3" xfId="4" xr:uid="{00000000-0005-0000-0000-000005000000}"/>
    <cellStyle name="Normal 3 2" xfId="9" xr:uid="{8773A8AB-E084-4470-A687-022A58259568}"/>
    <cellStyle name="Normal 4" xfId="2" xr:uid="{00000000-0005-0000-0000-000006000000}"/>
    <cellStyle name="Normal 5" xfId="7" xr:uid="{62EF4903-309C-485D-A5F9-CF55665D8B3A}"/>
  </cellStyles>
  <dxfs count="176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9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ipley\Documents\NetBeansProjects\HI-Parser%20v2\templates\consolidated_interior_template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Scores"/>
      <sheetName val="Details"/>
      <sheetName val="Notes"/>
      <sheetName val="Photos"/>
      <sheetName val="Summary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ta" displayName="Data" ref="B4:CN45" headerRowDxfId="175" dataDxfId="174" totalsRowDxfId="172" tableBorderDxfId="173">
  <autoFilter ref="B4:CN45" xr:uid="{00000000-0009-0000-0100-000005000000}"/>
  <sortState ref="B5:CN146">
    <sortCondition ref="B4:B146"/>
  </sortState>
  <tableColumns count="91">
    <tableColumn id="1" xr3:uid="{00000000-0010-0000-0000-000001000000}" name="Building" totalsRowLabel="Total" dataDxfId="171"/>
    <tableColumn id="2" xr3:uid="{00000000-0010-0000-0000-000002000000}" name="Floor - IH" totalsRowFunction="count" dataDxfId="170" totalsRowDxfId="169"/>
    <tableColumn id="3" xr3:uid="{00000000-0010-0000-0000-000003000000}" name="Doors - IH" totalsRowFunction="count" dataDxfId="168" totalsRowDxfId="167"/>
    <tableColumn id="4" xr3:uid="{00000000-0010-0000-0000-000004000000}" name="Door Hardware - IH" totalsRowFunction="count" dataDxfId="166" totalsRowDxfId="165"/>
    <tableColumn id="5" xr3:uid="{00000000-0010-0000-0000-000005000000}" name="Walls/Ceilings - IH" totalsRowFunction="count" dataDxfId="164" totalsRowDxfId="163"/>
    <tableColumn id="6" xr3:uid="{00000000-0010-0000-0000-000006000000}" name="Light Fixtures - IH" totalsRowFunction="count" dataDxfId="162" totalsRowDxfId="161"/>
    <tableColumn id="7" xr3:uid="{00000000-0010-0000-0000-000007000000}" name="Handrails - IH" totalsRowFunction="count" dataDxfId="160" totalsRowDxfId="159"/>
    <tableColumn id="8" xr3:uid="{00000000-0010-0000-0000-000008000000}" name="Moldings - IH" totalsRowFunction="count" dataDxfId="158" totalsRowDxfId="157"/>
    <tableColumn id="9" xr3:uid="{00000000-0010-0000-0000-000009000000}" name="Smoke Detectors - IH" totalsRowFunction="count" dataDxfId="156" totalsRowDxfId="155"/>
    <tableColumn id="10" xr3:uid="{00000000-0010-0000-0000-00000A000000}" name="Fire Extinguisher - IH" totalsRowFunction="count" dataDxfId="154" totalsRowDxfId="153"/>
    <tableColumn id="11" xr3:uid="{00000000-0010-0000-0000-00000B000000}" name="Stair Coverings - IH" totalsRowFunction="count" dataDxfId="152" totalsRowDxfId="151"/>
    <tableColumn id="12" xr3:uid="{00000000-0010-0000-0000-00000C000000}" name="Door Knockers - IH" totalsRowFunction="count" dataDxfId="150" totalsRowDxfId="149"/>
    <tableColumn id="13" xr3:uid="{00000000-0010-0000-0000-00000D000000}" name="Unit Numbers on Doors - IH" totalsRowFunction="count" dataDxfId="148" totalsRowDxfId="147"/>
    <tableColumn id="105" xr3:uid="{00000000-0010-0000-0000-000069000000}" name="Fence Pickets - D" dataDxfId="146" totalsRowDxfId="145"/>
    <tableColumn id="22" xr3:uid="{00000000-0010-0000-0000-000016000000}" name="Gates - D" dataDxfId="144" totalsRowDxfId="143"/>
    <tableColumn id="15" xr3:uid="{00000000-0010-0000-0000-00000F000000}" name="Gate Holes in Ground - D" totalsRowFunction="count" dataDxfId="142" totalsRowDxfId="141"/>
    <tableColumn id="106" xr3:uid="{00000000-0010-0000-0000-00006A000000}" name="Ballasts/Bumpers - D" dataDxfId="140" totalsRowDxfId="139"/>
    <tableColumn id="16" xr3:uid="{00000000-0010-0000-0000-000010000000}" name="Water Shutoff - MS" totalsRowFunction="count" dataDxfId="138" totalsRowDxfId="137"/>
    <tableColumn id="107" xr3:uid="{00000000-0010-0000-0000-00006B000000}" name="Sump Pumps - MS" dataDxfId="136" totalsRowDxfId="135"/>
    <tableColumn id="17" xr3:uid="{00000000-0010-0000-0000-000011000000}" name="Sewer Cleanout - MS" totalsRowFunction="count" dataDxfId="134" totalsRowDxfId="133"/>
    <tableColumn id="109" xr3:uid="{00000000-0010-0000-0000-00006D000000}" name="Electric Meter - MS" dataDxfId="132" totalsRowDxfId="131"/>
    <tableColumn id="18" xr3:uid="{00000000-0010-0000-0000-000012000000}" name="Gas Meter - MS" totalsRowFunction="count" dataDxfId="130" totalsRowDxfId="129"/>
    <tableColumn id="113" xr3:uid="{00000000-0010-0000-0000-000071000000}" name="Fire Hydrants - MS" dataDxfId="128" totalsRowDxfId="127"/>
    <tableColumn id="19" xr3:uid="{00000000-0010-0000-0000-000013000000}" name="HVAC Shutoff - MS" totalsRowFunction="count" dataDxfId="126" totalsRowDxfId="125"/>
    <tableColumn id="117" xr3:uid="{00000000-0010-0000-0000-000075000000}" name="Trees - L" dataDxfId="124" totalsRowDxfId="123"/>
    <tableColumn id="114" xr3:uid="{00000000-0010-0000-0000-000072000000}" name="Bushes - L" dataDxfId="122" totalsRowDxfId="121"/>
    <tableColumn id="20" xr3:uid="{00000000-0010-0000-0000-000014000000}" name="Mulch/Gravel - L" totalsRowFunction="count" dataDxfId="120" totalsRowDxfId="119"/>
    <tableColumn id="21" xr3:uid="{00000000-0010-0000-0000-000015000000}" name="Retaining Walls - L" totalsRowFunction="count" dataDxfId="118" totalsRowDxfId="117"/>
    <tableColumn id="23" xr3:uid="{00000000-0010-0000-0000-000017000000}" name="Irrigation - L" totalsRowFunction="count" dataDxfId="116" totalsRowDxfId="115"/>
    <tableColumn id="24" xr3:uid="{00000000-0010-0000-0000-000018000000}" name="Drainage - L" totalsRowFunction="count" dataDxfId="114" totalsRowDxfId="113"/>
    <tableColumn id="25" xr3:uid="{00000000-0010-0000-0000-000019000000}" name="Water Pooling - L" totalsRowFunction="count" dataDxfId="112" totalsRowDxfId="111"/>
    <tableColumn id="26" xr3:uid="{00000000-0010-0000-0000-00001A000000}" name="Weeds - L" totalsRowFunction="count" dataDxfId="110" totalsRowDxfId="109"/>
    <tableColumn id="27" xr3:uid="{00000000-0010-0000-0000-00001B000000}" name="Picnic/Sitting Area - L" totalsRowFunction="count" dataDxfId="108" totalsRowDxfId="107"/>
    <tableColumn id="39" xr3:uid="{A79F3E81-9519-476D-8E9D-5898C638E60C}" name="Lighting - L" dataDxfId="106" totalsRowDxfId="105"/>
    <tableColumn id="41" xr3:uid="{5F0E4B8D-5D09-4A02-B2B2-E405F94E34B9}" name="Debris - L" dataDxfId="104" totalsRowDxfId="103"/>
    <tableColumn id="40" xr3:uid="{8CB2A68E-D918-4B1C-985B-6E7FB0C9325E}" name="Grills - L" dataDxfId="102" totalsRowDxfId="101"/>
    <tableColumn id="28" xr3:uid="{00000000-0010-0000-0000-00001C000000}" name="Dog Park - L" totalsRowFunction="count" dataDxfId="100" totalsRowDxfId="99"/>
    <tableColumn id="29" xr3:uid="{00000000-0010-0000-0000-00001D000000}" name="Dog Park Fence - L" totalsRowFunction="count" dataDxfId="98" totalsRowDxfId="97"/>
    <tableColumn id="30" xr3:uid="{00000000-0010-0000-0000-00001E000000}" name="Gutters - BE" totalsRowFunction="count" dataDxfId="96" totalsRowDxfId="95"/>
    <tableColumn id="31" xr3:uid="{00000000-0010-0000-0000-00001F000000}" name="Down Spouts - BE" totalsRowFunction="count" dataDxfId="94" totalsRowDxfId="93"/>
    <tableColumn id="32" xr3:uid="{00000000-0010-0000-0000-000020000000}" name="Soffit - BE" totalsRowFunction="count" dataDxfId="92" totalsRowDxfId="91"/>
    <tableColumn id="115" xr3:uid="{00000000-0010-0000-0000-000073000000}" name="Fascia - BE" dataDxfId="90" totalsRowDxfId="89"/>
    <tableColumn id="33" xr3:uid="{00000000-0010-0000-0000-000021000000}" name="Siding/Stucco - BE" totalsRowFunction="count" dataDxfId="88" totalsRowDxfId="87"/>
    <tableColumn id="34" xr3:uid="{00000000-0010-0000-0000-000022000000}" name="Roofs - BE" totalsRowFunction="count" dataDxfId="86" totalsRowDxfId="85"/>
    <tableColumn id="35" xr3:uid="{00000000-0010-0000-0000-000023000000}" name="Vent Pipes/Caging - BE" totalsRowFunction="count" dataDxfId="84" totalsRowDxfId="83"/>
    <tableColumn id="36" xr3:uid="{00000000-0010-0000-0000-000024000000}" name="Gutter Drains - BE" totalsRowFunction="count" dataDxfId="82" totalsRowDxfId="81"/>
    <tableColumn id="37" xr3:uid="{00000000-0010-0000-0000-000025000000}" name="Debris on Roofs - BE" totalsRowFunction="count" dataDxfId="80" totalsRowDxfId="79"/>
    <tableColumn id="38" xr3:uid="{00000000-0010-0000-0000-000026000000}" name="Windows - BE" totalsRowFunction="count" dataDxfId="78" totalsRowDxfId="77"/>
    <tableColumn id="50" xr3:uid="{00000000-0010-0000-0000-000032000000}" name="Window Weather Stripping - BE" totalsRowFunction="count" dataDxfId="76" totalsRowDxfId="75"/>
    <tableColumn id="51" xr3:uid="{00000000-0010-0000-0000-000033000000}" name="Foundation Cracks - BE" totalsRowFunction="count" dataDxfId="74" totalsRowDxfId="73"/>
    <tableColumn id="52" xr3:uid="{00000000-0010-0000-0000-000034000000}" name="Foundation Leaks - BE" totalsRowFunction="count" dataDxfId="72" totalsRowDxfId="71"/>
    <tableColumn id="53" xr3:uid="{00000000-0010-0000-0000-000035000000}" name="Porch Posts - BE" totalsRowFunction="count" dataDxfId="70" totalsRowDxfId="69"/>
    <tableColumn id="42" xr3:uid="{7E7767A7-17AF-4AFC-92F8-232004B7901E}" name="Spindles - BE" dataDxfId="68" totalsRowDxfId="67"/>
    <tableColumn id="54" xr3:uid="{00000000-0010-0000-0000-000036000000}" name="Mailbox - BE" totalsRowFunction="count" dataDxfId="66" totalsRowDxfId="65"/>
    <tableColumn id="55" xr3:uid="{00000000-0010-0000-0000-000037000000}" name="Brickwork - BE" totalsRowFunction="count" dataDxfId="64" totalsRowDxfId="63"/>
    <tableColumn id="56" xr3:uid="{00000000-0010-0000-0000-000038000000}" name="Termites - BE" totalsRowFunction="count" dataDxfId="62" totalsRowDxfId="61"/>
    <tableColumn id="57" xr3:uid="{00000000-0010-0000-0000-000039000000}" name="Doors - BE" totalsRowFunction="count" dataDxfId="60" totalsRowDxfId="59"/>
    <tableColumn id="58" xr3:uid="{00000000-0010-0000-0000-00003A000000}" name="Door Hardware - BE" totalsRowFunction="count" dataDxfId="58" totalsRowDxfId="57"/>
    <tableColumn id="118" xr3:uid="{00000000-0010-0000-0000-000076000000}" name="Satellites - BE" dataDxfId="56" totalsRowDxfId="55"/>
    <tableColumn id="59" xr3:uid="{00000000-0010-0000-0000-00003B000000}" name="Exposed Wiring/Cables - BE" totalsRowFunction="count" dataDxfId="54" totalsRowDxfId="53"/>
    <tableColumn id="60" xr3:uid="{00000000-0010-0000-0000-00003C000000}" name="Decks - BE" totalsRowFunction="count" dataDxfId="52" totalsRowDxfId="51"/>
    <tableColumn id="61" xr3:uid="{00000000-0010-0000-0000-00003D000000}" name="Deck Flashing - BE" totalsRowFunction="count" dataDxfId="50" totalsRowDxfId="49"/>
    <tableColumn id="62" xr3:uid="{00000000-0010-0000-0000-00003E000000}" name="Lighting - BE" totalsRowFunction="count" dataDxfId="48" totalsRowDxfId="47"/>
    <tableColumn id="64" xr3:uid="{00000000-0010-0000-0000-000040000000}" name="Stairs - BE" totalsRowFunction="count" dataDxfId="46" totalsRowDxfId="45"/>
    <tableColumn id="65" xr3:uid="{00000000-0010-0000-0000-000041000000}" name="Handrails - BE" totalsRowFunction="count" dataDxfId="44" totalsRowDxfId="43"/>
    <tableColumn id="66" xr3:uid="{00000000-0010-0000-0000-000042000000}" name="Exterior Unit Numbers - BE" totalsRowFunction="count" dataDxfId="42" totalsRowDxfId="41"/>
    <tableColumn id="119" xr3:uid="{00000000-0010-0000-0000-000077000000}" name="HVAC/AC - BE" dataDxfId="40" totalsRowDxfId="39"/>
    <tableColumn id="67" xr3:uid="{00000000-0010-0000-0000-000043000000}" name="Window Wells - BE" totalsRowFunction="count" dataDxfId="38" totalsRowDxfId="37"/>
    <tableColumn id="68" xr3:uid="{00000000-0010-0000-0000-000044000000}" name="Exterior Access - BE" totalsRowFunction="count" dataDxfId="36" totalsRowDxfId="35"/>
    <tableColumn id="69" xr3:uid="{00000000-0010-0000-0000-000045000000}" name="Overlay - AC" totalsRowFunction="count" dataDxfId="34" totalsRowDxfId="33"/>
    <tableColumn id="70" xr3:uid="{00000000-0010-0000-0000-000046000000}" name="Parking Bumpers - AC" totalsRowFunction="count" dataDxfId="32" totalsRowDxfId="31"/>
    <tableColumn id="71" xr3:uid="{00000000-0010-0000-0000-000047000000}" name="Striping - AC" totalsRowFunction="count" dataDxfId="30" totalsRowDxfId="29"/>
    <tableColumn id="72" xr3:uid="{00000000-0010-0000-0000-000048000000}" name="Sealing - AC" totalsRowFunction="count" dataDxfId="28" totalsRowDxfId="27"/>
    <tableColumn id="73" xr3:uid="{00000000-0010-0000-0000-000049000000}" name="Crack Fillings - AC" totalsRowFunction="count" dataDxfId="26" totalsRowDxfId="25"/>
    <tableColumn id="74" xr3:uid="{00000000-0010-0000-0000-00004A000000}" name="Potholes - AC" totalsRowFunction="count" dataDxfId="24" totalsRowDxfId="23"/>
    <tableColumn id="120" xr3:uid="{00000000-0010-0000-0000-000078000000}" name="Sidewalks - AC" dataDxfId="22" totalsRowDxfId="21"/>
    <tableColumn id="75" xr3:uid="{00000000-0010-0000-0000-00004B000000}" name="Trip Hazards - AC" totalsRowFunction="count" dataDxfId="20" totalsRowDxfId="19"/>
    <tableColumn id="76" xr3:uid="{00000000-0010-0000-0000-00004C000000}" name="Handicap Parking - AC" totalsRowFunction="count" dataDxfId="18"/>
    <tableColumn id="77" xr3:uid="{00000000-0010-0000-0000-00004D000000}" name="Fence Pickets - F" totalsRowFunction="count" dataDxfId="17"/>
    <tableColumn id="78" xr3:uid="{00000000-0010-0000-0000-00004E000000}" name="Locks/Latches - F" totalsRowFunction="count" dataDxfId="16"/>
    <tableColumn id="79" xr3:uid="{00000000-0010-0000-0000-00004F000000}" name="Gates - F" totalsRowFunction="count" dataDxfId="15"/>
    <tableColumn id="80" xr3:uid="{00000000-0010-0000-0000-000050000000}" name="Entrance Sign - S" totalsRowFunction="count" dataDxfId="14"/>
    <tableColumn id="81" xr3:uid="{00000000-0010-0000-0000-000051000000}" name="Office Signage - S" totalsRowFunction="count" dataDxfId="13"/>
    <tableColumn id="82" xr3:uid="{00000000-0010-0000-0000-000052000000}" name="Street Signs - S" totalsRowFunction="count" dataDxfId="12"/>
    <tableColumn id="83" xr3:uid="{00000000-0010-0000-0000-000053000000}" name="Parking Signs - S" totalsRowFunction="count" dataDxfId="11"/>
    <tableColumn id="84" xr3:uid="{00000000-0010-0000-0000-000054000000}" name="Handicap Parking - S" totalsRowFunction="count" dataDxfId="10"/>
    <tableColumn id="85" xr3:uid="{00000000-0010-0000-0000-000055000000}" name="Pool Signage - S" totalsRowFunction="count" dataDxfId="9" totalsRowDxfId="8"/>
    <tableColumn id="86" xr3:uid="{00000000-0010-0000-0000-000056000000}" name="ADA - S" totalsRowFunction="count" dataDxfId="7" totalsRowDxfId="6"/>
    <tableColumn id="87" xr3:uid="{00000000-0010-0000-0000-000057000000}" name="Dog Park Signs - S" totalsRowFunction="count" dataDxfId="5" totalsRowDxfId="4"/>
    <tableColumn id="88" xr3:uid="{00000000-0010-0000-0000-000058000000}" name="Dumpster Signage - S" totalsRowFunction="count" dataDxfId="3" totalsRowDxfId="2"/>
    <tableColumn id="89" xr3:uid="{00000000-0010-0000-0000-000059000000}" name="Fire Lane Signs - S" totalsRowFunction="count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Q147"/>
  <sheetViews>
    <sheetView tabSelected="1" zoomScale="70" zoomScaleNormal="70" zoomScalePageLayoutView="70" workbookViewId="0">
      <selection activeCell="B3" sqref="B3"/>
    </sheetView>
  </sheetViews>
  <sheetFormatPr defaultRowHeight="15.75" x14ac:dyDescent="0.25"/>
  <cols>
    <col min="1" max="1" width="3" style="5" customWidth="1" collapsed="1"/>
    <col min="2" max="2" width="16.625" style="5" customWidth="1" collapsed="1"/>
    <col min="3" max="34" width="3" style="5" customWidth="1" collapsed="1"/>
    <col min="35" max="37" width="3" style="5" customWidth="1"/>
    <col min="38" max="53" width="3" style="5" customWidth="1" collapsed="1"/>
    <col min="54" max="54" width="3" style="5" customWidth="1"/>
    <col min="55" max="92" width="3" style="5" customWidth="1" collapsed="1"/>
    <col min="93" max="93" width="9" style="5" collapsed="1"/>
    <col min="94" max="95" width="9" style="5"/>
    <col min="96" max="16384" width="9" style="5" collapsed="1"/>
  </cols>
  <sheetData>
    <row r="1" spans="2:93" s="20" customFormat="1" ht="13.5" thickBot="1" x14ac:dyDescent="0.25"/>
    <row r="2" spans="2:93" s="6" customFormat="1" ht="16.5" thickBot="1" x14ac:dyDescent="0.3">
      <c r="B2" s="12" t="s">
        <v>16</v>
      </c>
      <c r="C2" s="52" t="s">
        <v>23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2" t="s">
        <v>27</v>
      </c>
      <c r="P2" s="53"/>
      <c r="Q2" s="53"/>
      <c r="R2" s="53"/>
      <c r="S2" s="52" t="s">
        <v>35</v>
      </c>
      <c r="T2" s="53"/>
      <c r="U2" s="53"/>
      <c r="V2" s="53"/>
      <c r="W2" s="53"/>
      <c r="X2" s="53"/>
      <c r="Y2" s="53"/>
      <c r="Z2" s="52" t="s">
        <v>12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2" t="s">
        <v>66</v>
      </c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4"/>
      <c r="BS2" s="52" t="s">
        <v>76</v>
      </c>
      <c r="BT2" s="53"/>
      <c r="BU2" s="53"/>
      <c r="BV2" s="53"/>
      <c r="BW2" s="53"/>
      <c r="BX2" s="53"/>
      <c r="BY2" s="53"/>
      <c r="BZ2" s="53"/>
      <c r="CA2" s="53"/>
      <c r="CB2" s="52" t="s">
        <v>78</v>
      </c>
      <c r="CC2" s="53"/>
      <c r="CD2" s="53"/>
      <c r="CE2" s="52" t="s">
        <v>88</v>
      </c>
      <c r="CF2" s="53"/>
      <c r="CG2" s="53"/>
      <c r="CH2" s="53"/>
      <c r="CI2" s="53"/>
      <c r="CJ2" s="53"/>
      <c r="CK2" s="53"/>
      <c r="CL2" s="53"/>
      <c r="CM2" s="53"/>
      <c r="CN2" s="53"/>
      <c r="CO2" s="13"/>
    </row>
    <row r="3" spans="2:93" s="1" customFormat="1" ht="140.25" customHeight="1" thickBot="1" x14ac:dyDescent="0.3">
      <c r="B3" s="9"/>
      <c r="C3" s="2" t="s">
        <v>0</v>
      </c>
      <c r="D3" s="3" t="s">
        <v>1</v>
      </c>
      <c r="E3" s="3" t="s">
        <v>57</v>
      </c>
      <c r="F3" s="3" t="s">
        <v>14</v>
      </c>
      <c r="G3" s="3" t="s">
        <v>17</v>
      </c>
      <c r="H3" s="3" t="s">
        <v>18</v>
      </c>
      <c r="I3" s="3" t="s">
        <v>8</v>
      </c>
      <c r="J3" s="3" t="s">
        <v>15</v>
      </c>
      <c r="K3" s="3" t="s">
        <v>19</v>
      </c>
      <c r="L3" s="3" t="s">
        <v>20</v>
      </c>
      <c r="M3" s="3" t="s">
        <v>21</v>
      </c>
      <c r="N3" s="4" t="s">
        <v>22</v>
      </c>
      <c r="O3" s="3" t="s">
        <v>24</v>
      </c>
      <c r="P3" s="3" t="s">
        <v>13</v>
      </c>
      <c r="Q3" s="3" t="s">
        <v>25</v>
      </c>
      <c r="R3" s="4" t="s">
        <v>26</v>
      </c>
      <c r="S3" s="3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2" t="s">
        <v>36</v>
      </c>
      <c r="AA3" s="3" t="s">
        <v>37</v>
      </c>
      <c r="AB3" s="3" t="s">
        <v>38</v>
      </c>
      <c r="AC3" s="3" t="s">
        <v>10</v>
      </c>
      <c r="AD3" s="3" t="s">
        <v>11</v>
      </c>
      <c r="AE3" s="3" t="s">
        <v>39</v>
      </c>
      <c r="AF3" s="3" t="s">
        <v>40</v>
      </c>
      <c r="AG3" s="3" t="s">
        <v>41</v>
      </c>
      <c r="AH3" s="3" t="s">
        <v>42</v>
      </c>
      <c r="AI3" s="3" t="s">
        <v>9</v>
      </c>
      <c r="AJ3" s="3" t="s">
        <v>43</v>
      </c>
      <c r="AK3" s="3" t="s">
        <v>184</v>
      </c>
      <c r="AL3" s="3" t="s">
        <v>186</v>
      </c>
      <c r="AM3" s="3" t="s">
        <v>187</v>
      </c>
      <c r="AN3" s="2" t="s">
        <v>5</v>
      </c>
      <c r="AO3" s="3" t="s">
        <v>6</v>
      </c>
      <c r="AP3" s="3" t="s">
        <v>44</v>
      </c>
      <c r="AQ3" s="3" t="s">
        <v>45</v>
      </c>
      <c r="AR3" s="3" t="s">
        <v>46</v>
      </c>
      <c r="AS3" s="3" t="s">
        <v>7</v>
      </c>
      <c r="AT3" s="3" t="s">
        <v>47</v>
      </c>
      <c r="AU3" s="3" t="s">
        <v>48</v>
      </c>
      <c r="AV3" s="3" t="s">
        <v>49</v>
      </c>
      <c r="AW3" s="3" t="s">
        <v>2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191</v>
      </c>
      <c r="BC3" s="3" t="s">
        <v>54</v>
      </c>
      <c r="BD3" s="3" t="s">
        <v>55</v>
      </c>
      <c r="BE3" s="3" t="s">
        <v>56</v>
      </c>
      <c r="BF3" s="3" t="s">
        <v>1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9</v>
      </c>
      <c r="BM3" s="3" t="s">
        <v>3</v>
      </c>
      <c r="BN3" s="3" t="s">
        <v>18</v>
      </c>
      <c r="BO3" s="3" t="s">
        <v>62</v>
      </c>
      <c r="BP3" s="3" t="s">
        <v>63</v>
      </c>
      <c r="BQ3" s="3" t="s">
        <v>64</v>
      </c>
      <c r="BR3" s="3" t="s">
        <v>65</v>
      </c>
      <c r="BS3" s="2" t="s">
        <v>67</v>
      </c>
      <c r="BT3" s="3" t="s">
        <v>68</v>
      </c>
      <c r="BU3" s="3" t="s">
        <v>69</v>
      </c>
      <c r="BV3" s="3" t="s">
        <v>70</v>
      </c>
      <c r="BW3" s="3" t="s">
        <v>71</v>
      </c>
      <c r="BX3" s="3" t="s">
        <v>72</v>
      </c>
      <c r="BY3" s="3" t="s">
        <v>73</v>
      </c>
      <c r="BZ3" s="3" t="s">
        <v>74</v>
      </c>
      <c r="CA3" s="3" t="s">
        <v>75</v>
      </c>
      <c r="CB3" s="2" t="s">
        <v>24</v>
      </c>
      <c r="CC3" s="3" t="s">
        <v>77</v>
      </c>
      <c r="CD3" s="3" t="s">
        <v>13</v>
      </c>
      <c r="CE3" s="2" t="s">
        <v>79</v>
      </c>
      <c r="CF3" s="3" t="s">
        <v>80</v>
      </c>
      <c r="CG3" s="3" t="s">
        <v>81</v>
      </c>
      <c r="CH3" s="3" t="s">
        <v>82</v>
      </c>
      <c r="CI3" s="3" t="s">
        <v>75</v>
      </c>
      <c r="CJ3" s="3" t="s">
        <v>83</v>
      </c>
      <c r="CK3" s="3" t="s">
        <v>84</v>
      </c>
      <c r="CL3" s="3" t="s">
        <v>85</v>
      </c>
      <c r="CM3" s="3" t="s">
        <v>86</v>
      </c>
      <c r="CN3" s="4" t="s">
        <v>87</v>
      </c>
      <c r="CO3" s="8"/>
    </row>
    <row r="4" spans="2:93" s="19" customFormat="1" ht="18.75" customHeight="1" x14ac:dyDescent="0.25">
      <c r="B4" s="15" t="s">
        <v>16</v>
      </c>
      <c r="C4" s="16" t="s">
        <v>89</v>
      </c>
      <c r="D4" s="15" t="s">
        <v>90</v>
      </c>
      <c r="E4" s="15" t="s">
        <v>91</v>
      </c>
      <c r="F4" s="15" t="s">
        <v>92</v>
      </c>
      <c r="G4" s="15" t="s">
        <v>93</v>
      </c>
      <c r="H4" s="15" t="s">
        <v>94</v>
      </c>
      <c r="I4" s="15" t="s">
        <v>95</v>
      </c>
      <c r="J4" s="15" t="s">
        <v>96</v>
      </c>
      <c r="K4" s="15" t="s">
        <v>97</v>
      </c>
      <c r="L4" s="15" t="s">
        <v>98</v>
      </c>
      <c r="M4" s="15" t="s">
        <v>99</v>
      </c>
      <c r="N4" s="15" t="s">
        <v>100</v>
      </c>
      <c r="O4" s="16" t="s">
        <v>102</v>
      </c>
      <c r="P4" s="15" t="s">
        <v>103</v>
      </c>
      <c r="Q4" s="15" t="s">
        <v>101</v>
      </c>
      <c r="R4" s="15" t="s">
        <v>104</v>
      </c>
      <c r="S4" s="16" t="s">
        <v>105</v>
      </c>
      <c r="T4" s="15" t="s">
        <v>106</v>
      </c>
      <c r="U4" s="15" t="s">
        <v>107</v>
      </c>
      <c r="V4" s="15" t="s">
        <v>108</v>
      </c>
      <c r="W4" s="15" t="s">
        <v>109</v>
      </c>
      <c r="X4" s="15" t="s">
        <v>110</v>
      </c>
      <c r="Y4" s="17" t="s">
        <v>111</v>
      </c>
      <c r="Z4" s="15" t="s">
        <v>112</v>
      </c>
      <c r="AA4" s="15" t="s">
        <v>113</v>
      </c>
      <c r="AB4" s="15" t="s">
        <v>114</v>
      </c>
      <c r="AC4" s="15" t="s">
        <v>115</v>
      </c>
      <c r="AD4" s="15" t="s">
        <v>116</v>
      </c>
      <c r="AE4" s="15" t="s">
        <v>117</v>
      </c>
      <c r="AF4" s="15" t="s">
        <v>118</v>
      </c>
      <c r="AG4" s="15" t="s">
        <v>119</v>
      </c>
      <c r="AH4" s="15" t="s">
        <v>120</v>
      </c>
      <c r="AI4" s="15" t="s">
        <v>121</v>
      </c>
      <c r="AJ4" s="15" t="s">
        <v>122</v>
      </c>
      <c r="AK4" s="15" t="s">
        <v>185</v>
      </c>
      <c r="AL4" s="15" t="s">
        <v>188</v>
      </c>
      <c r="AM4" s="17" t="s">
        <v>189</v>
      </c>
      <c r="AN4" s="15" t="s">
        <v>123</v>
      </c>
      <c r="AO4" s="15" t="s">
        <v>124</v>
      </c>
      <c r="AP4" s="15" t="s">
        <v>125</v>
      </c>
      <c r="AQ4" s="15" t="s">
        <v>126</v>
      </c>
      <c r="AR4" s="15" t="s">
        <v>127</v>
      </c>
      <c r="AS4" s="15" t="s">
        <v>128</v>
      </c>
      <c r="AT4" s="15" t="s">
        <v>129</v>
      </c>
      <c r="AU4" s="15" t="s">
        <v>130</v>
      </c>
      <c r="AV4" s="15" t="s">
        <v>131</v>
      </c>
      <c r="AW4" s="15" t="s">
        <v>132</v>
      </c>
      <c r="AX4" s="15" t="s">
        <v>133</v>
      </c>
      <c r="AY4" s="15" t="s">
        <v>134</v>
      </c>
      <c r="AZ4" s="15" t="s">
        <v>135</v>
      </c>
      <c r="BA4" s="15" t="s">
        <v>136</v>
      </c>
      <c r="BB4" s="15" t="s">
        <v>190</v>
      </c>
      <c r="BC4" s="15" t="s">
        <v>137</v>
      </c>
      <c r="BD4" s="15" t="s">
        <v>138</v>
      </c>
      <c r="BE4" s="15" t="s">
        <v>139</v>
      </c>
      <c r="BF4" s="15" t="s">
        <v>140</v>
      </c>
      <c r="BG4" s="15" t="s">
        <v>141</v>
      </c>
      <c r="BH4" s="15" t="s">
        <v>142</v>
      </c>
      <c r="BI4" s="15" t="s">
        <v>143</v>
      </c>
      <c r="BJ4" s="15" t="s">
        <v>144</v>
      </c>
      <c r="BK4" s="15" t="s">
        <v>145</v>
      </c>
      <c r="BL4" s="15" t="s">
        <v>146</v>
      </c>
      <c r="BM4" s="15" t="s">
        <v>147</v>
      </c>
      <c r="BN4" s="15" t="s">
        <v>148</v>
      </c>
      <c r="BO4" s="15" t="s">
        <v>149</v>
      </c>
      <c r="BP4" s="15" t="s">
        <v>150</v>
      </c>
      <c r="BQ4" s="15" t="s">
        <v>151</v>
      </c>
      <c r="BR4" s="15" t="s">
        <v>152</v>
      </c>
      <c r="BS4" s="16" t="s">
        <v>153</v>
      </c>
      <c r="BT4" s="15" t="s">
        <v>154</v>
      </c>
      <c r="BU4" s="15" t="s">
        <v>155</v>
      </c>
      <c r="BV4" s="15" t="s">
        <v>156</v>
      </c>
      <c r="BW4" s="15" t="s">
        <v>157</v>
      </c>
      <c r="BX4" s="15" t="s">
        <v>158</v>
      </c>
      <c r="BY4" s="15" t="s">
        <v>159</v>
      </c>
      <c r="BZ4" s="15" t="s">
        <v>160</v>
      </c>
      <c r="CA4" s="15" t="s">
        <v>161</v>
      </c>
      <c r="CB4" s="16" t="s">
        <v>162</v>
      </c>
      <c r="CC4" s="15" t="s">
        <v>163</v>
      </c>
      <c r="CD4" s="15" t="s">
        <v>164</v>
      </c>
      <c r="CE4" s="16" t="s">
        <v>165</v>
      </c>
      <c r="CF4" s="15" t="s">
        <v>166</v>
      </c>
      <c r="CG4" s="15" t="s">
        <v>167</v>
      </c>
      <c r="CH4" s="15" t="s">
        <v>168</v>
      </c>
      <c r="CI4" s="15" t="s">
        <v>169</v>
      </c>
      <c r="CJ4" s="15" t="s">
        <v>170</v>
      </c>
      <c r="CK4" s="15" t="s">
        <v>171</v>
      </c>
      <c r="CL4" s="15" t="s">
        <v>172</v>
      </c>
      <c r="CM4" s="15" t="s">
        <v>173</v>
      </c>
      <c r="CN4" s="15" t="s">
        <v>174</v>
      </c>
      <c r="CO4" s="18"/>
    </row>
    <row r="5" spans="2:93" ht="15.75" customHeight="1" x14ac:dyDescent="0.25">
      <c r="B5" s="10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10"/>
      <c r="O5" s="8"/>
      <c r="P5" s="8"/>
      <c r="Q5" s="8"/>
      <c r="R5" s="10"/>
      <c r="S5" s="8"/>
      <c r="T5" s="8"/>
      <c r="U5" s="8"/>
      <c r="V5" s="8"/>
      <c r="W5" s="8"/>
      <c r="X5" s="8"/>
      <c r="Y5" s="10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10"/>
      <c r="BS5" s="8"/>
      <c r="BT5" s="8"/>
      <c r="BU5" s="8"/>
      <c r="BV5" s="8"/>
      <c r="BW5" s="8"/>
      <c r="BX5" s="8"/>
      <c r="BY5" s="8"/>
      <c r="BZ5" s="8"/>
      <c r="CA5" s="10"/>
      <c r="CB5" s="8"/>
      <c r="CC5" s="8"/>
      <c r="CD5" s="10"/>
      <c r="CE5" s="8"/>
      <c r="CF5" s="8"/>
      <c r="CG5" s="8"/>
      <c r="CH5" s="8"/>
      <c r="CI5" s="8"/>
      <c r="CJ5" s="8"/>
      <c r="CK5" s="8"/>
      <c r="CL5" s="8"/>
      <c r="CM5" s="8"/>
      <c r="CN5" s="8"/>
      <c r="CO5" s="14"/>
    </row>
    <row r="6" spans="2:93" x14ac:dyDescent="0.25">
      <c r="B6" s="10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8"/>
      <c r="P6" s="8"/>
      <c r="Q6" s="8"/>
      <c r="R6" s="10"/>
      <c r="S6" s="8"/>
      <c r="T6" s="8"/>
      <c r="U6" s="8"/>
      <c r="V6" s="8"/>
      <c r="W6" s="8"/>
      <c r="X6" s="8"/>
      <c r="Y6" s="10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0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10"/>
      <c r="BS6" s="8"/>
      <c r="BT6" s="8"/>
      <c r="BU6" s="8"/>
      <c r="BV6" s="8"/>
      <c r="BW6" s="8"/>
      <c r="BX6" s="8"/>
      <c r="BY6" s="8"/>
      <c r="BZ6" s="8"/>
      <c r="CA6" s="10"/>
      <c r="CB6" s="8"/>
      <c r="CC6" s="8"/>
      <c r="CD6" s="10"/>
      <c r="CE6" s="8"/>
      <c r="CF6" s="8"/>
      <c r="CG6" s="8"/>
      <c r="CH6" s="8"/>
      <c r="CI6" s="8"/>
      <c r="CJ6" s="8"/>
      <c r="CK6" s="8"/>
      <c r="CL6" s="8"/>
      <c r="CM6" s="8"/>
      <c r="CN6" s="8"/>
      <c r="CO6" s="14"/>
    </row>
    <row r="7" spans="2:93" x14ac:dyDescent="0.25">
      <c r="B7" s="10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8"/>
      <c r="P7" s="8"/>
      <c r="Q7" s="8"/>
      <c r="R7" s="10"/>
      <c r="S7" s="8"/>
      <c r="T7" s="8"/>
      <c r="U7" s="8"/>
      <c r="V7" s="8"/>
      <c r="W7" s="8"/>
      <c r="X7" s="8"/>
      <c r="Y7" s="10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0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10"/>
      <c r="BS7" s="8"/>
      <c r="BT7" s="8"/>
      <c r="BU7" s="8"/>
      <c r="BV7" s="8"/>
      <c r="BW7" s="8"/>
      <c r="BX7" s="8"/>
      <c r="BY7" s="8"/>
      <c r="BZ7" s="8"/>
      <c r="CA7" s="10"/>
      <c r="CB7" s="8"/>
      <c r="CC7" s="8"/>
      <c r="CD7" s="10"/>
      <c r="CE7" s="8"/>
      <c r="CF7" s="8"/>
      <c r="CG7" s="8"/>
      <c r="CH7" s="8"/>
      <c r="CI7" s="8"/>
      <c r="CJ7" s="8"/>
      <c r="CK7" s="8"/>
      <c r="CL7" s="8"/>
      <c r="CM7" s="8"/>
      <c r="CN7" s="8"/>
    </row>
    <row r="8" spans="2:93" x14ac:dyDescent="0.25">
      <c r="B8" s="1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0"/>
      <c r="O8" s="8"/>
      <c r="P8" s="8"/>
      <c r="Q8" s="8"/>
      <c r="R8" s="10"/>
      <c r="S8" s="8"/>
      <c r="T8" s="8"/>
      <c r="U8" s="8"/>
      <c r="V8" s="8"/>
      <c r="W8" s="8"/>
      <c r="X8" s="8"/>
      <c r="Y8" s="10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0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10"/>
      <c r="BS8" s="8"/>
      <c r="BT8" s="8"/>
      <c r="BU8" s="8"/>
      <c r="BV8" s="8"/>
      <c r="BW8" s="8"/>
      <c r="BX8" s="8"/>
      <c r="BY8" s="8"/>
      <c r="BZ8" s="8"/>
      <c r="CA8" s="10"/>
      <c r="CB8" s="8"/>
      <c r="CC8" s="8"/>
      <c r="CD8" s="10"/>
      <c r="CE8" s="8"/>
      <c r="CF8" s="8"/>
      <c r="CG8" s="8"/>
      <c r="CH8" s="8"/>
      <c r="CI8" s="8"/>
      <c r="CJ8" s="8"/>
      <c r="CK8" s="8"/>
      <c r="CL8" s="8"/>
      <c r="CM8" s="8"/>
      <c r="CN8" s="8"/>
    </row>
    <row r="9" spans="2:93" x14ac:dyDescent="0.25">
      <c r="B9" s="10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8"/>
      <c r="P9" s="8"/>
      <c r="Q9" s="8"/>
      <c r="R9" s="10"/>
      <c r="S9" s="8"/>
      <c r="T9" s="8"/>
      <c r="U9" s="8"/>
      <c r="V9" s="8"/>
      <c r="W9" s="8"/>
      <c r="X9" s="8"/>
      <c r="Y9" s="10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0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10"/>
      <c r="BS9" s="8"/>
      <c r="BT9" s="8"/>
      <c r="BU9" s="8"/>
      <c r="BV9" s="8"/>
      <c r="BW9" s="8"/>
      <c r="BX9" s="8"/>
      <c r="BY9" s="8"/>
      <c r="BZ9" s="8"/>
      <c r="CA9" s="10"/>
      <c r="CB9" s="8"/>
      <c r="CC9" s="8"/>
      <c r="CD9" s="10"/>
      <c r="CE9" s="8"/>
      <c r="CF9" s="8"/>
      <c r="CG9" s="8"/>
      <c r="CH9" s="8"/>
      <c r="CI9" s="8"/>
      <c r="CJ9" s="8"/>
      <c r="CK9" s="8"/>
      <c r="CL9" s="8"/>
      <c r="CM9" s="8"/>
      <c r="CN9" s="8"/>
    </row>
    <row r="10" spans="2:93" x14ac:dyDescent="0.25">
      <c r="B10" s="1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8"/>
      <c r="P10" s="8"/>
      <c r="Q10" s="8"/>
      <c r="R10" s="10"/>
      <c r="S10" s="8"/>
      <c r="T10" s="8"/>
      <c r="U10" s="8"/>
      <c r="V10" s="8"/>
      <c r="W10" s="8"/>
      <c r="X10" s="8"/>
      <c r="Y10" s="10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0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10"/>
      <c r="BS10" s="8"/>
      <c r="BT10" s="8"/>
      <c r="BU10" s="8"/>
      <c r="BV10" s="8"/>
      <c r="BW10" s="8"/>
      <c r="BX10" s="8"/>
      <c r="BY10" s="8"/>
      <c r="BZ10" s="8"/>
      <c r="CA10" s="10"/>
      <c r="CB10" s="8"/>
      <c r="CC10" s="8"/>
      <c r="CD10" s="10"/>
      <c r="CE10" s="8"/>
      <c r="CF10" s="8"/>
      <c r="CG10" s="8"/>
      <c r="CH10" s="8"/>
      <c r="CI10" s="8"/>
      <c r="CJ10" s="8"/>
      <c r="CK10" s="8"/>
      <c r="CL10" s="8"/>
      <c r="CM10" s="8"/>
      <c r="CN10" s="8"/>
    </row>
    <row r="11" spans="2:93" x14ac:dyDescent="0.25">
      <c r="B11" s="1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8"/>
      <c r="P11" s="8"/>
      <c r="Q11" s="8"/>
      <c r="R11" s="10"/>
      <c r="S11" s="8"/>
      <c r="T11" s="8"/>
      <c r="U11" s="8"/>
      <c r="V11" s="8"/>
      <c r="W11" s="8"/>
      <c r="X11" s="8"/>
      <c r="Y11" s="10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0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10"/>
      <c r="BS11" s="8"/>
      <c r="BT11" s="8"/>
      <c r="BU11" s="8"/>
      <c r="BV11" s="8"/>
      <c r="BW11" s="8"/>
      <c r="BX11" s="8"/>
      <c r="BY11" s="8"/>
      <c r="BZ11" s="8"/>
      <c r="CA11" s="10"/>
      <c r="CB11" s="8"/>
      <c r="CC11" s="8"/>
      <c r="CD11" s="10"/>
      <c r="CE11" s="8"/>
      <c r="CF11" s="8"/>
      <c r="CG11" s="8"/>
      <c r="CH11" s="8"/>
      <c r="CI11" s="8"/>
      <c r="CJ11" s="8"/>
      <c r="CK11" s="8"/>
      <c r="CL11" s="8"/>
      <c r="CM11" s="8"/>
      <c r="CN11" s="8"/>
    </row>
    <row r="12" spans="2:93" x14ac:dyDescent="0.25"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  <c r="O12" s="8"/>
      <c r="P12" s="8"/>
      <c r="Q12" s="8"/>
      <c r="R12" s="10"/>
      <c r="S12" s="8"/>
      <c r="T12" s="8"/>
      <c r="U12" s="8"/>
      <c r="V12" s="8"/>
      <c r="W12" s="8"/>
      <c r="X12" s="8"/>
      <c r="Y12" s="10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0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10"/>
      <c r="BS12" s="8"/>
      <c r="BT12" s="8"/>
      <c r="BU12" s="8"/>
      <c r="BV12" s="8"/>
      <c r="BW12" s="8"/>
      <c r="BX12" s="8"/>
      <c r="BY12" s="8"/>
      <c r="BZ12" s="8"/>
      <c r="CA12" s="10"/>
      <c r="CB12" s="8"/>
      <c r="CC12" s="8"/>
      <c r="CD12" s="10"/>
      <c r="CE12" s="8"/>
      <c r="CF12" s="8"/>
      <c r="CG12" s="8"/>
      <c r="CH12" s="8"/>
      <c r="CI12" s="8"/>
      <c r="CJ12" s="8"/>
      <c r="CK12" s="8"/>
      <c r="CL12" s="8"/>
      <c r="CM12" s="8"/>
      <c r="CN12" s="8"/>
    </row>
    <row r="13" spans="2:93" x14ac:dyDescent="0.25">
      <c r="B13" s="1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  <c r="O13" s="8"/>
      <c r="P13" s="8"/>
      <c r="Q13" s="8"/>
      <c r="R13" s="10"/>
      <c r="S13" s="8"/>
      <c r="T13" s="8"/>
      <c r="U13" s="8"/>
      <c r="V13" s="8"/>
      <c r="W13" s="8"/>
      <c r="X13" s="8"/>
      <c r="Y13" s="10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0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10"/>
      <c r="BS13" s="8"/>
      <c r="BT13" s="8"/>
      <c r="BU13" s="8"/>
      <c r="BV13" s="8"/>
      <c r="BW13" s="8"/>
      <c r="BX13" s="8"/>
      <c r="BY13" s="8"/>
      <c r="BZ13" s="8"/>
      <c r="CA13" s="10"/>
      <c r="CB13" s="8"/>
      <c r="CC13" s="8"/>
      <c r="CD13" s="10"/>
      <c r="CE13" s="8"/>
      <c r="CF13" s="8"/>
      <c r="CG13" s="8"/>
      <c r="CH13" s="8"/>
      <c r="CI13" s="8"/>
      <c r="CJ13" s="8"/>
      <c r="CK13" s="8"/>
      <c r="CL13" s="8"/>
      <c r="CM13" s="8"/>
      <c r="CN13" s="8"/>
    </row>
    <row r="14" spans="2:93" x14ac:dyDescent="0.25">
      <c r="B14" s="1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8"/>
      <c r="P14" s="8"/>
      <c r="Q14" s="8"/>
      <c r="R14" s="10"/>
      <c r="S14" s="8"/>
      <c r="T14" s="8"/>
      <c r="U14" s="8"/>
      <c r="V14" s="8"/>
      <c r="W14" s="8"/>
      <c r="X14" s="8"/>
      <c r="Y14" s="10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0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10"/>
      <c r="BS14" s="8"/>
      <c r="BT14" s="8"/>
      <c r="BU14" s="8"/>
      <c r="BV14" s="8"/>
      <c r="BW14" s="8"/>
      <c r="BX14" s="8"/>
      <c r="BY14" s="8"/>
      <c r="BZ14" s="8"/>
      <c r="CA14" s="10"/>
      <c r="CB14" s="8"/>
      <c r="CC14" s="8"/>
      <c r="CD14" s="10"/>
      <c r="CE14" s="8"/>
      <c r="CF14" s="8"/>
      <c r="CG14" s="8"/>
      <c r="CH14" s="8"/>
      <c r="CI14" s="8"/>
      <c r="CJ14" s="8"/>
      <c r="CK14" s="8"/>
      <c r="CL14" s="8"/>
      <c r="CM14" s="8"/>
      <c r="CN14" s="8"/>
    </row>
    <row r="15" spans="2:93" x14ac:dyDescent="0.25"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  <c r="O15" s="8"/>
      <c r="P15" s="8"/>
      <c r="Q15" s="8"/>
      <c r="R15" s="10"/>
      <c r="S15" s="8"/>
      <c r="T15" s="8"/>
      <c r="U15" s="8"/>
      <c r="V15" s="8"/>
      <c r="W15" s="8"/>
      <c r="X15" s="8"/>
      <c r="Y15" s="10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0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10"/>
      <c r="BS15" s="8"/>
      <c r="BT15" s="8"/>
      <c r="BU15" s="8"/>
      <c r="BV15" s="8"/>
      <c r="BW15" s="8"/>
      <c r="BX15" s="8"/>
      <c r="BY15" s="8"/>
      <c r="BZ15" s="8"/>
      <c r="CA15" s="10"/>
      <c r="CB15" s="8"/>
      <c r="CC15" s="8"/>
      <c r="CD15" s="10"/>
      <c r="CE15" s="8"/>
      <c r="CF15" s="8"/>
      <c r="CG15" s="8"/>
      <c r="CH15" s="8"/>
      <c r="CI15" s="8"/>
      <c r="CJ15" s="8"/>
      <c r="CK15" s="8"/>
      <c r="CL15" s="8"/>
      <c r="CM15" s="8"/>
      <c r="CN15" s="8"/>
    </row>
    <row r="16" spans="2:93" x14ac:dyDescent="0.25">
      <c r="B16" s="1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  <c r="O16" s="8"/>
      <c r="P16" s="8"/>
      <c r="Q16" s="8"/>
      <c r="R16" s="10"/>
      <c r="S16" s="8"/>
      <c r="T16" s="8"/>
      <c r="U16" s="8"/>
      <c r="V16" s="8"/>
      <c r="W16" s="8"/>
      <c r="X16" s="8"/>
      <c r="Y16" s="10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0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10"/>
      <c r="BS16" s="8"/>
      <c r="BT16" s="8"/>
      <c r="BU16" s="8"/>
      <c r="BV16" s="8"/>
      <c r="BW16" s="8"/>
      <c r="BX16" s="8"/>
      <c r="BY16" s="8"/>
      <c r="BZ16" s="8"/>
      <c r="CA16" s="10"/>
      <c r="CB16" s="8"/>
      <c r="CC16" s="8"/>
      <c r="CD16" s="10"/>
      <c r="CE16" s="8"/>
      <c r="CF16" s="8"/>
      <c r="CG16" s="8"/>
      <c r="CH16" s="8"/>
      <c r="CI16" s="8"/>
      <c r="CJ16" s="8"/>
      <c r="CK16" s="8"/>
      <c r="CL16" s="8"/>
      <c r="CM16" s="8"/>
      <c r="CN16" s="8"/>
    </row>
    <row r="17" spans="2:93" x14ac:dyDescent="0.25"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/>
      <c r="O17" s="8"/>
      <c r="P17" s="8"/>
      <c r="Q17" s="8"/>
      <c r="R17" s="10"/>
      <c r="S17" s="8"/>
      <c r="T17" s="8"/>
      <c r="U17" s="8"/>
      <c r="V17" s="8"/>
      <c r="W17" s="8"/>
      <c r="X17" s="8"/>
      <c r="Y17" s="10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0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10"/>
      <c r="BS17" s="8"/>
      <c r="BT17" s="8"/>
      <c r="BU17" s="8"/>
      <c r="BV17" s="8"/>
      <c r="BW17" s="8"/>
      <c r="BX17" s="8"/>
      <c r="BY17" s="8"/>
      <c r="BZ17" s="8"/>
      <c r="CA17" s="10"/>
      <c r="CB17" s="8"/>
      <c r="CC17" s="8"/>
      <c r="CD17" s="10"/>
      <c r="CE17" s="8"/>
      <c r="CF17" s="8"/>
      <c r="CG17" s="8"/>
      <c r="CH17" s="8"/>
      <c r="CI17" s="8"/>
      <c r="CJ17" s="8"/>
      <c r="CK17" s="8"/>
      <c r="CL17" s="8"/>
      <c r="CM17" s="8"/>
      <c r="CN17" s="8"/>
    </row>
    <row r="18" spans="2:93" x14ac:dyDescent="0.25"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  <c r="O18" s="8"/>
      <c r="P18" s="8"/>
      <c r="Q18" s="8"/>
      <c r="R18" s="10"/>
      <c r="S18" s="8"/>
      <c r="T18" s="8"/>
      <c r="U18" s="8"/>
      <c r="V18" s="8"/>
      <c r="W18" s="8"/>
      <c r="X18" s="8"/>
      <c r="Y18" s="10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0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10"/>
      <c r="BS18" s="8"/>
      <c r="BT18" s="8"/>
      <c r="BU18" s="8"/>
      <c r="BV18" s="8"/>
      <c r="BW18" s="8"/>
      <c r="BX18" s="8"/>
      <c r="BY18" s="8"/>
      <c r="BZ18" s="8"/>
      <c r="CA18" s="10"/>
      <c r="CB18" s="8"/>
      <c r="CC18" s="8"/>
      <c r="CD18" s="10"/>
      <c r="CE18" s="8"/>
      <c r="CF18" s="8"/>
      <c r="CG18" s="8"/>
      <c r="CH18" s="8"/>
      <c r="CI18" s="8"/>
      <c r="CJ18" s="8"/>
      <c r="CK18" s="8"/>
      <c r="CL18" s="8"/>
      <c r="CM18" s="8"/>
      <c r="CN18" s="8"/>
    </row>
    <row r="19" spans="2:93" x14ac:dyDescent="0.25"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  <c r="O19" s="8"/>
      <c r="P19" s="8"/>
      <c r="Q19" s="8"/>
      <c r="R19" s="10"/>
      <c r="S19" s="8"/>
      <c r="T19" s="8"/>
      <c r="U19" s="8"/>
      <c r="V19" s="8"/>
      <c r="W19" s="8"/>
      <c r="X19" s="8"/>
      <c r="Y19" s="10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10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10"/>
      <c r="BS19" s="8"/>
      <c r="BT19" s="8"/>
      <c r="BU19" s="8"/>
      <c r="BV19" s="8"/>
      <c r="BW19" s="8"/>
      <c r="BX19" s="8"/>
      <c r="BY19" s="8"/>
      <c r="BZ19" s="8"/>
      <c r="CA19" s="10"/>
      <c r="CB19" s="8"/>
      <c r="CC19" s="8"/>
      <c r="CD19" s="10"/>
      <c r="CE19" s="8"/>
      <c r="CF19" s="8"/>
      <c r="CG19" s="8"/>
      <c r="CH19" s="8"/>
      <c r="CI19" s="8"/>
      <c r="CJ19" s="8"/>
      <c r="CK19" s="8"/>
      <c r="CL19" s="8"/>
      <c r="CM19" s="8"/>
      <c r="CN19" s="8"/>
    </row>
    <row r="20" spans="2:93" x14ac:dyDescent="0.25"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0"/>
      <c r="O20" s="8"/>
      <c r="P20" s="8"/>
      <c r="Q20" s="8"/>
      <c r="R20" s="10"/>
      <c r="S20" s="8"/>
      <c r="T20" s="8"/>
      <c r="U20" s="8"/>
      <c r="V20" s="8"/>
      <c r="W20" s="8"/>
      <c r="X20" s="8"/>
      <c r="Y20" s="10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0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10"/>
      <c r="BS20" s="8"/>
      <c r="BT20" s="8"/>
      <c r="BU20" s="8"/>
      <c r="BV20" s="8"/>
      <c r="BW20" s="8"/>
      <c r="BX20" s="8"/>
      <c r="BY20" s="8"/>
      <c r="BZ20" s="8"/>
      <c r="CA20" s="10"/>
      <c r="CB20" s="8"/>
      <c r="CC20" s="8"/>
      <c r="CD20" s="10"/>
      <c r="CE20" s="8"/>
      <c r="CF20" s="8"/>
      <c r="CG20" s="8"/>
      <c r="CH20" s="8"/>
      <c r="CI20" s="8"/>
      <c r="CJ20" s="8"/>
      <c r="CK20" s="8"/>
      <c r="CL20" s="8"/>
      <c r="CM20" s="8"/>
      <c r="CN20" s="8"/>
    </row>
    <row r="21" spans="2:93" x14ac:dyDescent="0.25"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0"/>
      <c r="O21" s="8"/>
      <c r="P21" s="8"/>
      <c r="Q21" s="8"/>
      <c r="R21" s="10"/>
      <c r="S21" s="8"/>
      <c r="T21" s="8"/>
      <c r="U21" s="8"/>
      <c r="V21" s="8"/>
      <c r="W21" s="8"/>
      <c r="X21" s="8"/>
      <c r="Y21" s="10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0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10"/>
      <c r="BS21" s="8"/>
      <c r="BT21" s="8"/>
      <c r="BU21" s="8"/>
      <c r="BV21" s="8"/>
      <c r="BW21" s="8"/>
      <c r="BX21" s="8"/>
      <c r="BY21" s="8"/>
      <c r="BZ21" s="8"/>
      <c r="CA21" s="10"/>
      <c r="CB21" s="8"/>
      <c r="CC21" s="8"/>
      <c r="CD21" s="10"/>
      <c r="CE21" s="8"/>
      <c r="CF21" s="8"/>
      <c r="CG21" s="8"/>
      <c r="CH21" s="8"/>
      <c r="CI21" s="8"/>
      <c r="CJ21" s="8"/>
      <c r="CK21" s="8"/>
      <c r="CL21" s="8"/>
      <c r="CM21" s="8"/>
      <c r="CN21" s="8"/>
    </row>
    <row r="22" spans="2:93" x14ac:dyDescent="0.25"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8"/>
      <c r="P22" s="8"/>
      <c r="Q22" s="8"/>
      <c r="R22" s="10"/>
      <c r="S22" s="8"/>
      <c r="T22" s="8"/>
      <c r="U22" s="8"/>
      <c r="V22" s="8"/>
      <c r="W22" s="8"/>
      <c r="X22" s="8"/>
      <c r="Y22" s="10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0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10"/>
      <c r="BS22" s="8"/>
      <c r="BT22" s="8"/>
      <c r="BU22" s="8"/>
      <c r="BV22" s="8"/>
      <c r="BW22" s="8"/>
      <c r="BX22" s="8"/>
      <c r="BY22" s="8"/>
      <c r="BZ22" s="8"/>
      <c r="CA22" s="10"/>
      <c r="CB22" s="8"/>
      <c r="CC22" s="8"/>
      <c r="CD22" s="10"/>
      <c r="CE22" s="8"/>
      <c r="CF22" s="8"/>
      <c r="CG22" s="8"/>
      <c r="CH22" s="8"/>
      <c r="CI22" s="8"/>
      <c r="CJ22" s="8"/>
      <c r="CK22" s="8"/>
      <c r="CL22" s="8"/>
      <c r="CM22" s="8"/>
      <c r="CN22" s="8"/>
    </row>
    <row r="23" spans="2:93" x14ac:dyDescent="0.25"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0"/>
      <c r="O23" s="8"/>
      <c r="P23" s="8"/>
      <c r="Q23" s="8"/>
      <c r="R23" s="10"/>
      <c r="S23" s="8"/>
      <c r="T23" s="8"/>
      <c r="U23" s="8"/>
      <c r="V23" s="8"/>
      <c r="W23" s="8"/>
      <c r="X23" s="8"/>
      <c r="Y23" s="10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0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10"/>
      <c r="BS23" s="8"/>
      <c r="BT23" s="8"/>
      <c r="BU23" s="8"/>
      <c r="BV23" s="8"/>
      <c r="BW23" s="8"/>
      <c r="BX23" s="8"/>
      <c r="BY23" s="8"/>
      <c r="BZ23" s="8"/>
      <c r="CA23" s="10"/>
      <c r="CB23" s="8"/>
      <c r="CC23" s="8"/>
      <c r="CD23" s="10"/>
      <c r="CE23" s="8"/>
      <c r="CF23" s="8"/>
      <c r="CG23" s="8"/>
      <c r="CH23" s="8"/>
      <c r="CI23" s="8"/>
      <c r="CJ23" s="8"/>
      <c r="CK23" s="8"/>
      <c r="CL23" s="8"/>
      <c r="CM23" s="8"/>
      <c r="CN23" s="8"/>
    </row>
    <row r="24" spans="2:93" x14ac:dyDescent="0.25"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0"/>
      <c r="O24" s="8"/>
      <c r="P24" s="8"/>
      <c r="Q24" s="8"/>
      <c r="R24" s="10"/>
      <c r="S24" s="8"/>
      <c r="T24" s="8"/>
      <c r="U24" s="8"/>
      <c r="V24" s="8"/>
      <c r="W24" s="8"/>
      <c r="X24" s="8"/>
      <c r="Y24" s="10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0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10"/>
      <c r="BS24" s="8"/>
      <c r="BT24" s="8"/>
      <c r="BU24" s="8"/>
      <c r="BV24" s="8"/>
      <c r="BW24" s="8"/>
      <c r="BX24" s="8"/>
      <c r="BY24" s="8"/>
      <c r="BZ24" s="8"/>
      <c r="CA24" s="10"/>
      <c r="CB24" s="8"/>
      <c r="CC24" s="8"/>
      <c r="CD24" s="10"/>
      <c r="CE24" s="8"/>
      <c r="CF24" s="8"/>
      <c r="CG24" s="8"/>
      <c r="CH24" s="8"/>
      <c r="CI24" s="8"/>
      <c r="CJ24" s="8"/>
      <c r="CK24" s="8"/>
      <c r="CL24" s="8"/>
      <c r="CM24" s="8"/>
      <c r="CN24" s="8"/>
    </row>
    <row r="25" spans="2:93" x14ac:dyDescent="0.25"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8"/>
      <c r="P25" s="8"/>
      <c r="Q25" s="8"/>
      <c r="R25" s="10"/>
      <c r="S25" s="8"/>
      <c r="T25" s="8"/>
      <c r="U25" s="8"/>
      <c r="V25" s="8"/>
      <c r="W25" s="8"/>
      <c r="X25" s="8"/>
      <c r="Y25" s="10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10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10"/>
      <c r="BS25" s="8"/>
      <c r="BT25" s="8"/>
      <c r="BU25" s="8"/>
      <c r="BV25" s="8"/>
      <c r="BW25" s="8"/>
      <c r="BX25" s="8"/>
      <c r="BY25" s="8"/>
      <c r="BZ25" s="8"/>
      <c r="CA25" s="10"/>
      <c r="CB25" s="8"/>
      <c r="CC25" s="8"/>
      <c r="CD25" s="10"/>
      <c r="CE25" s="8"/>
      <c r="CF25" s="8"/>
      <c r="CG25" s="8"/>
      <c r="CH25" s="8"/>
      <c r="CI25" s="8"/>
      <c r="CJ25" s="8"/>
      <c r="CK25" s="8"/>
      <c r="CL25" s="8"/>
      <c r="CM25" s="8"/>
      <c r="CN25" s="8"/>
    </row>
    <row r="26" spans="2:93" x14ac:dyDescent="0.25"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8"/>
      <c r="P26" s="8"/>
      <c r="Q26" s="8"/>
      <c r="R26" s="10"/>
      <c r="S26" s="8"/>
      <c r="T26" s="8"/>
      <c r="U26" s="8"/>
      <c r="V26" s="8"/>
      <c r="W26" s="8"/>
      <c r="X26" s="8"/>
      <c r="Y26" s="10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0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10"/>
      <c r="BS26" s="8"/>
      <c r="BT26" s="8"/>
      <c r="BU26" s="8"/>
      <c r="BV26" s="8"/>
      <c r="BW26" s="8"/>
      <c r="BX26" s="8"/>
      <c r="BY26" s="8"/>
      <c r="BZ26" s="8"/>
      <c r="CA26" s="10"/>
      <c r="CB26" s="8"/>
      <c r="CC26" s="8"/>
      <c r="CD26" s="10"/>
      <c r="CE26" s="8"/>
      <c r="CF26" s="8"/>
      <c r="CG26" s="8"/>
      <c r="CH26" s="8"/>
      <c r="CI26" s="8"/>
      <c r="CJ26" s="8"/>
      <c r="CK26" s="8"/>
      <c r="CL26" s="8"/>
      <c r="CM26" s="8"/>
      <c r="CN26" s="8"/>
    </row>
    <row r="27" spans="2:93" x14ac:dyDescent="0.25"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0"/>
      <c r="O27" s="8"/>
      <c r="P27" s="8"/>
      <c r="Q27" s="8"/>
      <c r="R27" s="10"/>
      <c r="S27" s="8"/>
      <c r="T27" s="8"/>
      <c r="U27" s="8"/>
      <c r="V27" s="8"/>
      <c r="W27" s="8"/>
      <c r="X27" s="8"/>
      <c r="Y27" s="10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0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10"/>
      <c r="BS27" s="8"/>
      <c r="BT27" s="8"/>
      <c r="BU27" s="8"/>
      <c r="BV27" s="8"/>
      <c r="BW27" s="8"/>
      <c r="BX27" s="8"/>
      <c r="BY27" s="8"/>
      <c r="BZ27" s="8"/>
      <c r="CA27" s="10"/>
      <c r="CB27" s="8"/>
      <c r="CC27" s="8"/>
      <c r="CD27" s="10"/>
      <c r="CE27" s="8"/>
      <c r="CF27" s="8"/>
      <c r="CG27" s="8"/>
      <c r="CH27" s="8"/>
      <c r="CI27" s="8"/>
      <c r="CJ27" s="8"/>
      <c r="CK27" s="8"/>
      <c r="CL27" s="8"/>
      <c r="CM27" s="8"/>
      <c r="CN27" s="8"/>
    </row>
    <row r="28" spans="2:93" x14ac:dyDescent="0.25"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0"/>
      <c r="O28" s="8"/>
      <c r="P28" s="8"/>
      <c r="Q28" s="8"/>
      <c r="R28" s="10"/>
      <c r="S28" s="8"/>
      <c r="T28" s="8"/>
      <c r="U28" s="8"/>
      <c r="V28" s="8"/>
      <c r="W28" s="8"/>
      <c r="X28" s="8"/>
      <c r="Y28" s="10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0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10"/>
      <c r="BS28" s="8"/>
      <c r="BT28" s="8"/>
      <c r="BU28" s="8"/>
      <c r="BV28" s="8"/>
      <c r="BW28" s="8"/>
      <c r="BX28" s="8"/>
      <c r="BY28" s="8"/>
      <c r="BZ28" s="8"/>
      <c r="CA28" s="10"/>
      <c r="CB28" s="8"/>
      <c r="CC28" s="8"/>
      <c r="CD28" s="10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11"/>
    </row>
    <row r="29" spans="2:93" x14ac:dyDescent="0.25"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0"/>
      <c r="O29" s="8"/>
      <c r="P29" s="8"/>
      <c r="Q29" s="8"/>
      <c r="R29" s="10"/>
      <c r="S29" s="8"/>
      <c r="T29" s="8"/>
      <c r="U29" s="8"/>
      <c r="V29" s="8"/>
      <c r="W29" s="8"/>
      <c r="X29" s="8"/>
      <c r="Y29" s="1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0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10"/>
      <c r="BS29" s="8"/>
      <c r="BT29" s="8"/>
      <c r="BU29" s="8"/>
      <c r="BV29" s="8"/>
      <c r="BW29" s="8"/>
      <c r="BX29" s="8"/>
      <c r="BY29" s="8"/>
      <c r="BZ29" s="8"/>
      <c r="CA29" s="10"/>
      <c r="CB29" s="8"/>
      <c r="CC29" s="8"/>
      <c r="CD29" s="10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11"/>
    </row>
    <row r="30" spans="2:93" x14ac:dyDescent="0.25"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0"/>
      <c r="O30" s="8"/>
      <c r="P30" s="8"/>
      <c r="Q30" s="8"/>
      <c r="R30" s="10"/>
      <c r="S30" s="8"/>
      <c r="T30" s="8"/>
      <c r="U30" s="8"/>
      <c r="V30" s="8"/>
      <c r="W30" s="8"/>
      <c r="X30" s="8"/>
      <c r="Y30" s="1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0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10"/>
      <c r="BS30" s="8"/>
      <c r="BT30" s="8"/>
      <c r="BU30" s="8"/>
      <c r="BV30" s="8"/>
      <c r="BW30" s="8"/>
      <c r="BX30" s="8"/>
      <c r="BY30" s="8"/>
      <c r="BZ30" s="8"/>
      <c r="CA30" s="10"/>
      <c r="CB30" s="8"/>
      <c r="CC30" s="8"/>
      <c r="CD30" s="10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11"/>
    </row>
    <row r="31" spans="2:93" x14ac:dyDescent="0.25"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0"/>
      <c r="O31" s="8"/>
      <c r="P31" s="8"/>
      <c r="Q31" s="8"/>
      <c r="R31" s="10"/>
      <c r="S31" s="8"/>
      <c r="T31" s="8"/>
      <c r="U31" s="8"/>
      <c r="V31" s="8"/>
      <c r="W31" s="8"/>
      <c r="X31" s="8"/>
      <c r="Y31" s="1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10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10"/>
      <c r="BS31" s="8"/>
      <c r="BT31" s="8"/>
      <c r="BU31" s="8"/>
      <c r="BV31" s="8"/>
      <c r="BW31" s="8"/>
      <c r="BX31" s="8"/>
      <c r="BY31" s="8"/>
      <c r="BZ31" s="8"/>
      <c r="CA31" s="10"/>
      <c r="CB31" s="8"/>
      <c r="CC31" s="8"/>
      <c r="CD31" s="10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11"/>
    </row>
    <row r="32" spans="2:93" x14ac:dyDescent="0.25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  <c r="O32" s="8"/>
      <c r="P32" s="8"/>
      <c r="Q32" s="8"/>
      <c r="R32" s="10"/>
      <c r="S32" s="8"/>
      <c r="T32" s="8"/>
      <c r="U32" s="8"/>
      <c r="V32" s="8"/>
      <c r="W32" s="8"/>
      <c r="X32" s="8"/>
      <c r="Y32" s="1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0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10"/>
      <c r="BS32" s="8"/>
      <c r="BT32" s="8"/>
      <c r="BU32" s="8"/>
      <c r="BV32" s="8"/>
      <c r="BW32" s="8"/>
      <c r="BX32" s="8"/>
      <c r="BY32" s="8"/>
      <c r="BZ32" s="8"/>
      <c r="CA32" s="10"/>
      <c r="CB32" s="8"/>
      <c r="CC32" s="8"/>
      <c r="CD32" s="10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11"/>
    </row>
    <row r="33" spans="2:93" x14ac:dyDescent="0.25"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0"/>
      <c r="O33" s="8"/>
      <c r="P33" s="8"/>
      <c r="Q33" s="8"/>
      <c r="R33" s="10"/>
      <c r="S33" s="8"/>
      <c r="T33" s="8"/>
      <c r="U33" s="8"/>
      <c r="V33" s="8"/>
      <c r="W33" s="8"/>
      <c r="X33" s="8"/>
      <c r="Y33" s="1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10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10"/>
      <c r="BS33" s="8"/>
      <c r="BT33" s="8"/>
      <c r="BU33" s="8"/>
      <c r="BV33" s="8"/>
      <c r="BW33" s="8"/>
      <c r="BX33" s="8"/>
      <c r="BY33" s="8"/>
      <c r="BZ33" s="8"/>
      <c r="CA33" s="10"/>
      <c r="CB33" s="8"/>
      <c r="CC33" s="8"/>
      <c r="CD33" s="10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11"/>
    </row>
    <row r="34" spans="2:93" x14ac:dyDescent="0.25"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0"/>
      <c r="O34" s="8"/>
      <c r="P34" s="8"/>
      <c r="Q34" s="8"/>
      <c r="R34" s="10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0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10"/>
      <c r="BS34" s="8"/>
      <c r="BT34" s="8"/>
      <c r="BU34" s="8"/>
      <c r="BV34" s="8"/>
      <c r="BW34" s="8"/>
      <c r="BX34" s="8"/>
      <c r="BY34" s="8"/>
      <c r="BZ34" s="8"/>
      <c r="CA34" s="10"/>
      <c r="CB34" s="8"/>
      <c r="CC34" s="8"/>
      <c r="CD34" s="10"/>
      <c r="CE34" s="8"/>
      <c r="CF34" s="8"/>
      <c r="CG34" s="8"/>
      <c r="CH34" s="8"/>
      <c r="CI34" s="8"/>
      <c r="CJ34" s="8"/>
      <c r="CK34" s="8"/>
      <c r="CL34" s="8"/>
      <c r="CM34" s="8"/>
      <c r="CN34" s="8"/>
    </row>
    <row r="35" spans="2:93" x14ac:dyDescent="0.25"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0"/>
      <c r="O35" s="8"/>
      <c r="P35" s="8"/>
      <c r="Q35" s="8"/>
      <c r="R35" s="10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0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10"/>
      <c r="BS35" s="8"/>
      <c r="BT35" s="8"/>
      <c r="BU35" s="8"/>
      <c r="BV35" s="8"/>
      <c r="BW35" s="8"/>
      <c r="BX35" s="8"/>
      <c r="BY35" s="8"/>
      <c r="BZ35" s="8"/>
      <c r="CA35" s="10"/>
      <c r="CB35" s="8"/>
      <c r="CC35" s="8"/>
      <c r="CD35" s="10"/>
      <c r="CE35" s="8"/>
      <c r="CF35" s="8"/>
      <c r="CG35" s="8"/>
      <c r="CH35" s="8"/>
      <c r="CI35" s="8"/>
      <c r="CJ35" s="8"/>
      <c r="CK35" s="8"/>
      <c r="CL35" s="8"/>
      <c r="CM35" s="8"/>
      <c r="CN35" s="8"/>
    </row>
    <row r="36" spans="2:93" x14ac:dyDescent="0.25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0"/>
      <c r="O36" s="8"/>
      <c r="P36" s="8"/>
      <c r="Q36" s="8"/>
      <c r="R36" s="10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0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10"/>
      <c r="BS36" s="8"/>
      <c r="BT36" s="8"/>
      <c r="BU36" s="8"/>
      <c r="BV36" s="8"/>
      <c r="BW36" s="8"/>
      <c r="BX36" s="8"/>
      <c r="BY36" s="8"/>
      <c r="BZ36" s="8"/>
      <c r="CA36" s="10"/>
      <c r="CB36" s="8"/>
      <c r="CC36" s="8"/>
      <c r="CD36" s="10"/>
      <c r="CE36" s="8"/>
      <c r="CF36" s="8"/>
      <c r="CG36" s="8"/>
      <c r="CH36" s="8"/>
      <c r="CI36" s="8"/>
      <c r="CJ36" s="8"/>
      <c r="CK36" s="8"/>
      <c r="CL36" s="8"/>
      <c r="CM36" s="8"/>
      <c r="CN36" s="8"/>
    </row>
    <row r="37" spans="2:93" x14ac:dyDescent="0.25"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0"/>
      <c r="O37" s="8"/>
      <c r="P37" s="8"/>
      <c r="Q37" s="8"/>
      <c r="R37" s="10"/>
      <c r="S37" s="8"/>
      <c r="T37" s="8"/>
      <c r="U37" s="8"/>
      <c r="V37" s="8"/>
      <c r="W37" s="8"/>
      <c r="X37" s="8"/>
      <c r="Y37" s="1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0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10"/>
      <c r="BS37" s="8"/>
      <c r="BT37" s="8"/>
      <c r="BU37" s="8"/>
      <c r="BV37" s="8"/>
      <c r="BW37" s="8"/>
      <c r="BX37" s="8"/>
      <c r="BY37" s="8"/>
      <c r="BZ37" s="8"/>
      <c r="CA37" s="10"/>
      <c r="CB37" s="8"/>
      <c r="CC37" s="8"/>
      <c r="CD37" s="10"/>
      <c r="CE37" s="8"/>
      <c r="CF37" s="8"/>
      <c r="CG37" s="8"/>
      <c r="CH37" s="8"/>
      <c r="CI37" s="8"/>
      <c r="CJ37" s="8"/>
      <c r="CK37" s="8"/>
      <c r="CL37" s="8"/>
      <c r="CM37" s="8"/>
      <c r="CN37" s="8"/>
    </row>
    <row r="38" spans="2:93" x14ac:dyDescent="0.25"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0"/>
      <c r="O38" s="8"/>
      <c r="P38" s="8"/>
      <c r="Q38" s="8"/>
      <c r="R38" s="10"/>
      <c r="S38" s="8"/>
      <c r="T38" s="8"/>
      <c r="U38" s="8"/>
      <c r="V38" s="8"/>
      <c r="W38" s="8"/>
      <c r="X38" s="8"/>
      <c r="Y38" s="1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0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10"/>
      <c r="BS38" s="8"/>
      <c r="BT38" s="8"/>
      <c r="BU38" s="8"/>
      <c r="BV38" s="8"/>
      <c r="BW38" s="8"/>
      <c r="BX38" s="8"/>
      <c r="BY38" s="8"/>
      <c r="BZ38" s="8"/>
      <c r="CA38" s="10"/>
      <c r="CB38" s="8"/>
      <c r="CC38" s="8"/>
      <c r="CD38" s="10"/>
      <c r="CE38" s="8"/>
      <c r="CF38" s="8"/>
      <c r="CG38" s="8"/>
      <c r="CH38" s="8"/>
      <c r="CI38" s="8"/>
      <c r="CJ38" s="8"/>
      <c r="CK38" s="8"/>
      <c r="CL38" s="8"/>
      <c r="CM38" s="8"/>
      <c r="CN38" s="8"/>
    </row>
    <row r="39" spans="2:93" x14ac:dyDescent="0.25"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  <c r="O39" s="8"/>
      <c r="P39" s="8"/>
      <c r="Q39" s="8"/>
      <c r="R39" s="10"/>
      <c r="S39" s="8"/>
      <c r="T39" s="8"/>
      <c r="U39" s="8"/>
      <c r="V39" s="8"/>
      <c r="W39" s="8"/>
      <c r="X39" s="8"/>
      <c r="Y39" s="1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10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10"/>
      <c r="BS39" s="8"/>
      <c r="BT39" s="8"/>
      <c r="BU39" s="8"/>
      <c r="BV39" s="8"/>
      <c r="BW39" s="8"/>
      <c r="BX39" s="8"/>
      <c r="BY39" s="8"/>
      <c r="BZ39" s="8"/>
      <c r="CA39" s="10"/>
      <c r="CB39" s="8"/>
      <c r="CC39" s="8"/>
      <c r="CD39" s="10"/>
      <c r="CE39" s="8"/>
      <c r="CF39" s="8"/>
      <c r="CG39" s="8"/>
      <c r="CH39" s="8"/>
      <c r="CI39" s="8"/>
      <c r="CJ39" s="8"/>
      <c r="CK39" s="8"/>
      <c r="CL39" s="8"/>
      <c r="CM39" s="8"/>
      <c r="CN39" s="8"/>
    </row>
    <row r="40" spans="2:93" x14ac:dyDescent="0.25"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0"/>
      <c r="O40" s="8"/>
      <c r="P40" s="8"/>
      <c r="Q40" s="8"/>
      <c r="R40" s="10"/>
      <c r="S40" s="8"/>
      <c r="T40" s="8"/>
      <c r="U40" s="8"/>
      <c r="V40" s="8"/>
      <c r="W40" s="8"/>
      <c r="X40" s="8"/>
      <c r="Y40" s="1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0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10"/>
      <c r="BS40" s="8"/>
      <c r="BT40" s="8"/>
      <c r="BU40" s="8"/>
      <c r="BV40" s="8"/>
      <c r="BW40" s="8"/>
      <c r="BX40" s="8"/>
      <c r="BY40" s="8"/>
      <c r="BZ40" s="8"/>
      <c r="CA40" s="10"/>
      <c r="CB40" s="8"/>
      <c r="CC40" s="8"/>
      <c r="CD40" s="10"/>
      <c r="CE40" s="8"/>
      <c r="CF40" s="8"/>
      <c r="CG40" s="8"/>
      <c r="CH40" s="8"/>
      <c r="CI40" s="8"/>
      <c r="CJ40" s="8"/>
      <c r="CK40" s="8"/>
      <c r="CL40" s="8"/>
      <c r="CM40" s="8"/>
      <c r="CN40" s="8"/>
    </row>
    <row r="41" spans="2:93" x14ac:dyDescent="0.25"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0"/>
      <c r="O41" s="8"/>
      <c r="P41" s="8"/>
      <c r="Q41" s="8"/>
      <c r="R41" s="10"/>
      <c r="S41" s="8"/>
      <c r="T41" s="8"/>
      <c r="U41" s="8"/>
      <c r="V41" s="8"/>
      <c r="W41" s="8"/>
      <c r="X41" s="8"/>
      <c r="Y41" s="1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10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10"/>
      <c r="BS41" s="8"/>
      <c r="BT41" s="8"/>
      <c r="BU41" s="8"/>
      <c r="BV41" s="8"/>
      <c r="BW41" s="8"/>
      <c r="BX41" s="8"/>
      <c r="BY41" s="8"/>
      <c r="BZ41" s="8"/>
      <c r="CA41" s="10"/>
      <c r="CB41" s="8"/>
      <c r="CC41" s="8"/>
      <c r="CD41" s="10"/>
      <c r="CE41" s="8"/>
      <c r="CF41" s="8"/>
      <c r="CG41" s="8"/>
      <c r="CH41" s="8"/>
      <c r="CI41" s="8"/>
      <c r="CJ41" s="8"/>
      <c r="CK41" s="8"/>
      <c r="CL41" s="8"/>
      <c r="CM41" s="8"/>
      <c r="CN41" s="8"/>
    </row>
    <row r="42" spans="2:93" x14ac:dyDescent="0.25">
      <c r="B42" s="10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0"/>
      <c r="O42" s="8"/>
      <c r="P42" s="8"/>
      <c r="Q42" s="8"/>
      <c r="R42" s="10"/>
      <c r="S42" s="8"/>
      <c r="T42" s="8"/>
      <c r="U42" s="8"/>
      <c r="V42" s="8"/>
      <c r="W42" s="8"/>
      <c r="X42" s="8"/>
      <c r="Y42" s="1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0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10"/>
      <c r="BS42" s="8"/>
      <c r="BT42" s="8"/>
      <c r="BU42" s="8"/>
      <c r="BV42" s="8"/>
      <c r="BW42" s="8"/>
      <c r="BX42" s="8"/>
      <c r="BY42" s="8"/>
      <c r="BZ42" s="8"/>
      <c r="CA42" s="10"/>
      <c r="CB42" s="8"/>
      <c r="CC42" s="8"/>
      <c r="CD42" s="10"/>
      <c r="CE42" s="8"/>
      <c r="CF42" s="8"/>
      <c r="CG42" s="8"/>
      <c r="CH42" s="8"/>
      <c r="CI42" s="8"/>
      <c r="CJ42" s="8"/>
      <c r="CK42" s="8"/>
      <c r="CL42" s="8"/>
      <c r="CM42" s="8"/>
      <c r="CN42" s="8"/>
    </row>
    <row r="43" spans="2:93" x14ac:dyDescent="0.25"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0"/>
      <c r="O43" s="8"/>
      <c r="P43" s="8"/>
      <c r="Q43" s="8"/>
      <c r="R43" s="10"/>
      <c r="S43" s="8"/>
      <c r="T43" s="8"/>
      <c r="U43" s="8"/>
      <c r="V43" s="8"/>
      <c r="W43" s="8"/>
      <c r="X43" s="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10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10"/>
      <c r="BS43" s="8"/>
      <c r="BT43" s="8"/>
      <c r="BU43" s="8"/>
      <c r="BV43" s="8"/>
      <c r="BW43" s="8"/>
      <c r="BX43" s="8"/>
      <c r="BY43" s="8"/>
      <c r="BZ43" s="8"/>
      <c r="CA43" s="10"/>
      <c r="CB43" s="8"/>
      <c r="CC43" s="8"/>
      <c r="CD43" s="10"/>
      <c r="CE43" s="8"/>
      <c r="CF43" s="8"/>
      <c r="CG43" s="8"/>
      <c r="CH43" s="8"/>
      <c r="CI43" s="8"/>
      <c r="CJ43" s="8"/>
      <c r="CK43" s="8"/>
      <c r="CL43" s="8"/>
      <c r="CM43" s="8"/>
      <c r="CN43" s="8"/>
    </row>
    <row r="44" spans="2:93" x14ac:dyDescent="0.25"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  <c r="O44" s="8"/>
      <c r="P44" s="8"/>
      <c r="Q44" s="8"/>
      <c r="R44" s="10"/>
      <c r="S44" s="8"/>
      <c r="T44" s="8"/>
      <c r="U44" s="8"/>
      <c r="V44" s="8"/>
      <c r="W44" s="8"/>
      <c r="X44" s="8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0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10"/>
      <c r="BS44" s="8"/>
      <c r="BT44" s="8"/>
      <c r="BU44" s="8"/>
      <c r="BV44" s="8"/>
      <c r="BW44" s="8"/>
      <c r="BX44" s="8"/>
      <c r="BY44" s="8"/>
      <c r="BZ44" s="8"/>
      <c r="CA44" s="10"/>
      <c r="CB44" s="8"/>
      <c r="CC44" s="8"/>
      <c r="CD44" s="10"/>
      <c r="CE44" s="8"/>
      <c r="CF44" s="8"/>
      <c r="CG44" s="8"/>
      <c r="CH44" s="8"/>
      <c r="CI44" s="8"/>
      <c r="CJ44" s="8"/>
      <c r="CK44" s="8"/>
      <c r="CL44" s="8"/>
      <c r="CM44" s="8"/>
      <c r="CN44" s="8"/>
    </row>
    <row r="45" spans="2:93" x14ac:dyDescent="0.25"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10"/>
      <c r="S45" s="8"/>
      <c r="T45" s="8"/>
      <c r="U45" s="8"/>
      <c r="V45" s="8"/>
      <c r="W45" s="8"/>
      <c r="X45" s="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0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10"/>
      <c r="BS45" s="8"/>
      <c r="BT45" s="8"/>
      <c r="BU45" s="8"/>
      <c r="BV45" s="8"/>
      <c r="BW45" s="8"/>
      <c r="BX45" s="8"/>
      <c r="BY45" s="8"/>
      <c r="BZ45" s="8"/>
      <c r="CA45" s="10"/>
      <c r="CB45" s="8"/>
      <c r="CC45" s="8"/>
      <c r="CD45" s="10"/>
      <c r="CE45" s="8"/>
      <c r="CF45" s="8"/>
      <c r="CG45" s="8"/>
      <c r="CH45" s="8"/>
      <c r="CI45" s="8"/>
      <c r="CJ45" s="8"/>
      <c r="CK45" s="8"/>
      <c r="CL45" s="8"/>
      <c r="CM45" s="8"/>
      <c r="CN45" s="8"/>
    </row>
    <row r="46" spans="2:93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</row>
    <row r="47" spans="2:93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</row>
    <row r="48" spans="2:93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</row>
    <row r="49" spans="2:92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</row>
    <row r="50" spans="2:9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</row>
    <row r="51" spans="2:9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</row>
    <row r="52" spans="2:9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</row>
    <row r="53" spans="2:9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</row>
    <row r="54" spans="2:9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</row>
    <row r="55" spans="2:92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</row>
    <row r="56" spans="2:92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</row>
    <row r="57" spans="2:92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</row>
    <row r="58" spans="2:92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</row>
    <row r="59" spans="2:92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</row>
    <row r="60" spans="2:92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</row>
    <row r="61" spans="2:92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</row>
    <row r="62" spans="2:9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</row>
    <row r="63" spans="2:9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2:92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2:92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2:92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2:92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2:92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2:92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2:92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2:92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2:92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2:92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2:92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2:92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2:92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2:92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2:92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2:92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2:92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2:92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2:92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2:92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2:92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2:92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2:92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2:92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2:92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2:92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2:92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2:92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2:92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</row>
    <row r="126" spans="2:92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</row>
    <row r="127" spans="2:92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</row>
    <row r="128" spans="2:92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</row>
    <row r="129" spans="2:92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</row>
    <row r="130" spans="2:92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</row>
    <row r="131" spans="2:92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</row>
    <row r="132" spans="2:92" x14ac:dyDescent="0.2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</row>
    <row r="133" spans="2:92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</row>
    <row r="134" spans="2:92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</row>
    <row r="135" spans="2:92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</row>
    <row r="136" spans="2:92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</row>
    <row r="137" spans="2:92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</row>
    <row r="138" spans="2:92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</row>
    <row r="139" spans="2:92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</row>
    <row r="140" spans="2:92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</row>
    <row r="141" spans="2:92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</row>
    <row r="142" spans="2:92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</row>
    <row r="143" spans="2:92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</row>
    <row r="144" spans="2:92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</row>
    <row r="145" spans="2:92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</row>
    <row r="146" spans="2:92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</row>
    <row r="147" spans="2:92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</row>
  </sheetData>
  <mergeCells count="8">
    <mergeCell ref="C2:N2"/>
    <mergeCell ref="O2:R2"/>
    <mergeCell ref="CE2:CN2"/>
    <mergeCell ref="S2:Y2"/>
    <mergeCell ref="Z2:AM2"/>
    <mergeCell ref="AN2:BR2"/>
    <mergeCell ref="BS2:CA2"/>
    <mergeCell ref="CB2:CD2"/>
  </mergeCells>
  <pageMargins left="0.25" right="0.25" top="0.75" bottom="0.75" header="0" footer="0"/>
  <pageSetup paperSize="3" fitToWidth="2" fitToHeight="0" pageOrder="overThenDown" orientation="landscape" r:id="rId1"/>
  <colBreaks count="1" manualBreakCount="1">
    <brk id="51" max="1048575" man="1"/>
  </col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FD36-ED91-4B8E-A6FD-E7673AB979F4}">
  <dimension ref="A1:D13"/>
  <sheetViews>
    <sheetView workbookViewId="0">
      <selection activeCell="B4" sqref="B4:B13"/>
    </sheetView>
  </sheetViews>
  <sheetFormatPr defaultRowHeight="15.75" x14ac:dyDescent="0.25"/>
  <cols>
    <col min="1" max="1" width="15.875" bestFit="1" customWidth="1"/>
    <col min="3" max="3" width="11.75" bestFit="1" customWidth="1"/>
  </cols>
  <sheetData>
    <row r="1" spans="1:4" ht="18.75" x14ac:dyDescent="0.3">
      <c r="A1" s="45" t="s">
        <v>88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79</v>
      </c>
      <c r="B4" s="25">
        <f>COUNTIF(Data[Entrance Sign - S], "3")</f>
        <v>0</v>
      </c>
      <c r="C4" s="26">
        <f>Totals!H37</f>
        <v>0</v>
      </c>
      <c r="D4" s="27">
        <f>B4*C4</f>
        <v>0</v>
      </c>
    </row>
    <row r="5" spans="1:4" x14ac:dyDescent="0.25">
      <c r="A5" s="39" t="s">
        <v>180</v>
      </c>
      <c r="B5" s="28">
        <f>COUNTIF(Data[Office Signage - S], "3")</f>
        <v>0</v>
      </c>
      <c r="C5" s="29">
        <f>Totals!H38</f>
        <v>0</v>
      </c>
      <c r="D5" s="30">
        <f t="shared" ref="D5:D13" si="0">B5*C5</f>
        <v>0</v>
      </c>
    </row>
    <row r="6" spans="1:4" x14ac:dyDescent="0.25">
      <c r="A6" s="39" t="s">
        <v>81</v>
      </c>
      <c r="B6" s="28">
        <f>COUNTIF(Data[Street Signs - S], "3")</f>
        <v>0</v>
      </c>
      <c r="C6" s="29">
        <f>Totals!H39</f>
        <v>0</v>
      </c>
      <c r="D6" s="30">
        <f t="shared" si="0"/>
        <v>0</v>
      </c>
    </row>
    <row r="7" spans="1:4" x14ac:dyDescent="0.25">
      <c r="A7" s="39" t="s">
        <v>82</v>
      </c>
      <c r="B7" s="28">
        <f>COUNTIF(Data[Parking Signs - S], "3")</f>
        <v>0</v>
      </c>
      <c r="C7" s="29">
        <f>Totals!H40</f>
        <v>0</v>
      </c>
      <c r="D7" s="30">
        <f t="shared" si="0"/>
        <v>0</v>
      </c>
    </row>
    <row r="8" spans="1:4" x14ac:dyDescent="0.25">
      <c r="A8" s="39" t="s">
        <v>75</v>
      </c>
      <c r="B8" s="28">
        <f>COUNTIF(Data[Handicap Parking - S], "3")</f>
        <v>0</v>
      </c>
      <c r="C8" s="29">
        <f>Totals!H41</f>
        <v>0</v>
      </c>
      <c r="D8" s="30">
        <f t="shared" si="0"/>
        <v>0</v>
      </c>
    </row>
    <row r="9" spans="1:4" x14ac:dyDescent="0.25">
      <c r="A9" s="39" t="s">
        <v>181</v>
      </c>
      <c r="B9" s="28">
        <f>COUNTIF(Data[Pool Signage - S], "3")</f>
        <v>0</v>
      </c>
      <c r="C9" s="29">
        <f>Totals!H42</f>
        <v>0</v>
      </c>
      <c r="D9" s="30">
        <f t="shared" si="0"/>
        <v>0</v>
      </c>
    </row>
    <row r="10" spans="1:4" x14ac:dyDescent="0.25">
      <c r="A10" s="39" t="s">
        <v>182</v>
      </c>
      <c r="B10" s="28">
        <f>COUNTIF(Data[ADA - S], "3")</f>
        <v>0</v>
      </c>
      <c r="C10" s="29">
        <f>Totals!H43</f>
        <v>0</v>
      </c>
      <c r="D10" s="30">
        <f t="shared" si="0"/>
        <v>0</v>
      </c>
    </row>
    <row r="11" spans="1:4" x14ac:dyDescent="0.25">
      <c r="A11" s="40" t="s">
        <v>85</v>
      </c>
      <c r="B11" s="28">
        <f>COUNTIF(Data[Dog Park Signs - S], "3")</f>
        <v>0</v>
      </c>
      <c r="C11" s="29">
        <f>Totals!H44</f>
        <v>0</v>
      </c>
      <c r="D11" s="30">
        <f t="shared" si="0"/>
        <v>0</v>
      </c>
    </row>
    <row r="12" spans="1:4" x14ac:dyDescent="0.25">
      <c r="A12" s="39" t="s">
        <v>183</v>
      </c>
      <c r="B12" s="28">
        <f>COUNTIF(Data[Dumpster Signage - S], "3")</f>
        <v>0</v>
      </c>
      <c r="C12" s="29">
        <f>Totals!H45</f>
        <v>0</v>
      </c>
      <c r="D12" s="30">
        <f t="shared" si="0"/>
        <v>0</v>
      </c>
    </row>
    <row r="13" spans="1:4" x14ac:dyDescent="0.25">
      <c r="A13" s="42" t="s">
        <v>87</v>
      </c>
      <c r="B13" s="33">
        <f>COUNTIF(Data[Fire Lane Signs - S], "3")</f>
        <v>0</v>
      </c>
      <c r="C13" s="31">
        <f>Totals!H46</f>
        <v>0</v>
      </c>
      <c r="D13" s="3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7385-6489-43ED-883E-7AD780845D0D}">
  <sheetPr>
    <pageSetUpPr fitToPage="1"/>
  </sheetPr>
  <dimension ref="A2:I58"/>
  <sheetViews>
    <sheetView topLeftCell="A4" workbookViewId="0">
      <selection activeCell="F52" sqref="F52"/>
    </sheetView>
  </sheetViews>
  <sheetFormatPr defaultRowHeight="15" x14ac:dyDescent="0.25"/>
  <cols>
    <col min="1" max="1" width="19.125" style="24" bestFit="1" customWidth="1"/>
    <col min="2" max="2" width="7" style="24" customWidth="1"/>
    <col min="3" max="3" width="10.75" style="24" customWidth="1"/>
    <col min="4" max="4" width="11.5" style="24" customWidth="1"/>
    <col min="5" max="5" width="1.75" style="24" customWidth="1"/>
    <col min="6" max="6" width="19.5" style="24" bestFit="1" customWidth="1"/>
    <col min="7" max="7" width="7" style="24" customWidth="1"/>
    <col min="8" max="8" width="10.75" style="24" customWidth="1"/>
    <col min="9" max="9" width="11.5" style="24" customWidth="1"/>
    <col min="10" max="16384" width="9" style="24"/>
  </cols>
  <sheetData>
    <row r="2" spans="1:9" ht="16.5" thickBot="1" x14ac:dyDescent="0.3">
      <c r="A2" s="22" t="s">
        <v>66</v>
      </c>
      <c r="B2" s="23" t="s">
        <v>192</v>
      </c>
      <c r="C2" s="23" t="s">
        <v>193</v>
      </c>
      <c r="D2" s="23" t="s">
        <v>194</v>
      </c>
      <c r="F2" s="43" t="s">
        <v>23</v>
      </c>
      <c r="G2" s="23" t="s">
        <v>192</v>
      </c>
      <c r="H2" s="23" t="s">
        <v>193</v>
      </c>
      <c r="I2" s="23" t="s">
        <v>194</v>
      </c>
    </row>
    <row r="3" spans="1:9" ht="15.75" x14ac:dyDescent="0.25">
      <c r="A3" s="47" t="s">
        <v>5</v>
      </c>
      <c r="B3" s="25">
        <f>COUNTIF(Data[Gutters - BE], "3")</f>
        <v>0</v>
      </c>
      <c r="C3" s="26"/>
      <c r="D3" s="27">
        <f>B3*C3</f>
        <v>0</v>
      </c>
      <c r="F3" s="47" t="s">
        <v>0</v>
      </c>
      <c r="G3" s="25">
        <f>COUNTIF(Data[Floor - IH], "3")</f>
        <v>0</v>
      </c>
      <c r="H3" s="26"/>
      <c r="I3" s="27">
        <f>G3*H3</f>
        <v>0</v>
      </c>
    </row>
    <row r="4" spans="1:9" ht="15.75" x14ac:dyDescent="0.25">
      <c r="A4" s="48" t="s">
        <v>6</v>
      </c>
      <c r="B4" s="28">
        <f>COUNTIF(Data[Down Spouts - BE], "3")</f>
        <v>0</v>
      </c>
      <c r="C4" s="29"/>
      <c r="D4" s="30">
        <f t="shared" ref="D4:D26" si="0">B4*C4</f>
        <v>0</v>
      </c>
      <c r="F4" s="48" t="s">
        <v>1</v>
      </c>
      <c r="G4" s="28">
        <f>COUNTIF(Data[Doors - IH], "3")</f>
        <v>0</v>
      </c>
      <c r="H4" s="29"/>
      <c r="I4" s="30">
        <f t="shared" ref="I4:I14" si="1">G4*H4</f>
        <v>0</v>
      </c>
    </row>
    <row r="5" spans="1:9" ht="15.75" x14ac:dyDescent="0.25">
      <c r="A5" s="48" t="s">
        <v>44</v>
      </c>
      <c r="B5" s="28">
        <f>COUNTIF(Data[Soffit - BE], "3")</f>
        <v>0</v>
      </c>
      <c r="C5" s="29"/>
      <c r="D5" s="30">
        <f t="shared" si="0"/>
        <v>0</v>
      </c>
      <c r="F5" s="48" t="s">
        <v>57</v>
      </c>
      <c r="G5" s="28">
        <f>COUNTIF(Data[Door Hardware - IH], "3")</f>
        <v>0</v>
      </c>
      <c r="H5" s="29"/>
      <c r="I5" s="30">
        <f t="shared" si="1"/>
        <v>0</v>
      </c>
    </row>
    <row r="6" spans="1:9" ht="15.75" x14ac:dyDescent="0.25">
      <c r="A6" s="48" t="s">
        <v>45</v>
      </c>
      <c r="B6" s="28">
        <f>COUNTIF(Data[Fascia - BE], "3")</f>
        <v>0</v>
      </c>
      <c r="C6" s="29"/>
      <c r="D6" s="30">
        <f t="shared" si="0"/>
        <v>0</v>
      </c>
      <c r="F6" s="48" t="s">
        <v>14</v>
      </c>
      <c r="G6" s="28">
        <f>COUNTIF(Data[Walls/Ceilings - IH], "3")</f>
        <v>0</v>
      </c>
      <c r="H6" s="29"/>
      <c r="I6" s="30">
        <f t="shared" si="1"/>
        <v>0</v>
      </c>
    </row>
    <row r="7" spans="1:9" ht="15.75" x14ac:dyDescent="0.25">
      <c r="A7" s="48" t="s">
        <v>46</v>
      </c>
      <c r="B7" s="28">
        <f>COUNTIF(Data[Siding/Stucco - BE], "3")</f>
        <v>0</v>
      </c>
      <c r="C7" s="29"/>
      <c r="D7" s="30">
        <f t="shared" si="0"/>
        <v>0</v>
      </c>
      <c r="F7" s="48" t="s">
        <v>17</v>
      </c>
      <c r="G7" s="28">
        <f>COUNTIF(Data[Light Fixtures - IH], "3")</f>
        <v>0</v>
      </c>
      <c r="H7" s="29"/>
      <c r="I7" s="30">
        <f t="shared" si="1"/>
        <v>0</v>
      </c>
    </row>
    <row r="8" spans="1:9" ht="15.75" x14ac:dyDescent="0.25">
      <c r="A8" s="48" t="s">
        <v>7</v>
      </c>
      <c r="B8" s="28">
        <f>COUNTIF(Data[Roofs - BE], "3")</f>
        <v>0</v>
      </c>
      <c r="C8" s="29"/>
      <c r="D8" s="30">
        <f t="shared" si="0"/>
        <v>0</v>
      </c>
      <c r="F8" s="48" t="s">
        <v>18</v>
      </c>
      <c r="G8" s="28">
        <f>COUNTIF(Data[Handrails - IH], "3")</f>
        <v>0</v>
      </c>
      <c r="H8" s="29"/>
      <c r="I8" s="30">
        <f t="shared" si="1"/>
        <v>0</v>
      </c>
    </row>
    <row r="9" spans="1:9" ht="15.75" x14ac:dyDescent="0.25">
      <c r="A9" s="48" t="s">
        <v>47</v>
      </c>
      <c r="B9" s="28">
        <f>COUNTIF(Data[Vent Pipes/Caging - BE], "3")</f>
        <v>0</v>
      </c>
      <c r="C9" s="29"/>
      <c r="D9" s="30">
        <f t="shared" si="0"/>
        <v>0</v>
      </c>
      <c r="F9" s="48" t="s">
        <v>8</v>
      </c>
      <c r="G9" s="28">
        <f>COUNTIF(Data[Moldings - IH], "3")</f>
        <v>0</v>
      </c>
      <c r="H9" s="29"/>
      <c r="I9" s="30">
        <f t="shared" si="1"/>
        <v>0</v>
      </c>
    </row>
    <row r="10" spans="1:9" ht="15.75" x14ac:dyDescent="0.25">
      <c r="A10" s="49" t="s">
        <v>177</v>
      </c>
      <c r="B10" s="28">
        <f>COUNTIF(Data[Gutter Drains - BE], "3")</f>
        <v>0</v>
      </c>
      <c r="C10" s="29"/>
      <c r="D10" s="30">
        <f t="shared" si="0"/>
        <v>0</v>
      </c>
      <c r="F10" s="49" t="s">
        <v>15</v>
      </c>
      <c r="G10" s="28">
        <f>COUNTIF(Data[Smoke Detectors - IH], "3")</f>
        <v>0</v>
      </c>
      <c r="H10" s="29"/>
      <c r="I10" s="30">
        <f t="shared" si="1"/>
        <v>0</v>
      </c>
    </row>
    <row r="11" spans="1:9" ht="15.75" x14ac:dyDescent="0.25">
      <c r="A11" s="48" t="s">
        <v>49</v>
      </c>
      <c r="B11" s="28">
        <f>COUNTIF(Data[Debris on Roofs - BE], "3")</f>
        <v>0</v>
      </c>
      <c r="C11" s="29"/>
      <c r="D11" s="30">
        <f t="shared" si="0"/>
        <v>0</v>
      </c>
      <c r="F11" s="48" t="s">
        <v>19</v>
      </c>
      <c r="G11" s="28">
        <f>COUNTIF(Data[Fire Extinguisher - IH], "3")</f>
        <v>0</v>
      </c>
      <c r="H11" s="29"/>
      <c r="I11" s="30">
        <f t="shared" si="1"/>
        <v>0</v>
      </c>
    </row>
    <row r="12" spans="1:9" ht="15.75" x14ac:dyDescent="0.25">
      <c r="A12" s="48" t="s">
        <v>2</v>
      </c>
      <c r="B12" s="28">
        <f>COUNTIF(Data[Windows - BE], "3")</f>
        <v>0</v>
      </c>
      <c r="C12" s="29"/>
      <c r="D12" s="30">
        <f t="shared" si="0"/>
        <v>0</v>
      </c>
      <c r="F12" s="48" t="s">
        <v>20</v>
      </c>
      <c r="G12" s="28">
        <f>COUNTIF(Data[Stair Coverings - IH], "3")</f>
        <v>0</v>
      </c>
      <c r="H12" s="29"/>
      <c r="I12" s="30">
        <f t="shared" si="1"/>
        <v>0</v>
      </c>
    </row>
    <row r="13" spans="1:9" ht="15.75" x14ac:dyDescent="0.25">
      <c r="A13" s="48" t="s">
        <v>178</v>
      </c>
      <c r="B13" s="28">
        <f>COUNTIF(Data[Window Weather Stripping - BE], "3")</f>
        <v>0</v>
      </c>
      <c r="C13" s="29"/>
      <c r="D13" s="30">
        <f t="shared" si="0"/>
        <v>0</v>
      </c>
      <c r="F13" s="49" t="s">
        <v>21</v>
      </c>
      <c r="G13" s="28">
        <f>COUNTIF(Data[Door Knockers - IH], "3")</f>
        <v>0</v>
      </c>
      <c r="H13" s="29"/>
      <c r="I13" s="30">
        <f t="shared" si="1"/>
        <v>0</v>
      </c>
    </row>
    <row r="14" spans="1:9" ht="15.75" x14ac:dyDescent="0.25">
      <c r="A14" s="48" t="s">
        <v>51</v>
      </c>
      <c r="B14" s="28">
        <f>COUNTIF(Data[Foundation Cracks - BE], "3")</f>
        <v>0</v>
      </c>
      <c r="C14" s="29"/>
      <c r="D14" s="30">
        <f t="shared" si="0"/>
        <v>0</v>
      </c>
      <c r="F14" s="51" t="s">
        <v>22</v>
      </c>
      <c r="G14" s="33">
        <f>COUNTIF(Data[Unit Numbers on Doors - IH], "3")</f>
        <v>0</v>
      </c>
      <c r="H14" s="31"/>
      <c r="I14" s="32">
        <f t="shared" si="1"/>
        <v>0</v>
      </c>
    </row>
    <row r="15" spans="1:9" ht="15.75" x14ac:dyDescent="0.25">
      <c r="A15" s="48" t="s">
        <v>52</v>
      </c>
      <c r="B15" s="28">
        <f>COUNTIF(Data[Foundation Leaks - BE], "3")</f>
        <v>0</v>
      </c>
      <c r="C15" s="29"/>
      <c r="D15" s="30">
        <f t="shared" si="0"/>
        <v>0</v>
      </c>
    </row>
    <row r="16" spans="1:9" ht="16.5" thickBot="1" x14ac:dyDescent="0.3">
      <c r="A16" s="48" t="s">
        <v>53</v>
      </c>
      <c r="B16" s="28">
        <f>COUNTIF(Data[Porch Posts - BE], "3")</f>
        <v>0</v>
      </c>
      <c r="C16" s="29"/>
      <c r="D16" s="30">
        <f t="shared" si="0"/>
        <v>0</v>
      </c>
      <c r="F16" s="43" t="s">
        <v>35</v>
      </c>
      <c r="G16" s="23" t="s">
        <v>192</v>
      </c>
      <c r="H16" s="23" t="s">
        <v>193</v>
      </c>
      <c r="I16" s="23" t="s">
        <v>194</v>
      </c>
    </row>
    <row r="17" spans="1:9" ht="15.75" x14ac:dyDescent="0.25">
      <c r="A17" s="48" t="s">
        <v>54</v>
      </c>
      <c r="B17" s="28">
        <f>COUNTIF(Data[Mailbox - BE], "3")</f>
        <v>0</v>
      </c>
      <c r="C17" s="29"/>
      <c r="D17" s="30">
        <f t="shared" si="0"/>
        <v>0</v>
      </c>
      <c r="F17" s="47" t="s">
        <v>28</v>
      </c>
      <c r="G17" s="25">
        <f>COUNTIF(Data[Water Shutoff - MS], "3")</f>
        <v>0</v>
      </c>
      <c r="H17" s="26"/>
      <c r="I17" s="27">
        <f>G17*H17</f>
        <v>0</v>
      </c>
    </row>
    <row r="18" spans="1:9" ht="15.75" x14ac:dyDescent="0.25">
      <c r="A18" s="49" t="s">
        <v>55</v>
      </c>
      <c r="B18" s="28">
        <f>COUNTIF(Data[Brickwork - BE], "3")</f>
        <v>0</v>
      </c>
      <c r="C18" s="29"/>
      <c r="D18" s="30">
        <f t="shared" si="0"/>
        <v>0</v>
      </c>
      <c r="F18" s="48" t="s">
        <v>176</v>
      </c>
      <c r="G18" s="28">
        <f>COUNTIF(Data[Sump Pumps - MS], "3")</f>
        <v>0</v>
      </c>
      <c r="H18" s="29"/>
      <c r="I18" s="30">
        <f t="shared" ref="I18:I23" si="2">G18*H18</f>
        <v>0</v>
      </c>
    </row>
    <row r="19" spans="1:9" ht="15.75" x14ac:dyDescent="0.25">
      <c r="A19" s="48" t="s">
        <v>56</v>
      </c>
      <c r="B19" s="28">
        <f>COUNTIF(Data[Termites - BE], "3")</f>
        <v>0</v>
      </c>
      <c r="C19" s="29"/>
      <c r="D19" s="30">
        <f t="shared" si="0"/>
        <v>0</v>
      </c>
      <c r="F19" s="48" t="s">
        <v>30</v>
      </c>
      <c r="G19" s="28">
        <f>COUNTIF(Data[Sewer Cleanout - MS], "3")</f>
        <v>0</v>
      </c>
      <c r="H19" s="29"/>
      <c r="I19" s="30">
        <f t="shared" si="2"/>
        <v>0</v>
      </c>
    </row>
    <row r="20" spans="1:9" ht="15.75" x14ac:dyDescent="0.25">
      <c r="A20" s="48" t="s">
        <v>1</v>
      </c>
      <c r="B20" s="28">
        <f>COUNTIF(Data[Doors - BE], "3")</f>
        <v>0</v>
      </c>
      <c r="C20" s="29"/>
      <c r="D20" s="30">
        <f t="shared" si="0"/>
        <v>0</v>
      </c>
      <c r="F20" s="48" t="s">
        <v>31</v>
      </c>
      <c r="G20" s="28">
        <f>COUNTIF(Data[Electric Meter - MS], "3")</f>
        <v>0</v>
      </c>
      <c r="H20" s="29"/>
      <c r="I20" s="30">
        <f t="shared" si="2"/>
        <v>0</v>
      </c>
    </row>
    <row r="21" spans="1:9" ht="15.75" x14ac:dyDescent="0.25">
      <c r="A21" s="48" t="s">
        <v>57</v>
      </c>
      <c r="B21" s="28">
        <f>COUNTIF(Data[Door Hardware - BE], "3")</f>
        <v>0</v>
      </c>
      <c r="C21" s="29"/>
      <c r="D21" s="30">
        <f t="shared" si="0"/>
        <v>0</v>
      </c>
      <c r="F21" s="48" t="s">
        <v>32</v>
      </c>
      <c r="G21" s="28">
        <f>COUNTIF(Data[Gas Meter - MS], "3")</f>
        <v>0</v>
      </c>
      <c r="H21" s="29"/>
      <c r="I21" s="30">
        <f t="shared" si="2"/>
        <v>0</v>
      </c>
    </row>
    <row r="22" spans="1:9" ht="15.75" x14ac:dyDescent="0.25">
      <c r="A22" s="48" t="s">
        <v>58</v>
      </c>
      <c r="B22" s="28">
        <f>COUNTIF(Data[Satellites - BE], "3")</f>
        <v>0</v>
      </c>
      <c r="C22" s="29"/>
      <c r="D22" s="30">
        <f t="shared" si="0"/>
        <v>0</v>
      </c>
      <c r="F22" s="48" t="s">
        <v>33</v>
      </c>
      <c r="G22" s="28">
        <f>COUNTIF(Data[Fire Hydrants - MS], "3")</f>
        <v>0</v>
      </c>
      <c r="H22" s="29"/>
      <c r="I22" s="30">
        <f t="shared" si="2"/>
        <v>0</v>
      </c>
    </row>
    <row r="23" spans="1:9" ht="15.75" x14ac:dyDescent="0.25">
      <c r="A23" s="48" t="s">
        <v>59</v>
      </c>
      <c r="B23" s="28">
        <f>COUNTIF(Data[Exposed Wiring/Cables - BE], "3")</f>
        <v>0</v>
      </c>
      <c r="C23" s="29"/>
      <c r="D23" s="30">
        <f t="shared" si="0"/>
        <v>0</v>
      </c>
      <c r="F23" s="51" t="s">
        <v>175</v>
      </c>
      <c r="G23" s="33">
        <f>COUNTIF(Data[HVAC Shutoff - MS], "3")</f>
        <v>0</v>
      </c>
      <c r="H23" s="31"/>
      <c r="I23" s="32">
        <f t="shared" si="2"/>
        <v>0</v>
      </c>
    </row>
    <row r="24" spans="1:9" ht="15.75" x14ac:dyDescent="0.25">
      <c r="A24" s="48" t="s">
        <v>60</v>
      </c>
      <c r="B24" s="28">
        <f>COUNTIF(Data[Decks - BE], "3")</f>
        <v>0</v>
      </c>
      <c r="C24" s="29"/>
      <c r="D24" s="30">
        <f t="shared" si="0"/>
        <v>0</v>
      </c>
    </row>
    <row r="25" spans="1:9" ht="16.5" thickBot="1" x14ac:dyDescent="0.3">
      <c r="A25" s="48" t="s">
        <v>61</v>
      </c>
      <c r="B25" s="28">
        <f>COUNTIF(Data[Deck Flashing - BE], "3")</f>
        <v>0</v>
      </c>
      <c r="C25" s="29"/>
      <c r="D25" s="30">
        <f t="shared" si="0"/>
        <v>0</v>
      </c>
      <c r="F25" s="43" t="s">
        <v>27</v>
      </c>
      <c r="G25" s="23" t="s">
        <v>192</v>
      </c>
      <c r="H25" s="23" t="s">
        <v>193</v>
      </c>
      <c r="I25" s="23" t="s">
        <v>194</v>
      </c>
    </row>
    <row r="26" spans="1:9" ht="15.75" x14ac:dyDescent="0.25">
      <c r="A26" s="48" t="s">
        <v>9</v>
      </c>
      <c r="B26" s="28">
        <f>COUNTIF(Data[Lighting - BE], "3")</f>
        <v>0</v>
      </c>
      <c r="C26" s="29"/>
      <c r="D26" s="30">
        <f t="shared" si="0"/>
        <v>0</v>
      </c>
      <c r="F26" s="47" t="s">
        <v>24</v>
      </c>
      <c r="G26" s="25">
        <f>COUNTIF(Data[Fence Pickets - D], "3")</f>
        <v>0</v>
      </c>
      <c r="H26" s="26"/>
      <c r="I26" s="27">
        <f>G26*H26</f>
        <v>0</v>
      </c>
    </row>
    <row r="27" spans="1:9" ht="15.75" x14ac:dyDescent="0.25">
      <c r="A27" s="48" t="s">
        <v>3</v>
      </c>
      <c r="B27" s="28">
        <f>COUNTIF(Data[Stairs - BE], "3")</f>
        <v>0</v>
      </c>
      <c r="C27" s="29"/>
      <c r="D27" s="30">
        <f t="shared" ref="D27:D32" si="3">B27*C27</f>
        <v>0</v>
      </c>
      <c r="F27" s="48" t="s">
        <v>13</v>
      </c>
      <c r="G27" s="28">
        <f>COUNTIF(Data[Gates - D], "3")</f>
        <v>0</v>
      </c>
      <c r="H27" s="29"/>
      <c r="I27" s="30">
        <f t="shared" ref="I27:I29" si="4">G27*H27</f>
        <v>0</v>
      </c>
    </row>
    <row r="28" spans="1:9" ht="15.75" x14ac:dyDescent="0.25">
      <c r="A28" s="48" t="s">
        <v>18</v>
      </c>
      <c r="B28" s="28">
        <f>COUNTIF(Data[Handrails - BE], "3")</f>
        <v>0</v>
      </c>
      <c r="C28" s="29"/>
      <c r="D28" s="30">
        <f t="shared" si="3"/>
        <v>0</v>
      </c>
      <c r="F28" s="48" t="s">
        <v>25</v>
      </c>
      <c r="G28" s="28">
        <f>COUNTIF(Data[Gate Holes in Ground - D], "3")</f>
        <v>0</v>
      </c>
      <c r="H28" s="29"/>
      <c r="I28" s="30">
        <f t="shared" si="4"/>
        <v>0</v>
      </c>
    </row>
    <row r="29" spans="1:9" ht="15.75" x14ac:dyDescent="0.25">
      <c r="A29" s="50" t="s">
        <v>62</v>
      </c>
      <c r="B29" s="28">
        <f>COUNTIF(Data[Exterior Unit Numbers - BE], "3")</f>
        <v>0</v>
      </c>
      <c r="C29" s="29"/>
      <c r="D29" s="30">
        <f t="shared" si="3"/>
        <v>0</v>
      </c>
      <c r="F29" s="51" t="s">
        <v>26</v>
      </c>
      <c r="G29" s="33">
        <f>COUNTIF(Data[Ballasts/Bumpers - D], "3")</f>
        <v>0</v>
      </c>
      <c r="H29" s="31"/>
      <c r="I29" s="44">
        <f t="shared" si="4"/>
        <v>0</v>
      </c>
    </row>
    <row r="30" spans="1:9" ht="15.75" x14ac:dyDescent="0.25">
      <c r="A30" s="48" t="s">
        <v>63</v>
      </c>
      <c r="B30" s="28">
        <f>COUNTIF(Data[HVAC/AC - BE], "3")</f>
        <v>0</v>
      </c>
      <c r="C30" s="29"/>
      <c r="D30" s="30">
        <f t="shared" si="3"/>
        <v>0</v>
      </c>
      <c r="I30" s="34"/>
    </row>
    <row r="31" spans="1:9" ht="16.5" thickBot="1" x14ac:dyDescent="0.3">
      <c r="A31" s="48" t="s">
        <v>64</v>
      </c>
      <c r="B31" s="28">
        <f>COUNTIF(Data[Window Wells - BE], "3")</f>
        <v>0</v>
      </c>
      <c r="C31" s="29"/>
      <c r="D31" s="30">
        <f t="shared" si="3"/>
        <v>0</v>
      </c>
      <c r="F31" s="43" t="s">
        <v>78</v>
      </c>
      <c r="G31" s="23" t="s">
        <v>192</v>
      </c>
      <c r="H31" s="23" t="s">
        <v>193</v>
      </c>
      <c r="I31" s="23" t="s">
        <v>194</v>
      </c>
    </row>
    <row r="32" spans="1:9" ht="15.75" x14ac:dyDescent="0.25">
      <c r="A32" s="51" t="s">
        <v>65</v>
      </c>
      <c r="B32" s="33">
        <f>COUNTIF(Data[Exterior Access - BE], "3")</f>
        <v>0</v>
      </c>
      <c r="C32" s="31"/>
      <c r="D32" s="32">
        <f t="shared" si="3"/>
        <v>0</v>
      </c>
      <c r="F32" s="47" t="s">
        <v>24</v>
      </c>
      <c r="G32" s="25">
        <f>COUNTIF(Data[Fence Pickets - F], "3")</f>
        <v>0</v>
      </c>
      <c r="H32" s="26"/>
      <c r="I32" s="27">
        <f>G32*H32</f>
        <v>0</v>
      </c>
    </row>
    <row r="33" spans="1:9" ht="15.75" x14ac:dyDescent="0.25">
      <c r="F33" s="48" t="s">
        <v>77</v>
      </c>
      <c r="G33" s="28">
        <f>COUNTIF(Data[Locks/Latches - F], "3")</f>
        <v>0</v>
      </c>
      <c r="H33" s="29"/>
      <c r="I33" s="30">
        <f>G33*H33</f>
        <v>0</v>
      </c>
    </row>
    <row r="34" spans="1:9" ht="16.5" thickBot="1" x14ac:dyDescent="0.3">
      <c r="A34" s="22" t="s">
        <v>12</v>
      </c>
      <c r="B34" s="23" t="s">
        <v>192</v>
      </c>
      <c r="C34" s="23" t="s">
        <v>193</v>
      </c>
      <c r="D34" s="23" t="s">
        <v>194</v>
      </c>
      <c r="F34" s="51" t="s">
        <v>13</v>
      </c>
      <c r="G34" s="33">
        <f>COUNTIF(Data[Gates - F], "3")</f>
        <v>0</v>
      </c>
      <c r="H34" s="31"/>
      <c r="I34" s="32">
        <f>G34*H34</f>
        <v>0</v>
      </c>
    </row>
    <row r="35" spans="1:9" ht="15.75" x14ac:dyDescent="0.25">
      <c r="A35" s="47" t="s">
        <v>36</v>
      </c>
      <c r="B35" s="25">
        <f>COUNTIF(Data[Trees - L], "3")</f>
        <v>0</v>
      </c>
      <c r="C35" s="26"/>
      <c r="D35" s="27">
        <f>B35*C35</f>
        <v>0</v>
      </c>
    </row>
    <row r="36" spans="1:9" ht="16.5" thickBot="1" x14ac:dyDescent="0.3">
      <c r="A36" s="48" t="s">
        <v>37</v>
      </c>
      <c r="B36" s="28">
        <f>COUNTIF(Data[Bushes - L], "3")</f>
        <v>0</v>
      </c>
      <c r="C36" s="29"/>
      <c r="D36" s="30">
        <f t="shared" ref="D36:D45" si="5">B36*C36</f>
        <v>0</v>
      </c>
      <c r="F36" s="22" t="s">
        <v>88</v>
      </c>
      <c r="G36" s="23" t="s">
        <v>192</v>
      </c>
      <c r="H36" s="23" t="s">
        <v>193</v>
      </c>
      <c r="I36" s="23" t="s">
        <v>194</v>
      </c>
    </row>
    <row r="37" spans="1:9" ht="15.75" x14ac:dyDescent="0.25">
      <c r="A37" s="48" t="s">
        <v>38</v>
      </c>
      <c r="B37" s="28">
        <f>COUNTIF(Data[Mulch/Gravel - L], "3")</f>
        <v>0</v>
      </c>
      <c r="C37" s="29"/>
      <c r="D37" s="30">
        <f t="shared" si="5"/>
        <v>0</v>
      </c>
      <c r="F37" s="47" t="s">
        <v>79</v>
      </c>
      <c r="G37" s="25">
        <f>COUNTIF(Data[Entrance Sign - S], "3")</f>
        <v>0</v>
      </c>
      <c r="H37" s="26"/>
      <c r="I37" s="27">
        <f>G37*H37</f>
        <v>0</v>
      </c>
    </row>
    <row r="38" spans="1:9" ht="15.75" x14ac:dyDescent="0.25">
      <c r="A38" s="48" t="s">
        <v>10</v>
      </c>
      <c r="B38" s="28">
        <f>COUNTIF(Data[Retaining Walls - L], "3")</f>
        <v>0</v>
      </c>
      <c r="C38" s="29"/>
      <c r="D38" s="30">
        <f t="shared" si="5"/>
        <v>0</v>
      </c>
      <c r="F38" s="48" t="s">
        <v>180</v>
      </c>
      <c r="G38" s="28">
        <f>COUNTIF(Data[Office Signage - S], "3")</f>
        <v>0</v>
      </c>
      <c r="H38" s="29"/>
      <c r="I38" s="30">
        <f t="shared" ref="I38:I46" si="6">G38*H38</f>
        <v>0</v>
      </c>
    </row>
    <row r="39" spans="1:9" ht="15.75" x14ac:dyDescent="0.25">
      <c r="A39" s="48" t="s">
        <v>11</v>
      </c>
      <c r="B39" s="28">
        <f>COUNTIF(Data[Irrigation - L], "3")</f>
        <v>0</v>
      </c>
      <c r="C39" s="29"/>
      <c r="D39" s="30">
        <f t="shared" si="5"/>
        <v>0</v>
      </c>
      <c r="F39" s="48" t="s">
        <v>81</v>
      </c>
      <c r="G39" s="28">
        <f>COUNTIF(Data[Street Signs - S], "3")</f>
        <v>0</v>
      </c>
      <c r="H39" s="29"/>
      <c r="I39" s="30">
        <f t="shared" si="6"/>
        <v>0</v>
      </c>
    </row>
    <row r="40" spans="1:9" ht="15.75" x14ac:dyDescent="0.25">
      <c r="A40" s="48" t="s">
        <v>39</v>
      </c>
      <c r="B40" s="28">
        <f>COUNTIF(Data[Drainage - L], "3")</f>
        <v>0</v>
      </c>
      <c r="C40" s="29"/>
      <c r="D40" s="30">
        <f t="shared" si="5"/>
        <v>0</v>
      </c>
      <c r="F40" s="48" t="s">
        <v>82</v>
      </c>
      <c r="G40" s="28">
        <f>COUNTIF(Data[Parking Signs - S], "3")</f>
        <v>0</v>
      </c>
      <c r="H40" s="29"/>
      <c r="I40" s="30">
        <f t="shared" si="6"/>
        <v>0</v>
      </c>
    </row>
    <row r="41" spans="1:9" ht="15.75" x14ac:dyDescent="0.25">
      <c r="A41" s="48" t="s">
        <v>40</v>
      </c>
      <c r="B41" s="28">
        <f>COUNTIF(Data[Water Pooling - L], "3")</f>
        <v>0</v>
      </c>
      <c r="C41" s="29"/>
      <c r="D41" s="30">
        <f t="shared" si="5"/>
        <v>0</v>
      </c>
      <c r="F41" s="48" t="s">
        <v>75</v>
      </c>
      <c r="G41" s="28">
        <f>COUNTIF(Data[Handicap Parking - S], "3")</f>
        <v>0</v>
      </c>
      <c r="H41" s="29"/>
      <c r="I41" s="30">
        <f t="shared" si="6"/>
        <v>0</v>
      </c>
    </row>
    <row r="42" spans="1:9" ht="15.75" x14ac:dyDescent="0.25">
      <c r="A42" s="49" t="s">
        <v>41</v>
      </c>
      <c r="B42" s="28">
        <f>COUNTIF(Data[Weeds - L], "3")</f>
        <v>0</v>
      </c>
      <c r="C42" s="29"/>
      <c r="D42" s="30">
        <f t="shared" si="5"/>
        <v>0</v>
      </c>
      <c r="F42" s="48" t="s">
        <v>181</v>
      </c>
      <c r="G42" s="28">
        <f>COUNTIF(Data[Pool Signage - S], "3")</f>
        <v>0</v>
      </c>
      <c r="H42" s="29"/>
      <c r="I42" s="30">
        <f t="shared" si="6"/>
        <v>0</v>
      </c>
    </row>
    <row r="43" spans="1:9" ht="15.75" x14ac:dyDescent="0.25">
      <c r="A43" s="48" t="s">
        <v>42</v>
      </c>
      <c r="B43" s="28">
        <f>COUNTIF(Data[Picnic/Sitting Area - L], "3")</f>
        <v>0</v>
      </c>
      <c r="C43" s="29"/>
      <c r="D43" s="30">
        <f t="shared" si="5"/>
        <v>0</v>
      </c>
      <c r="F43" s="48" t="s">
        <v>182</v>
      </c>
      <c r="G43" s="28">
        <f>COUNTIF(Data[ADA - S], "3")</f>
        <v>0</v>
      </c>
      <c r="H43" s="29"/>
      <c r="I43" s="30">
        <f t="shared" si="6"/>
        <v>0</v>
      </c>
    </row>
    <row r="44" spans="1:9" ht="15.75" x14ac:dyDescent="0.25">
      <c r="A44" s="48" t="s">
        <v>9</v>
      </c>
      <c r="B44" s="28">
        <f>COUNTIF(Data[Lighting - L], "3")</f>
        <v>0</v>
      </c>
      <c r="C44" s="29"/>
      <c r="D44" s="30">
        <f t="shared" si="5"/>
        <v>0</v>
      </c>
      <c r="F44" s="49" t="s">
        <v>85</v>
      </c>
      <c r="G44" s="28">
        <f>COUNTIF(Data[Dog Park Signs - S], "3")</f>
        <v>0</v>
      </c>
      <c r="H44" s="29"/>
      <c r="I44" s="30">
        <f t="shared" si="6"/>
        <v>0</v>
      </c>
    </row>
    <row r="45" spans="1:9" ht="15.75" x14ac:dyDescent="0.25">
      <c r="A45" s="51" t="s">
        <v>43</v>
      </c>
      <c r="B45" s="33">
        <f>COUNTIF(Data[Debris - L], "3")</f>
        <v>0</v>
      </c>
      <c r="C45" s="31"/>
      <c r="D45" s="44">
        <f t="shared" si="5"/>
        <v>0</v>
      </c>
      <c r="F45" s="48" t="s">
        <v>183</v>
      </c>
      <c r="G45" s="28">
        <f>COUNTIF(Data[Dumpster Signage - S], "3")</f>
        <v>0</v>
      </c>
      <c r="H45" s="29"/>
      <c r="I45" s="30">
        <f t="shared" si="6"/>
        <v>0</v>
      </c>
    </row>
    <row r="46" spans="1:9" ht="15.75" x14ac:dyDescent="0.25">
      <c r="D46" s="34"/>
      <c r="F46" s="51" t="s">
        <v>87</v>
      </c>
      <c r="G46" s="33">
        <f>COUNTIF(Data[Fire Lane Signs - S], "3")</f>
        <v>0</v>
      </c>
      <c r="H46" s="31"/>
      <c r="I46" s="32">
        <f t="shared" si="6"/>
        <v>0</v>
      </c>
    </row>
    <row r="47" spans="1:9" ht="16.5" thickBot="1" x14ac:dyDescent="0.3">
      <c r="A47" s="22" t="s">
        <v>76</v>
      </c>
      <c r="B47" s="23" t="s">
        <v>192</v>
      </c>
      <c r="C47" s="23" t="s">
        <v>193</v>
      </c>
      <c r="D47" s="23" t="s">
        <v>194</v>
      </c>
    </row>
    <row r="48" spans="1:9" ht="15.75" x14ac:dyDescent="0.25">
      <c r="A48" s="47" t="s">
        <v>67</v>
      </c>
      <c r="B48" s="25">
        <f>COUNTIF(Data[Overlay - AC], "3")</f>
        <v>0</v>
      </c>
      <c r="C48" s="26"/>
      <c r="D48" s="27">
        <f>B48*C48</f>
        <v>0</v>
      </c>
    </row>
    <row r="49" spans="1:9" ht="15.75" x14ac:dyDescent="0.25">
      <c r="A49" s="48" t="s">
        <v>68</v>
      </c>
      <c r="B49" s="28">
        <f>COUNTIF(Data[Parking Bumpers - AC], "3")</f>
        <v>0</v>
      </c>
      <c r="C49" s="29"/>
      <c r="D49" s="30">
        <f t="shared" ref="D49:D56" si="7">B49*C49</f>
        <v>0</v>
      </c>
    </row>
    <row r="50" spans="1:9" ht="15.75" x14ac:dyDescent="0.25">
      <c r="A50" s="48" t="s">
        <v>69</v>
      </c>
      <c r="B50" s="28">
        <f>COUNTIF(Data[Striping - AC], "3")</f>
        <v>0</v>
      </c>
      <c r="C50" s="29"/>
      <c r="D50" s="30">
        <f t="shared" si="7"/>
        <v>0</v>
      </c>
    </row>
    <row r="51" spans="1:9" ht="15.75" x14ac:dyDescent="0.25">
      <c r="A51" s="48" t="s">
        <v>70</v>
      </c>
      <c r="B51" s="28">
        <f>COUNTIF(Data[Sealing - AC], "3")</f>
        <v>0</v>
      </c>
      <c r="C51" s="29"/>
      <c r="D51" s="30">
        <f t="shared" si="7"/>
        <v>0</v>
      </c>
    </row>
    <row r="52" spans="1:9" ht="15.75" x14ac:dyDescent="0.25">
      <c r="A52" s="48" t="s">
        <v>179</v>
      </c>
      <c r="B52" s="28">
        <f>COUNTIF(Data[Crack Fillings - AC], "3")</f>
        <v>0</v>
      </c>
      <c r="C52" s="29"/>
      <c r="D52" s="30">
        <f t="shared" si="7"/>
        <v>0</v>
      </c>
    </row>
    <row r="53" spans="1:9" ht="15.75" x14ac:dyDescent="0.25">
      <c r="A53" s="48" t="s">
        <v>72</v>
      </c>
      <c r="B53" s="28">
        <f>COUNTIF(Data[Potholes - AC], "3")</f>
        <v>0</v>
      </c>
      <c r="C53" s="29"/>
      <c r="D53" s="30">
        <f t="shared" si="7"/>
        <v>0</v>
      </c>
    </row>
    <row r="54" spans="1:9" ht="15.75" x14ac:dyDescent="0.25">
      <c r="A54" s="48" t="s">
        <v>73</v>
      </c>
      <c r="B54" s="28">
        <f>COUNTIF(Data[Sidewalks - AC], "3")</f>
        <v>0</v>
      </c>
      <c r="C54" s="29"/>
      <c r="D54" s="30">
        <f t="shared" si="7"/>
        <v>0</v>
      </c>
    </row>
    <row r="55" spans="1:9" ht="15.75" x14ac:dyDescent="0.25">
      <c r="A55" s="49" t="s">
        <v>74</v>
      </c>
      <c r="B55" s="28">
        <f>COUNTIF(Data[Trip Hazards - AC], "3")</f>
        <v>0</v>
      </c>
      <c r="C55" s="29"/>
      <c r="D55" s="30">
        <f t="shared" si="7"/>
        <v>0</v>
      </c>
    </row>
    <row r="56" spans="1:9" ht="15.75" x14ac:dyDescent="0.25">
      <c r="A56" s="51" t="s">
        <v>75</v>
      </c>
      <c r="B56" s="33">
        <f>COUNTIF(Data[Handicap Parking - AC], "3")</f>
        <v>0</v>
      </c>
      <c r="C56" s="31"/>
      <c r="D56" s="32">
        <f t="shared" si="7"/>
        <v>0</v>
      </c>
    </row>
    <row r="57" spans="1:9" ht="15.75" thickBot="1" x14ac:dyDescent="0.3">
      <c r="A57" s="36"/>
      <c r="B57" s="36"/>
      <c r="C57" s="36"/>
      <c r="D57" s="36"/>
      <c r="E57" s="36"/>
      <c r="F57" s="36"/>
      <c r="G57" s="36"/>
      <c r="H57" s="36"/>
      <c r="I57" s="36"/>
    </row>
    <row r="58" spans="1:9" ht="15.75" thickTop="1" x14ac:dyDescent="0.25">
      <c r="D58" s="35"/>
      <c r="E58" s="35"/>
      <c r="F58" s="37" t="s">
        <v>195</v>
      </c>
      <c r="H58" s="55">
        <f>SUM(D48:D56, I37:I46,D35:D45,I32:I34,I26:I29,I17:I23,I3:I15,D3:D32)</f>
        <v>0</v>
      </c>
      <c r="I58" s="55"/>
    </row>
  </sheetData>
  <mergeCells count="1">
    <mergeCell ref="H58:I58"/>
  </mergeCells>
  <pageMargins left="0.25" right="0.25" top="0.25" bottom="0.25" header="0.3" footer="0.3"/>
  <pageSetup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4BF-695F-4ED0-AD0C-4426268D31E0}">
  <dimension ref="A1:D15"/>
  <sheetViews>
    <sheetView workbookViewId="0">
      <selection activeCell="B4" sqref="B4:B15"/>
    </sheetView>
  </sheetViews>
  <sheetFormatPr defaultRowHeight="15.75" x14ac:dyDescent="0.25"/>
  <cols>
    <col min="1" max="1" width="15.5" bestFit="1" customWidth="1"/>
    <col min="2" max="2" width="9.125" customWidth="1"/>
    <col min="3" max="3" width="11.75" bestFit="1" customWidth="1"/>
    <col min="4" max="4" width="11.125" customWidth="1"/>
  </cols>
  <sheetData>
    <row r="1" spans="1:4" ht="18.75" x14ac:dyDescent="0.3">
      <c r="A1" s="45" t="s">
        <v>23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0</v>
      </c>
      <c r="B4" s="25">
        <f>COUNTIF(Data[Floor - IH], "3")</f>
        <v>0</v>
      </c>
      <c r="C4" s="26">
        <f>Totals!H3</f>
        <v>0</v>
      </c>
      <c r="D4" s="27">
        <f>B4*C4</f>
        <v>0</v>
      </c>
    </row>
    <row r="5" spans="1:4" x14ac:dyDescent="0.25">
      <c r="A5" s="39" t="s">
        <v>1</v>
      </c>
      <c r="B5" s="28">
        <f>COUNTIF(Data[Doors - IH], "3")</f>
        <v>0</v>
      </c>
      <c r="C5" s="29">
        <f>Totals!H4</f>
        <v>0</v>
      </c>
      <c r="D5" s="30">
        <f t="shared" ref="D5:D15" si="0">B5*C5</f>
        <v>0</v>
      </c>
    </row>
    <row r="6" spans="1:4" x14ac:dyDescent="0.25">
      <c r="A6" s="39" t="s">
        <v>57</v>
      </c>
      <c r="B6" s="28">
        <f>COUNTIF(Data[Door Hardware - IH], "3")</f>
        <v>0</v>
      </c>
      <c r="C6" s="29">
        <f>Totals!H5</f>
        <v>0</v>
      </c>
      <c r="D6" s="30">
        <f t="shared" si="0"/>
        <v>0</v>
      </c>
    </row>
    <row r="7" spans="1:4" x14ac:dyDescent="0.25">
      <c r="A7" s="39" t="s">
        <v>14</v>
      </c>
      <c r="B7" s="28">
        <f>COUNTIF(Data[Walls/Ceilings - IH], "3")</f>
        <v>0</v>
      </c>
      <c r="C7" s="29">
        <f>Totals!H6</f>
        <v>0</v>
      </c>
      <c r="D7" s="30">
        <f t="shared" si="0"/>
        <v>0</v>
      </c>
    </row>
    <row r="8" spans="1:4" x14ac:dyDescent="0.25">
      <c r="A8" s="39" t="s">
        <v>17</v>
      </c>
      <c r="B8" s="28">
        <f>COUNTIF(Data[Light Fixtures - IH], "3")</f>
        <v>0</v>
      </c>
      <c r="C8" s="29">
        <f>Totals!H7</f>
        <v>0</v>
      </c>
      <c r="D8" s="30">
        <f t="shared" si="0"/>
        <v>0</v>
      </c>
    </row>
    <row r="9" spans="1:4" x14ac:dyDescent="0.25">
      <c r="A9" s="39" t="s">
        <v>18</v>
      </c>
      <c r="B9" s="28">
        <f>COUNTIF(Data[Handrails - IH], "3")</f>
        <v>0</v>
      </c>
      <c r="C9" s="29">
        <f>Totals!H8</f>
        <v>0</v>
      </c>
      <c r="D9" s="30">
        <f t="shared" si="0"/>
        <v>0</v>
      </c>
    </row>
    <row r="10" spans="1:4" x14ac:dyDescent="0.25">
      <c r="A10" s="39" t="s">
        <v>8</v>
      </c>
      <c r="B10" s="28">
        <f>COUNTIF(Data[Moldings - IH], "3")</f>
        <v>0</v>
      </c>
      <c r="C10" s="29">
        <f>Totals!H9</f>
        <v>0</v>
      </c>
      <c r="D10" s="30">
        <f t="shared" si="0"/>
        <v>0</v>
      </c>
    </row>
    <row r="11" spans="1:4" x14ac:dyDescent="0.25">
      <c r="A11" s="40" t="s">
        <v>15</v>
      </c>
      <c r="B11" s="28">
        <f>COUNTIF(Data[Smoke Detectors - IH], "3")</f>
        <v>0</v>
      </c>
      <c r="C11" s="29">
        <f>Totals!H10</f>
        <v>0</v>
      </c>
      <c r="D11" s="30">
        <f t="shared" si="0"/>
        <v>0</v>
      </c>
    </row>
    <row r="12" spans="1:4" x14ac:dyDescent="0.25">
      <c r="A12" s="39" t="s">
        <v>19</v>
      </c>
      <c r="B12" s="28">
        <f>COUNTIF(Data[Fire Extinguisher - IH], "3")</f>
        <v>0</v>
      </c>
      <c r="C12" s="29">
        <f>Totals!H11</f>
        <v>0</v>
      </c>
      <c r="D12" s="30">
        <f t="shared" si="0"/>
        <v>0</v>
      </c>
    </row>
    <row r="13" spans="1:4" x14ac:dyDescent="0.25">
      <c r="A13" s="39" t="s">
        <v>20</v>
      </c>
      <c r="B13" s="28">
        <f>COUNTIF(Data[Stair Coverings - IH], "3")</f>
        <v>0</v>
      </c>
      <c r="C13" s="29">
        <f>Totals!H12</f>
        <v>0</v>
      </c>
      <c r="D13" s="30">
        <f t="shared" si="0"/>
        <v>0</v>
      </c>
    </row>
    <row r="14" spans="1:4" x14ac:dyDescent="0.25">
      <c r="A14" s="40" t="s">
        <v>21</v>
      </c>
      <c r="B14" s="28">
        <f>COUNTIF(Data[Door Knockers - IH], "3")</f>
        <v>0</v>
      </c>
      <c r="C14" s="29">
        <f>Totals!H13</f>
        <v>0</v>
      </c>
      <c r="D14" s="30">
        <f t="shared" si="0"/>
        <v>0</v>
      </c>
    </row>
    <row r="15" spans="1:4" x14ac:dyDescent="0.25">
      <c r="A15" s="42" t="s">
        <v>22</v>
      </c>
      <c r="B15" s="33">
        <f>COUNTIF(Data[Unit Numbers on Doors - IH], "3")</f>
        <v>0</v>
      </c>
      <c r="C15" s="31">
        <f>Totals!H14</f>
        <v>0</v>
      </c>
      <c r="D15" s="3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EAC5-DA7B-476E-9B3E-3461CC166C8B}">
  <dimension ref="A1:D7"/>
  <sheetViews>
    <sheetView workbookViewId="0">
      <selection activeCell="B4" sqref="B4:B7"/>
    </sheetView>
  </sheetViews>
  <sheetFormatPr defaultRowHeight="15.75" x14ac:dyDescent="0.25"/>
  <cols>
    <col min="1" max="1" width="14.25" bestFit="1" customWidth="1"/>
    <col min="3" max="3" width="11.75" bestFit="1" customWidth="1"/>
  </cols>
  <sheetData>
    <row r="1" spans="1:4" ht="18.75" x14ac:dyDescent="0.3">
      <c r="A1" s="45" t="s">
        <v>27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24</v>
      </c>
      <c r="B4" s="25">
        <f>COUNTIF(Data[Fence Pickets - D], "3")</f>
        <v>0</v>
      </c>
      <c r="C4" s="26">
        <f>Totals!H26</f>
        <v>0</v>
      </c>
      <c r="D4" s="27">
        <f>B4*C4</f>
        <v>0</v>
      </c>
    </row>
    <row r="5" spans="1:4" x14ac:dyDescent="0.25">
      <c r="A5" s="39" t="s">
        <v>13</v>
      </c>
      <c r="B5" s="28">
        <f>COUNTIF(Data[Gates - D], "3")</f>
        <v>0</v>
      </c>
      <c r="C5" s="29">
        <f>Totals!H27</f>
        <v>0</v>
      </c>
      <c r="D5" s="30">
        <f t="shared" ref="D5:D7" si="0">B5*C5</f>
        <v>0</v>
      </c>
    </row>
    <row r="6" spans="1:4" x14ac:dyDescent="0.25">
      <c r="A6" s="39" t="s">
        <v>25</v>
      </c>
      <c r="B6" s="28">
        <f>COUNTIF(Data[Gate Holes in Ground - D], "3")</f>
        <v>0</v>
      </c>
      <c r="C6" s="29">
        <f>Totals!H28</f>
        <v>0</v>
      </c>
      <c r="D6" s="30">
        <f t="shared" si="0"/>
        <v>0</v>
      </c>
    </row>
    <row r="7" spans="1:4" x14ac:dyDescent="0.25">
      <c r="A7" s="42" t="s">
        <v>26</v>
      </c>
      <c r="B7" s="33">
        <f>COUNTIF(Data[Ballasts/Bumpers - D], "3")</f>
        <v>0</v>
      </c>
      <c r="C7" s="31">
        <f>Totals!H29</f>
        <v>0</v>
      </c>
      <c r="D7" s="3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3D50-1BB6-473E-8A1B-39C09D0A4ECA}">
  <dimension ref="A1:D10"/>
  <sheetViews>
    <sheetView workbookViewId="0">
      <selection activeCell="B4" sqref="B4:B10"/>
    </sheetView>
  </sheetViews>
  <sheetFormatPr defaultRowHeight="15.75" x14ac:dyDescent="0.25"/>
  <cols>
    <col min="1" max="1" width="13" bestFit="1" customWidth="1"/>
    <col min="3" max="3" width="11.75" bestFit="1" customWidth="1"/>
    <col min="4" max="4" width="11.375" customWidth="1"/>
  </cols>
  <sheetData>
    <row r="1" spans="1:4" ht="18.75" x14ac:dyDescent="0.3">
      <c r="A1" s="45" t="s">
        <v>35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28</v>
      </c>
      <c r="B4" s="25">
        <f>COUNTIF(Data[Water Shutoff - MS], "3")</f>
        <v>0</v>
      </c>
      <c r="C4" s="26">
        <f>Totals!H17</f>
        <v>0</v>
      </c>
      <c r="D4" s="27">
        <f>B4*C4</f>
        <v>0</v>
      </c>
    </row>
    <row r="5" spans="1:4" x14ac:dyDescent="0.25">
      <c r="A5" s="39" t="s">
        <v>176</v>
      </c>
      <c r="B5" s="28">
        <f>COUNTIF(Data[Sump Pumps - MS], "3")</f>
        <v>0</v>
      </c>
      <c r="C5" s="29">
        <f>Totals!H18</f>
        <v>0</v>
      </c>
      <c r="D5" s="30">
        <f t="shared" ref="D5:D10" si="0">B5*C5</f>
        <v>0</v>
      </c>
    </row>
    <row r="6" spans="1:4" x14ac:dyDescent="0.25">
      <c r="A6" s="39" t="s">
        <v>30</v>
      </c>
      <c r="B6" s="28">
        <f>COUNTIF(Data[Sewer Cleanout - MS], "3")</f>
        <v>0</v>
      </c>
      <c r="C6" s="29">
        <f>Totals!H19</f>
        <v>0</v>
      </c>
      <c r="D6" s="30">
        <f t="shared" si="0"/>
        <v>0</v>
      </c>
    </row>
    <row r="7" spans="1:4" x14ac:dyDescent="0.25">
      <c r="A7" s="39" t="s">
        <v>31</v>
      </c>
      <c r="B7" s="28">
        <f>COUNTIF(Data[Electric Meter - MS], "3")</f>
        <v>0</v>
      </c>
      <c r="C7" s="29">
        <f>Totals!H20</f>
        <v>0</v>
      </c>
      <c r="D7" s="30">
        <f t="shared" si="0"/>
        <v>0</v>
      </c>
    </row>
    <row r="8" spans="1:4" x14ac:dyDescent="0.25">
      <c r="A8" s="39" t="s">
        <v>32</v>
      </c>
      <c r="B8" s="28">
        <f>COUNTIF(Data[Gas Meter - MS], "3")</f>
        <v>0</v>
      </c>
      <c r="C8" s="29">
        <f>Totals!H21</f>
        <v>0</v>
      </c>
      <c r="D8" s="30">
        <f t="shared" si="0"/>
        <v>0</v>
      </c>
    </row>
    <row r="9" spans="1:4" x14ac:dyDescent="0.25">
      <c r="A9" s="39" t="s">
        <v>33</v>
      </c>
      <c r="B9" s="28">
        <f>COUNTIF(Data[Fire Hydrants - MS], "3")</f>
        <v>0</v>
      </c>
      <c r="C9" s="29">
        <f>Totals!H22</f>
        <v>0</v>
      </c>
      <c r="D9" s="30">
        <f t="shared" si="0"/>
        <v>0</v>
      </c>
    </row>
    <row r="10" spans="1:4" x14ac:dyDescent="0.25">
      <c r="A10" s="42" t="s">
        <v>175</v>
      </c>
      <c r="B10" s="33">
        <f>COUNTIF(Data[HVAC Shutoff - MS], "3")</f>
        <v>0</v>
      </c>
      <c r="C10" s="31">
        <f>Totals!H23</f>
        <v>0</v>
      </c>
      <c r="D10" s="3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9F12-87F6-42D1-A4F7-D20AF8656089}">
  <dimension ref="A1:D14"/>
  <sheetViews>
    <sheetView workbookViewId="0">
      <selection activeCell="B4" sqref="B4:B14"/>
    </sheetView>
  </sheetViews>
  <sheetFormatPr defaultRowHeight="15.75" x14ac:dyDescent="0.25"/>
  <cols>
    <col min="1" max="1" width="12.25" bestFit="1" customWidth="1"/>
    <col min="3" max="3" width="11.75" bestFit="1" customWidth="1"/>
  </cols>
  <sheetData>
    <row r="1" spans="1:4" ht="18.75" x14ac:dyDescent="0.3">
      <c r="A1" s="45" t="s">
        <v>12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36</v>
      </c>
      <c r="B4" s="25">
        <f>COUNTIF(Data[Trees - L], "3")</f>
        <v>0</v>
      </c>
      <c r="C4" s="26">
        <f>Totals!C35</f>
        <v>0</v>
      </c>
      <c r="D4" s="27">
        <f>B4*C4</f>
        <v>0</v>
      </c>
    </row>
    <row r="5" spans="1:4" x14ac:dyDescent="0.25">
      <c r="A5" s="39" t="s">
        <v>37</v>
      </c>
      <c r="B5" s="28">
        <f>COUNTIF(Data[Bushes - L], "3")</f>
        <v>0</v>
      </c>
      <c r="C5" s="29">
        <f>Totals!C36</f>
        <v>0</v>
      </c>
      <c r="D5" s="30">
        <f t="shared" ref="D5:D14" si="0">B5*C5</f>
        <v>0</v>
      </c>
    </row>
    <row r="6" spans="1:4" x14ac:dyDescent="0.25">
      <c r="A6" s="39" t="s">
        <v>38</v>
      </c>
      <c r="B6" s="28">
        <f>COUNTIF(Data[Mulch/Gravel - L], "3")</f>
        <v>0</v>
      </c>
      <c r="C6" s="29">
        <f>Totals!C37</f>
        <v>0</v>
      </c>
      <c r="D6" s="30">
        <f t="shared" si="0"/>
        <v>0</v>
      </c>
    </row>
    <row r="7" spans="1:4" x14ac:dyDescent="0.25">
      <c r="A7" s="39" t="s">
        <v>10</v>
      </c>
      <c r="B7" s="28">
        <f>COUNTIF(Data[Retaining Walls - L], "3")</f>
        <v>0</v>
      </c>
      <c r="C7" s="29">
        <f>Totals!C38</f>
        <v>0</v>
      </c>
      <c r="D7" s="30">
        <f t="shared" si="0"/>
        <v>0</v>
      </c>
    </row>
    <row r="8" spans="1:4" x14ac:dyDescent="0.25">
      <c r="A8" s="39" t="s">
        <v>11</v>
      </c>
      <c r="B8" s="28">
        <f>COUNTIF(Data[Irrigation - L], "3")</f>
        <v>0</v>
      </c>
      <c r="C8" s="29">
        <f>Totals!C39</f>
        <v>0</v>
      </c>
      <c r="D8" s="30">
        <f t="shared" si="0"/>
        <v>0</v>
      </c>
    </row>
    <row r="9" spans="1:4" x14ac:dyDescent="0.25">
      <c r="A9" s="39" t="s">
        <v>39</v>
      </c>
      <c r="B9" s="28">
        <f>COUNTIF(Data[Drainage - L], "3")</f>
        <v>0</v>
      </c>
      <c r="C9" s="29">
        <f>Totals!C40</f>
        <v>0</v>
      </c>
      <c r="D9" s="30">
        <f t="shared" si="0"/>
        <v>0</v>
      </c>
    </row>
    <row r="10" spans="1:4" x14ac:dyDescent="0.25">
      <c r="A10" s="39" t="s">
        <v>40</v>
      </c>
      <c r="B10" s="28">
        <f>COUNTIF(Data[Water Pooling - L], "3")</f>
        <v>0</v>
      </c>
      <c r="C10" s="29">
        <f>Totals!C41</f>
        <v>0</v>
      </c>
      <c r="D10" s="30">
        <f t="shared" si="0"/>
        <v>0</v>
      </c>
    </row>
    <row r="11" spans="1:4" x14ac:dyDescent="0.25">
      <c r="A11" s="40" t="s">
        <v>41</v>
      </c>
      <c r="B11" s="28">
        <f>COUNTIF(Data[Weeds - L], "3")</f>
        <v>0</v>
      </c>
      <c r="C11" s="29">
        <f>Totals!C42</f>
        <v>0</v>
      </c>
      <c r="D11" s="30">
        <f t="shared" si="0"/>
        <v>0</v>
      </c>
    </row>
    <row r="12" spans="1:4" x14ac:dyDescent="0.25">
      <c r="A12" s="39" t="s">
        <v>42</v>
      </c>
      <c r="B12" s="28">
        <f>COUNTIF(Data[Picnic/Sitting Area - L], "3")</f>
        <v>0</v>
      </c>
      <c r="C12" s="29">
        <f>Totals!C43</f>
        <v>0</v>
      </c>
      <c r="D12" s="30">
        <f t="shared" si="0"/>
        <v>0</v>
      </c>
    </row>
    <row r="13" spans="1:4" x14ac:dyDescent="0.25">
      <c r="A13" s="39" t="s">
        <v>9</v>
      </c>
      <c r="B13" s="28">
        <f>COUNTIF(Data[Lighting - L], "3")</f>
        <v>0</v>
      </c>
      <c r="C13" s="29">
        <f>Totals!C44</f>
        <v>0</v>
      </c>
      <c r="D13" s="30">
        <f t="shared" si="0"/>
        <v>0</v>
      </c>
    </row>
    <row r="14" spans="1:4" x14ac:dyDescent="0.25">
      <c r="A14" s="42" t="s">
        <v>43</v>
      </c>
      <c r="B14" s="33">
        <f>COUNTIF(Data[Debris - L], "3")</f>
        <v>0</v>
      </c>
      <c r="C14" s="31">
        <f>Totals!C45</f>
        <v>0</v>
      </c>
      <c r="D14" s="3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FFA3-E0B2-409B-AB7A-B687AB7E9BD8}">
  <dimension ref="A1:D33"/>
  <sheetViews>
    <sheetView workbookViewId="0">
      <selection activeCell="B4" sqref="B4:B33"/>
    </sheetView>
  </sheetViews>
  <sheetFormatPr defaultRowHeight="15.75" x14ac:dyDescent="0.25"/>
  <cols>
    <col min="1" max="1" width="15.625" customWidth="1"/>
    <col min="3" max="3" width="11.75" bestFit="1" customWidth="1"/>
  </cols>
  <sheetData>
    <row r="1" spans="1:4" ht="18.75" x14ac:dyDescent="0.3">
      <c r="A1" s="45" t="s">
        <v>66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5</v>
      </c>
      <c r="B4" s="25">
        <f>COUNTIF(Data[Gutters - BE], "3")</f>
        <v>0</v>
      </c>
      <c r="C4" s="26">
        <f>Totals!C3</f>
        <v>0</v>
      </c>
      <c r="D4" s="27">
        <f>B4*C4</f>
        <v>0</v>
      </c>
    </row>
    <row r="5" spans="1:4" x14ac:dyDescent="0.25">
      <c r="A5" s="39" t="s">
        <v>6</v>
      </c>
      <c r="B5" s="28">
        <f>COUNTIF(Data[Down Spouts - BE], "3")</f>
        <v>0</v>
      </c>
      <c r="C5" s="29">
        <f>Totals!C4</f>
        <v>0</v>
      </c>
      <c r="D5" s="30">
        <f t="shared" ref="D5:D33" si="0">B5*C5</f>
        <v>0</v>
      </c>
    </row>
    <row r="6" spans="1:4" x14ac:dyDescent="0.25">
      <c r="A6" s="39" t="s">
        <v>44</v>
      </c>
      <c r="B6" s="28">
        <f>COUNTIF(Data[Soffit - BE], "3")</f>
        <v>0</v>
      </c>
      <c r="C6" s="29">
        <f>Totals!C5</f>
        <v>0</v>
      </c>
      <c r="D6" s="30">
        <f t="shared" si="0"/>
        <v>0</v>
      </c>
    </row>
    <row r="7" spans="1:4" x14ac:dyDescent="0.25">
      <c r="A7" s="39" t="s">
        <v>45</v>
      </c>
      <c r="B7" s="28">
        <f>COUNTIF(Data[Fascia - BE], "3")</f>
        <v>0</v>
      </c>
      <c r="C7" s="29">
        <f>Totals!C6</f>
        <v>0</v>
      </c>
      <c r="D7" s="30">
        <f t="shared" si="0"/>
        <v>0</v>
      </c>
    </row>
    <row r="8" spans="1:4" x14ac:dyDescent="0.25">
      <c r="A8" s="39" t="s">
        <v>46</v>
      </c>
      <c r="B8" s="28">
        <f>COUNTIF(Data[Siding/Stucco - BE], "3")</f>
        <v>0</v>
      </c>
      <c r="C8" s="29">
        <f>Totals!C7</f>
        <v>0</v>
      </c>
      <c r="D8" s="30">
        <f t="shared" si="0"/>
        <v>0</v>
      </c>
    </row>
    <row r="9" spans="1:4" x14ac:dyDescent="0.25">
      <c r="A9" s="39" t="s">
        <v>7</v>
      </c>
      <c r="B9" s="28">
        <f>COUNTIF(Data[Roofs - BE], "3")</f>
        <v>0</v>
      </c>
      <c r="C9" s="29">
        <f>Totals!C8</f>
        <v>0</v>
      </c>
      <c r="D9" s="30">
        <f t="shared" si="0"/>
        <v>0</v>
      </c>
    </row>
    <row r="10" spans="1:4" x14ac:dyDescent="0.25">
      <c r="A10" s="39" t="s">
        <v>47</v>
      </c>
      <c r="B10" s="28">
        <f>COUNTIF(Data[Vent Pipes/Caging - BE], "3")</f>
        <v>0</v>
      </c>
      <c r="C10" s="29">
        <f>Totals!C9</f>
        <v>0</v>
      </c>
      <c r="D10" s="30">
        <f t="shared" si="0"/>
        <v>0</v>
      </c>
    </row>
    <row r="11" spans="1:4" x14ac:dyDescent="0.25">
      <c r="A11" s="40" t="s">
        <v>177</v>
      </c>
      <c r="B11" s="28">
        <f>COUNTIF(Data[Gutter Drains - BE], "3")</f>
        <v>0</v>
      </c>
      <c r="C11" s="29">
        <f>Totals!C10</f>
        <v>0</v>
      </c>
      <c r="D11" s="30">
        <f t="shared" si="0"/>
        <v>0</v>
      </c>
    </row>
    <row r="12" spans="1:4" x14ac:dyDescent="0.25">
      <c r="A12" s="39" t="s">
        <v>49</v>
      </c>
      <c r="B12" s="28">
        <f>COUNTIF(Data[Debris on Roofs - BE], "3")</f>
        <v>0</v>
      </c>
      <c r="C12" s="29">
        <f>Totals!C11</f>
        <v>0</v>
      </c>
      <c r="D12" s="30">
        <f t="shared" si="0"/>
        <v>0</v>
      </c>
    </row>
    <row r="13" spans="1:4" x14ac:dyDescent="0.25">
      <c r="A13" s="39" t="s">
        <v>2</v>
      </c>
      <c r="B13" s="28">
        <f>COUNTIF(Data[Windows - BE], "3")</f>
        <v>0</v>
      </c>
      <c r="C13" s="29">
        <f>Totals!C12</f>
        <v>0</v>
      </c>
      <c r="D13" s="30">
        <f t="shared" si="0"/>
        <v>0</v>
      </c>
    </row>
    <row r="14" spans="1:4" x14ac:dyDescent="0.25">
      <c r="A14" s="39" t="s">
        <v>178</v>
      </c>
      <c r="B14" s="28">
        <f>COUNTIF(Data[Window Weather Stripping - BE], "3")</f>
        <v>0</v>
      </c>
      <c r="C14" s="29">
        <f>Totals!C13</f>
        <v>0</v>
      </c>
      <c r="D14" s="30">
        <f t="shared" si="0"/>
        <v>0</v>
      </c>
    </row>
    <row r="15" spans="1:4" x14ac:dyDescent="0.25">
      <c r="A15" s="39" t="s">
        <v>51</v>
      </c>
      <c r="B15" s="28">
        <f>COUNTIF(Data[Foundation Cracks - BE], "3")</f>
        <v>0</v>
      </c>
      <c r="C15" s="29">
        <f>Totals!C14</f>
        <v>0</v>
      </c>
      <c r="D15" s="30">
        <f t="shared" si="0"/>
        <v>0</v>
      </c>
    </row>
    <row r="16" spans="1:4" x14ac:dyDescent="0.25">
      <c r="A16" s="39" t="s">
        <v>52</v>
      </c>
      <c r="B16" s="28">
        <f>COUNTIF(Data[Foundation Leaks - BE], "3")</f>
        <v>0</v>
      </c>
      <c r="C16" s="29">
        <f>Totals!C15</f>
        <v>0</v>
      </c>
      <c r="D16" s="30">
        <f t="shared" si="0"/>
        <v>0</v>
      </c>
    </row>
    <row r="17" spans="1:4" x14ac:dyDescent="0.25">
      <c r="A17" s="39" t="s">
        <v>53</v>
      </c>
      <c r="B17" s="28">
        <f>COUNTIF(Data[Porch Posts - BE], "3")</f>
        <v>0</v>
      </c>
      <c r="C17" s="29">
        <f>Totals!C16</f>
        <v>0</v>
      </c>
      <c r="D17" s="30">
        <f t="shared" si="0"/>
        <v>0</v>
      </c>
    </row>
    <row r="18" spans="1:4" x14ac:dyDescent="0.25">
      <c r="A18" s="39" t="s">
        <v>54</v>
      </c>
      <c r="B18" s="28">
        <f>COUNTIF(Data[Mailbox - BE], "3")</f>
        <v>0</v>
      </c>
      <c r="C18" s="29">
        <f>Totals!C17</f>
        <v>0</v>
      </c>
      <c r="D18" s="30">
        <f t="shared" si="0"/>
        <v>0</v>
      </c>
    </row>
    <row r="19" spans="1:4" x14ac:dyDescent="0.25">
      <c r="A19" s="40" t="s">
        <v>55</v>
      </c>
      <c r="B19" s="28">
        <f>COUNTIF(Data[Brickwork - BE], "3")</f>
        <v>0</v>
      </c>
      <c r="C19" s="29">
        <f>Totals!C18</f>
        <v>0</v>
      </c>
      <c r="D19" s="30">
        <f t="shared" si="0"/>
        <v>0</v>
      </c>
    </row>
    <row r="20" spans="1:4" x14ac:dyDescent="0.25">
      <c r="A20" s="39" t="s">
        <v>56</v>
      </c>
      <c r="B20" s="28">
        <f>COUNTIF(Data[Termites - BE], "3")</f>
        <v>0</v>
      </c>
      <c r="C20" s="29">
        <f>Totals!C19</f>
        <v>0</v>
      </c>
      <c r="D20" s="30">
        <f t="shared" si="0"/>
        <v>0</v>
      </c>
    </row>
    <row r="21" spans="1:4" x14ac:dyDescent="0.25">
      <c r="A21" s="39" t="s">
        <v>1</v>
      </c>
      <c r="B21" s="28">
        <f>COUNTIF(Data[Doors - BE], "3")</f>
        <v>0</v>
      </c>
      <c r="C21" s="29">
        <f>Totals!C20</f>
        <v>0</v>
      </c>
      <c r="D21" s="30">
        <f t="shared" si="0"/>
        <v>0</v>
      </c>
    </row>
    <row r="22" spans="1:4" x14ac:dyDescent="0.25">
      <c r="A22" s="39" t="s">
        <v>57</v>
      </c>
      <c r="B22" s="28">
        <f>COUNTIF(Data[Door Hardware - BE], "3")</f>
        <v>0</v>
      </c>
      <c r="C22" s="29">
        <f>Totals!C21</f>
        <v>0</v>
      </c>
      <c r="D22" s="30">
        <f t="shared" si="0"/>
        <v>0</v>
      </c>
    </row>
    <row r="23" spans="1:4" x14ac:dyDescent="0.25">
      <c r="A23" s="39" t="s">
        <v>58</v>
      </c>
      <c r="B23" s="28">
        <f>COUNTIF(Data[Satellites - BE], "3")</f>
        <v>0</v>
      </c>
      <c r="C23" s="29">
        <f>Totals!C22</f>
        <v>0</v>
      </c>
      <c r="D23" s="30">
        <f t="shared" si="0"/>
        <v>0</v>
      </c>
    </row>
    <row r="24" spans="1:4" x14ac:dyDescent="0.25">
      <c r="A24" s="39" t="s">
        <v>59</v>
      </c>
      <c r="B24" s="28">
        <f>COUNTIF(Data[Exposed Wiring/Cables - BE], "3")</f>
        <v>0</v>
      </c>
      <c r="C24" s="29">
        <f>Totals!C23</f>
        <v>0</v>
      </c>
      <c r="D24" s="30">
        <f t="shared" si="0"/>
        <v>0</v>
      </c>
    </row>
    <row r="25" spans="1:4" x14ac:dyDescent="0.25">
      <c r="A25" s="39" t="s">
        <v>60</v>
      </c>
      <c r="B25" s="28">
        <f>COUNTIF(Data[Decks - BE], "3")</f>
        <v>0</v>
      </c>
      <c r="C25" s="29">
        <f>Totals!C24</f>
        <v>0</v>
      </c>
      <c r="D25" s="30">
        <f t="shared" si="0"/>
        <v>0</v>
      </c>
    </row>
    <row r="26" spans="1:4" x14ac:dyDescent="0.25">
      <c r="A26" s="39" t="s">
        <v>61</v>
      </c>
      <c r="B26" s="28">
        <f>COUNTIF(Data[Deck Flashing - BE], "3")</f>
        <v>0</v>
      </c>
      <c r="C26" s="29">
        <f>Totals!C25</f>
        <v>0</v>
      </c>
      <c r="D26" s="30">
        <f t="shared" si="0"/>
        <v>0</v>
      </c>
    </row>
    <row r="27" spans="1:4" x14ac:dyDescent="0.25">
      <c r="A27" s="39" t="s">
        <v>9</v>
      </c>
      <c r="B27" s="28">
        <f>COUNTIF(Data[Lighting - BE], "3")</f>
        <v>0</v>
      </c>
      <c r="C27" s="29">
        <f>Totals!C26</f>
        <v>0</v>
      </c>
      <c r="D27" s="30">
        <f t="shared" si="0"/>
        <v>0</v>
      </c>
    </row>
    <row r="28" spans="1:4" x14ac:dyDescent="0.25">
      <c r="A28" s="39" t="s">
        <v>3</v>
      </c>
      <c r="B28" s="28">
        <f>COUNTIF(Data[Stairs - BE], "3")</f>
        <v>0</v>
      </c>
      <c r="C28" s="29">
        <f>Totals!C27</f>
        <v>0</v>
      </c>
      <c r="D28" s="30">
        <f t="shared" si="0"/>
        <v>0</v>
      </c>
    </row>
    <row r="29" spans="1:4" x14ac:dyDescent="0.25">
      <c r="A29" s="39" t="s">
        <v>18</v>
      </c>
      <c r="B29" s="28">
        <f>COUNTIF(Data[Handrails - BE], "3")</f>
        <v>0</v>
      </c>
      <c r="C29" s="29">
        <f>Totals!C28</f>
        <v>0</v>
      </c>
      <c r="D29" s="30">
        <f t="shared" si="0"/>
        <v>0</v>
      </c>
    </row>
    <row r="30" spans="1:4" x14ac:dyDescent="0.25">
      <c r="A30" s="41" t="s">
        <v>62</v>
      </c>
      <c r="B30" s="28">
        <f>COUNTIF(Data[Exterior Unit Numbers - BE], "3")</f>
        <v>0</v>
      </c>
      <c r="C30" s="29">
        <f>Totals!C29</f>
        <v>0</v>
      </c>
      <c r="D30" s="30">
        <f t="shared" si="0"/>
        <v>0</v>
      </c>
    </row>
    <row r="31" spans="1:4" x14ac:dyDescent="0.25">
      <c r="A31" s="39" t="s">
        <v>63</v>
      </c>
      <c r="B31" s="28">
        <f>COUNTIF(Data[HVAC/AC - BE], "3")</f>
        <v>0</v>
      </c>
      <c r="C31" s="29">
        <f>Totals!C30</f>
        <v>0</v>
      </c>
      <c r="D31" s="30">
        <f t="shared" si="0"/>
        <v>0</v>
      </c>
    </row>
    <row r="32" spans="1:4" x14ac:dyDescent="0.25">
      <c r="A32" s="39" t="s">
        <v>64</v>
      </c>
      <c r="B32" s="28">
        <f>COUNTIF(Data[Window Wells - BE], "3")</f>
        <v>0</v>
      </c>
      <c r="C32" s="29">
        <f>Totals!C31</f>
        <v>0</v>
      </c>
      <c r="D32" s="30">
        <f t="shared" si="0"/>
        <v>0</v>
      </c>
    </row>
    <row r="33" spans="1:4" x14ac:dyDescent="0.25">
      <c r="A33" s="42" t="s">
        <v>65</v>
      </c>
      <c r="B33" s="33">
        <f>COUNTIF(Data[Exterior Access - BE], "3")</f>
        <v>0</v>
      </c>
      <c r="C33" s="31">
        <f>Totals!C32</f>
        <v>0</v>
      </c>
      <c r="D33" s="3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4DCA-8EA7-46CA-8459-91971F0CFD5F}">
  <dimension ref="A1:D12"/>
  <sheetViews>
    <sheetView workbookViewId="0">
      <selection activeCell="B4" sqref="B4:B12"/>
    </sheetView>
  </sheetViews>
  <sheetFormatPr defaultRowHeight="15.75" x14ac:dyDescent="0.25"/>
  <cols>
    <col min="1" max="1" width="16" bestFit="1" customWidth="1"/>
    <col min="3" max="3" width="11.75" bestFit="1" customWidth="1"/>
  </cols>
  <sheetData>
    <row r="1" spans="1:4" ht="18.75" x14ac:dyDescent="0.3">
      <c r="A1" s="45" t="s">
        <v>76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67</v>
      </c>
      <c r="B4" s="25">
        <f>COUNTIF(Data[Overlay - AC], "3")</f>
        <v>0</v>
      </c>
      <c r="C4" s="26">
        <f>Totals!C48</f>
        <v>0</v>
      </c>
      <c r="D4" s="27">
        <f>B4*C4</f>
        <v>0</v>
      </c>
    </row>
    <row r="5" spans="1:4" x14ac:dyDescent="0.25">
      <c r="A5" s="39" t="s">
        <v>68</v>
      </c>
      <c r="B5" s="28">
        <f>COUNTIF(Data[Parking Bumpers - AC], "3")</f>
        <v>0</v>
      </c>
      <c r="C5" s="29">
        <f>Totals!C49</f>
        <v>0</v>
      </c>
      <c r="D5" s="30">
        <f t="shared" ref="D5:D12" si="0">B5*C5</f>
        <v>0</v>
      </c>
    </row>
    <row r="6" spans="1:4" x14ac:dyDescent="0.25">
      <c r="A6" s="39" t="s">
        <v>69</v>
      </c>
      <c r="B6" s="28">
        <f>COUNTIF(Data[Striping - AC], "3")</f>
        <v>0</v>
      </c>
      <c r="C6" s="29">
        <f>Totals!C50</f>
        <v>0</v>
      </c>
      <c r="D6" s="30">
        <f t="shared" si="0"/>
        <v>0</v>
      </c>
    </row>
    <row r="7" spans="1:4" x14ac:dyDescent="0.25">
      <c r="A7" s="39" t="s">
        <v>70</v>
      </c>
      <c r="B7" s="28">
        <f>COUNTIF(Data[Sealing - AC], "3")</f>
        <v>0</v>
      </c>
      <c r="C7" s="29">
        <f>Totals!C51</f>
        <v>0</v>
      </c>
      <c r="D7" s="30">
        <f t="shared" si="0"/>
        <v>0</v>
      </c>
    </row>
    <row r="8" spans="1:4" x14ac:dyDescent="0.25">
      <c r="A8" s="39" t="s">
        <v>179</v>
      </c>
      <c r="B8" s="28">
        <f>COUNTIF(Data[Crack Fillings - AC], "3")</f>
        <v>0</v>
      </c>
      <c r="C8" s="29">
        <f>Totals!C52</f>
        <v>0</v>
      </c>
      <c r="D8" s="30">
        <f t="shared" si="0"/>
        <v>0</v>
      </c>
    </row>
    <row r="9" spans="1:4" x14ac:dyDescent="0.25">
      <c r="A9" s="39" t="s">
        <v>72</v>
      </c>
      <c r="B9" s="28">
        <f>COUNTIF(Data[Potholes - AC], "3")</f>
        <v>0</v>
      </c>
      <c r="C9" s="29">
        <f>Totals!C53</f>
        <v>0</v>
      </c>
      <c r="D9" s="30">
        <f t="shared" si="0"/>
        <v>0</v>
      </c>
    </row>
    <row r="10" spans="1:4" x14ac:dyDescent="0.25">
      <c r="A10" s="39" t="s">
        <v>73</v>
      </c>
      <c r="B10" s="28">
        <f>COUNTIF(Data[Sidewalks - AC], "3")</f>
        <v>0</v>
      </c>
      <c r="C10" s="29">
        <f>Totals!C54</f>
        <v>0</v>
      </c>
      <c r="D10" s="30">
        <f t="shared" si="0"/>
        <v>0</v>
      </c>
    </row>
    <row r="11" spans="1:4" x14ac:dyDescent="0.25">
      <c r="A11" s="40" t="s">
        <v>74</v>
      </c>
      <c r="B11" s="28">
        <f>COUNTIF(Data[Trip Hazards - AC], "3")</f>
        <v>0</v>
      </c>
      <c r="C11" s="29">
        <f>Totals!C55</f>
        <v>0</v>
      </c>
      <c r="D11" s="30">
        <f t="shared" si="0"/>
        <v>0</v>
      </c>
    </row>
    <row r="12" spans="1:4" x14ac:dyDescent="0.25">
      <c r="A12" s="42" t="s">
        <v>75</v>
      </c>
      <c r="B12" s="33">
        <f>COUNTIF(Data[Handicap Parking - AC], "3")</f>
        <v>0</v>
      </c>
      <c r="C12" s="31">
        <f>Totals!C56</f>
        <v>0</v>
      </c>
      <c r="D12" s="3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6C9A-3B0E-45BF-9F05-44367FCD8CEB}">
  <dimension ref="A1:D6"/>
  <sheetViews>
    <sheetView workbookViewId="0">
      <selection activeCell="B4" sqref="B4:B6"/>
    </sheetView>
  </sheetViews>
  <sheetFormatPr defaultRowHeight="15.75" x14ac:dyDescent="0.25"/>
  <cols>
    <col min="1" max="1" width="9.5" bestFit="1" customWidth="1"/>
    <col min="3" max="3" width="11.75" bestFit="1" customWidth="1"/>
  </cols>
  <sheetData>
    <row r="1" spans="1:4" ht="18.75" x14ac:dyDescent="0.3">
      <c r="A1" s="45" t="s">
        <v>78</v>
      </c>
    </row>
    <row r="3" spans="1:4" ht="16.5" thickBot="1" x14ac:dyDescent="0.3">
      <c r="A3" s="46"/>
      <c r="B3" s="21" t="s">
        <v>196</v>
      </c>
      <c r="C3" s="21" t="s">
        <v>197</v>
      </c>
      <c r="D3" s="21" t="s">
        <v>4</v>
      </c>
    </row>
    <row r="4" spans="1:4" x14ac:dyDescent="0.25">
      <c r="A4" s="38" t="s">
        <v>24</v>
      </c>
      <c r="B4" s="25">
        <f>COUNTIF(Data[Fence Pickets - F], "3")</f>
        <v>0</v>
      </c>
      <c r="C4" s="26">
        <f>Totals!H32</f>
        <v>0</v>
      </c>
      <c r="D4" s="27">
        <f>B4*C4</f>
        <v>0</v>
      </c>
    </row>
    <row r="5" spans="1:4" x14ac:dyDescent="0.25">
      <c r="A5" s="39" t="s">
        <v>77</v>
      </c>
      <c r="B5" s="28">
        <f>COUNTIF(Data[Locks/Latches - F], "3")</f>
        <v>0</v>
      </c>
      <c r="C5" s="29">
        <f>Totals!H33</f>
        <v>0</v>
      </c>
      <c r="D5" s="30">
        <f>B5*C5</f>
        <v>0</v>
      </c>
    </row>
    <row r="6" spans="1:4" x14ac:dyDescent="0.25">
      <c r="A6" s="42" t="s">
        <v>13</v>
      </c>
      <c r="B6" s="33">
        <f>COUNTIF(Data[Gates - F], "3")</f>
        <v>0</v>
      </c>
      <c r="C6" s="31">
        <f>Totals!H34</f>
        <v>0</v>
      </c>
      <c r="D6" s="32">
        <f>B6*C6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Scores</vt:lpstr>
      <vt:lpstr>Totals</vt:lpstr>
      <vt:lpstr>Interior Hallway</vt:lpstr>
      <vt:lpstr>Dumpsters</vt:lpstr>
      <vt:lpstr>Main Supplies</vt:lpstr>
      <vt:lpstr>Landscaping</vt:lpstr>
      <vt:lpstr>Building Exterior</vt:lpstr>
      <vt:lpstr>Asphalt_Concrete</vt:lpstr>
      <vt:lpstr>Fencing</vt:lpstr>
      <vt:lpstr>Signage</vt:lpstr>
      <vt:lpstr>Floor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Ripley</dc:creator>
  <cp:lastModifiedBy>Pat Ripley</cp:lastModifiedBy>
  <cp:lastPrinted>2018-01-11T19:52:38Z</cp:lastPrinted>
  <dcterms:created xsi:type="dcterms:W3CDTF">2005-08-12T17:28:01Z</dcterms:created>
  <dcterms:modified xsi:type="dcterms:W3CDTF">2018-02-14T20:54:07Z</dcterms:modified>
</cp:coreProperties>
</file>