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isonpierce/AYNIW/"/>
    </mc:Choice>
  </mc:AlternateContent>
  <xr:revisionPtr revIDLastSave="0" documentId="13_ncr:1_{816BE3A1-3D47-8547-B3C2-D0397D32EF6E}" xr6:coauthVersionLast="47" xr6:coauthVersionMax="47" xr10:uidLastSave="{00000000-0000-0000-0000-000000000000}"/>
  <bookViews>
    <workbookView xWindow="1080" yWindow="1260" windowWidth="27640" windowHeight="16740" activeTab="2" xr2:uid="{3D5B05AF-7B59-1846-A37E-775A99CF64AB}"/>
  </bookViews>
  <sheets>
    <sheet name="Storage Options" sheetId="1" r:id="rId1"/>
    <sheet name="AWD 1 yr out projections" sheetId="2" r:id="rId2"/>
    <sheet name="AWD (1 pallet) + Neva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 s="1"/>
  <c r="E9" i="3" s="1"/>
  <c r="H5" i="3"/>
  <c r="F6" i="3"/>
  <c r="G6" i="3"/>
  <c r="E12" i="3" s="1"/>
  <c r="H6" i="3"/>
  <c r="E11" i="3" s="1"/>
  <c r="E10" i="3"/>
  <c r="J20" i="3"/>
  <c r="G25" i="3"/>
  <c r="D27" i="3"/>
  <c r="E30" i="3"/>
  <c r="E77" i="3" s="1"/>
  <c r="G81" i="3" s="1"/>
  <c r="F32" i="3"/>
  <c r="G32" i="3" s="1"/>
  <c r="F36" i="3" s="1"/>
  <c r="G36" i="3" s="1"/>
  <c r="F40" i="3" s="1"/>
  <c r="G40" i="3" s="1"/>
  <c r="F44" i="3" s="1"/>
  <c r="G44" i="3" s="1"/>
  <c r="F48" i="3" s="1"/>
  <c r="G48" i="3" s="1"/>
  <c r="F52" i="3" s="1"/>
  <c r="G52" i="3" s="1"/>
  <c r="F56" i="3" s="1"/>
  <c r="G56" i="3" s="1"/>
  <c r="F60" i="3" s="1"/>
  <c r="G60" i="3" s="1"/>
  <c r="F64" i="3" s="1"/>
  <c r="G64" i="3" s="1"/>
  <c r="F68" i="3" s="1"/>
  <c r="G68" i="3" s="1"/>
  <c r="F72" i="3" s="1"/>
  <c r="G72" i="3" s="1"/>
  <c r="E34" i="3"/>
  <c r="E38" i="3"/>
  <c r="E42" i="3"/>
  <c r="E46" i="3"/>
  <c r="E50" i="3"/>
  <c r="E54" i="3"/>
  <c r="E58" i="3"/>
  <c r="E62" i="3"/>
  <c r="E66" i="3"/>
  <c r="E70" i="3"/>
  <c r="E74" i="3"/>
  <c r="F79" i="3"/>
  <c r="G82" i="3"/>
  <c r="G14" i="3" l="1"/>
  <c r="J14" i="2" l="1"/>
  <c r="E9" i="2"/>
  <c r="E72" i="2"/>
  <c r="E68" i="2"/>
  <c r="E64" i="2"/>
  <c r="E60" i="2"/>
  <c r="E56" i="2"/>
  <c r="E52" i="2"/>
  <c r="E48" i="2"/>
  <c r="E44" i="2"/>
  <c r="E40" i="2"/>
  <c r="E36" i="2"/>
  <c r="E32" i="2"/>
  <c r="E28" i="2"/>
  <c r="E75" i="2" s="1"/>
  <c r="E76" i="2" s="1"/>
  <c r="F76" i="2" s="1"/>
  <c r="G25" i="2"/>
  <c r="F30" i="2" s="1"/>
  <c r="G30" i="2" s="1"/>
  <c r="F34" i="2" s="1"/>
  <c r="G34" i="2" s="1"/>
  <c r="F38" i="2" s="1"/>
  <c r="G38" i="2" s="1"/>
  <c r="F42" i="2" s="1"/>
  <c r="G42" i="2" s="1"/>
  <c r="F46" i="2" s="1"/>
  <c r="G46" i="2" s="1"/>
  <c r="F50" i="2" s="1"/>
  <c r="G50" i="2" s="1"/>
  <c r="F54" i="2" s="1"/>
  <c r="G54" i="2" s="1"/>
  <c r="F58" i="2" s="1"/>
  <c r="G58" i="2" s="1"/>
  <c r="F62" i="2" s="1"/>
  <c r="G62" i="2" s="1"/>
  <c r="F66" i="2" s="1"/>
  <c r="G66" i="2" s="1"/>
  <c r="F70" i="2" s="1"/>
  <c r="G70" i="2" s="1"/>
  <c r="H6" i="2"/>
  <c r="E11" i="2" s="1"/>
  <c r="F6" i="2"/>
  <c r="G6" i="2" s="1"/>
  <c r="E12" i="2" s="1"/>
  <c r="E5" i="2"/>
  <c r="F5" i="2" s="1"/>
  <c r="G5" i="2" s="1"/>
  <c r="AC25" i="1"/>
  <c r="Z39" i="1" s="1"/>
  <c r="AA25" i="1"/>
  <c r="AB25" i="1" s="1"/>
  <c r="Z31" i="1" s="1"/>
  <c r="AC24" i="1"/>
  <c r="Z29" i="1" s="1"/>
  <c r="AA24" i="1"/>
  <c r="AB24" i="1" s="1"/>
  <c r="Z28" i="1" s="1"/>
  <c r="M16" i="1"/>
  <c r="N15" i="1"/>
  <c r="N14" i="1"/>
  <c r="U13" i="1"/>
  <c r="U9" i="1"/>
  <c r="N17" i="1" s="1"/>
  <c r="O9" i="1"/>
  <c r="M17" i="1" s="1"/>
  <c r="U8" i="1"/>
  <c r="N16" i="1" s="1"/>
  <c r="O8" i="1"/>
  <c r="O7" i="1"/>
  <c r="M15" i="1" s="1"/>
  <c r="O6" i="1"/>
  <c r="M14" i="1" s="1"/>
  <c r="Z37" i="1" l="1"/>
  <c r="H5" i="2"/>
  <c r="E10" i="2" s="1"/>
  <c r="G14" i="2" s="1"/>
  <c r="Z40" i="1"/>
  <c r="AB42" i="1" s="1"/>
  <c r="Z30" i="1"/>
  <c r="AB33" i="1" s="1"/>
  <c r="AD36" i="1" s="1"/>
</calcChain>
</file>

<file path=xl/sharedStrings.xml><?xml version="1.0" encoding="utf-8"?>
<sst xmlns="http://schemas.openxmlformats.org/spreadsheetml/2006/main" count="265" uniqueCount="82">
  <si>
    <t>*Pallet has 324 units</t>
  </si>
  <si>
    <t>Assuming 6 layers</t>
  </si>
  <si>
    <t>Base Rate</t>
  </si>
  <si>
    <t>Nevada</t>
  </si>
  <si>
    <t>Storage Fee per pallet per month</t>
  </si>
  <si>
    <t>Transportation Fee per pallet per month</t>
  </si>
  <si>
    <t>UPS Fee - flat rate</t>
  </si>
  <si>
    <t>Inbound Fee for 1 pallet, 324 boxes?</t>
  </si>
  <si>
    <t>Amazon Fee for 15 boxes, 5 locations</t>
  </si>
  <si>
    <t>Outbound Fee for 1 pallet, 324 boxes?</t>
  </si>
  <si>
    <t>Nevada Process Fee for 15 boxes</t>
  </si>
  <si>
    <t>On the $39.00 Pick and Process Order price, the cost is $1.50 for the order and $2.50 per item picked</t>
  </si>
  <si>
    <t>Per unit</t>
  </si>
  <si>
    <t>Amazon</t>
  </si>
  <si>
    <t>* ???</t>
  </si>
  <si>
    <t>*</t>
  </si>
  <si>
    <t>Taking out the UPS Fee, they are about equal.</t>
  </si>
  <si>
    <t>I believe you quality for Smart Storage rate</t>
  </si>
  <si>
    <t>(If my assumptions are correct)</t>
  </si>
  <si>
    <t>AWD auto-replenishment to move inventory of that SKU from AWD to FBA</t>
  </si>
  <si>
    <t>Everything should be per "box"</t>
  </si>
  <si>
    <t>Units</t>
  </si>
  <si>
    <t>Pallets</t>
  </si>
  <si>
    <t>Cubic Feet</t>
  </si>
  <si>
    <t>Boxes</t>
  </si>
  <si>
    <t>Quantity sending from China to Amazon</t>
  </si>
  <si>
    <t>Quantity Amazon auto-replenishes</t>
  </si>
  <si>
    <t>AWD</t>
  </si>
  <si>
    <t>Storage Fee</t>
  </si>
  <si>
    <t>Box: box of 6</t>
  </si>
  <si>
    <t>Inbound Fee</t>
  </si>
  <si>
    <t>Pallet: 54 boxes</t>
  </si>
  <si>
    <t>Outbound Fee</t>
  </si>
  <si>
    <t>Transportation Fee</t>
  </si>
  <si>
    <t xml:space="preserve">Total (one shipment in, one shipment out) = </t>
  </si>
  <si>
    <t>UPS Fee</t>
  </si>
  <si>
    <t>Amazon Fee</t>
  </si>
  <si>
    <t>Nevada Fee</t>
  </si>
  <si>
    <t>Total</t>
  </si>
  <si>
    <t>Units at start</t>
  </si>
  <si>
    <t>Units at end</t>
  </si>
  <si>
    <t>Forecasted Monthly Sales</t>
  </si>
  <si>
    <t>January</t>
  </si>
  <si>
    <t>Initial Shipment of 11 pallets</t>
  </si>
  <si>
    <t>Storing Pallets</t>
  </si>
  <si>
    <t>February</t>
  </si>
  <si>
    <t>Forecasted Products Sold (27)</t>
  </si>
  <si>
    <t>March</t>
  </si>
  <si>
    <t>April</t>
  </si>
  <si>
    <t>May</t>
  </si>
  <si>
    <t>June</t>
  </si>
  <si>
    <t>Forecasted Products Sold (26)</t>
  </si>
  <si>
    <t>July</t>
  </si>
  <si>
    <t>August</t>
  </si>
  <si>
    <t>September</t>
  </si>
  <si>
    <t>October</t>
  </si>
  <si>
    <t>Forecasted Products Sold (24)</t>
  </si>
  <si>
    <t>November</t>
  </si>
  <si>
    <t>December</t>
  </si>
  <si>
    <t>Forecasted Products Sold (14)</t>
  </si>
  <si>
    <t>Forecasted Products Sold (16)</t>
  </si>
  <si>
    <t>Forecasted Products Sold (17)</t>
  </si>
  <si>
    <t>Forecasted Products Sold (11)</t>
  </si>
  <si>
    <t>Forecasted Products Sold (15)</t>
  </si>
  <si>
    <t>Forecasted Products Sold (18)</t>
  </si>
  <si>
    <t>Forecasted Products Sold (10)</t>
  </si>
  <si>
    <t>Forecasted Products Sold (29)</t>
  </si>
  <si>
    <t>Forecasted Products Sold (65)</t>
  </si>
  <si>
    <t>Total Cost for 1 year</t>
  </si>
  <si>
    <t>W/O init shipment</t>
  </si>
  <si>
    <t>Approximately $200 / month</t>
  </si>
  <si>
    <t>to ship one pallet: $473.33</t>
  </si>
  <si>
    <t>to ship 11 pallets: $3,487.78</t>
  </si>
  <si>
    <t>Total with 11 pallets in Nevada</t>
  </si>
  <si>
    <t>Total with 1 pallet in AWD and 10 pallets in Nevada</t>
  </si>
  <si>
    <t>Storage cost in Nevada (10 pallets)</t>
  </si>
  <si>
    <t>Total Cost for 1 year in AWD</t>
  </si>
  <si>
    <t>Pick/Pack Fee</t>
  </si>
  <si>
    <t>Nevada Costs</t>
  </si>
  <si>
    <t>Shipping Cost</t>
  </si>
  <si>
    <t>Initial Shipment of 1 pallet</t>
  </si>
  <si>
    <t>Sending 1 pallet, 324 units to 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</si>
</sst>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rgb="FFFF0000"/>
      <name val="Aptos Narrow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4" fontId="5" fillId="3" borderId="0" xfId="1" applyFont="1" applyFill="1"/>
    <xf numFmtId="44" fontId="5" fillId="3" borderId="0" xfId="0" applyNumberFormat="1" applyFont="1" applyFill="1"/>
    <xf numFmtId="44" fontId="0" fillId="3" borderId="0" xfId="1" applyFont="1" applyFill="1"/>
    <xf numFmtId="0" fontId="0" fillId="3" borderId="0" xfId="0" applyFill="1"/>
    <xf numFmtId="44" fontId="0" fillId="0" borderId="0" xfId="1" applyFont="1" applyFill="1"/>
    <xf numFmtId="44" fontId="5" fillId="0" borderId="0" xfId="1" applyFont="1" applyFill="1"/>
    <xf numFmtId="8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4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3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15</xdr:row>
      <xdr:rowOff>101600</xdr:rowOff>
    </xdr:from>
    <xdr:to>
      <xdr:col>10</xdr:col>
      <xdr:colOff>203200</xdr:colOff>
      <xdr:row>33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A6F72F-53DA-594A-A861-C4018C43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149600"/>
          <a:ext cx="7924800" cy="370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292100</xdr:colOff>
      <xdr:row>2</xdr:row>
      <xdr:rowOff>63500</xdr:rowOff>
    </xdr:from>
    <xdr:to>
      <xdr:col>8</xdr:col>
      <xdr:colOff>228600</xdr:colOff>
      <xdr:row>13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916059-AFC3-A04D-98CB-8714C1DCD945}"/>
            </a:ext>
          </a:extLst>
        </xdr:cNvPr>
        <xdr:cNvSpPr txBox="1"/>
      </xdr:nvSpPr>
      <xdr:spPr>
        <a:xfrm>
          <a:off x="1117600" y="469900"/>
          <a:ext cx="5715000" cy="234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Dimensions: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cubic feet of space the box takes up, follow these steps:</a:t>
          </a:r>
          <a:endParaRPr lang="en-US" b="0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 the dimensions from inches to feet:</a:t>
          </a: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Width: 18.518.518.5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1.54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Length: 11.7511.7511.75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0.98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Height: 666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0.50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Multiply the dimensions to find the volume: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1.54×0.98×0.50=0.7547 cubic feet1.54 \times 0.98 \times 0.50 = 0.7547 \text{ cubic feet}1.54×0.98×0.50=0.7547 cubic feet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box takes up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approximately 0.75 cubic feet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space.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Pallets:</a:t>
          </a:r>
          <a:endParaRPr lang="en-US" b="0">
            <a:effectLst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layers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33.75 cubic feet</a:t>
          </a:r>
          <a:endParaRPr lang="en-US" b="0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layers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40.5 cubic feet</a:t>
          </a:r>
          <a:endParaRPr lang="en-US" sz="1100"/>
        </a:p>
      </xdr:txBody>
    </xdr:sp>
    <xdr:clientData/>
  </xdr:twoCellAnchor>
  <xdr:twoCellAnchor editAs="oneCell">
    <xdr:from>
      <xdr:col>21</xdr:col>
      <xdr:colOff>660400</xdr:colOff>
      <xdr:row>0</xdr:row>
      <xdr:rowOff>114300</xdr:rowOff>
    </xdr:from>
    <xdr:to>
      <xdr:col>30</xdr:col>
      <xdr:colOff>609600</xdr:colOff>
      <xdr:row>18</xdr:row>
      <xdr:rowOff>15148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CD4AD-EB0B-D34E-8BCF-04B649AD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95900" y="114300"/>
          <a:ext cx="7772400" cy="3558448"/>
        </a:xfrm>
        <a:prstGeom prst="rect">
          <a:avLst/>
        </a:prstGeom>
      </xdr:spPr>
    </xdr:pic>
    <xdr:clientData/>
  </xdr:twoCellAnchor>
  <xdr:twoCellAnchor>
    <xdr:from>
      <xdr:col>26</xdr:col>
      <xdr:colOff>292100</xdr:colOff>
      <xdr:row>1</xdr:row>
      <xdr:rowOff>0</xdr:rowOff>
    </xdr:from>
    <xdr:to>
      <xdr:col>26</xdr:col>
      <xdr:colOff>317500</xdr:colOff>
      <xdr:row>17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39AE542-0E6C-B743-A0F0-595260FA24EF}"/>
            </a:ext>
          </a:extLst>
        </xdr:cNvPr>
        <xdr:cNvCxnSpPr/>
      </xdr:nvCxnSpPr>
      <xdr:spPr>
        <a:xfrm>
          <a:off x="22148800" y="203200"/>
          <a:ext cx="25400" cy="3289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317500</xdr:colOff>
      <xdr:row>17</xdr:row>
      <xdr:rowOff>12700</xdr:rowOff>
    </xdr:from>
    <xdr:to>
      <xdr:col>28</xdr:col>
      <xdr:colOff>381000</xdr:colOff>
      <xdr:row>17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9858F9E-C11D-F546-9522-001841356682}"/>
            </a:ext>
          </a:extLst>
        </xdr:cNvPr>
        <xdr:cNvCxnSpPr/>
      </xdr:nvCxnSpPr>
      <xdr:spPr>
        <a:xfrm>
          <a:off x="22174200" y="3467100"/>
          <a:ext cx="1714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317500</xdr:colOff>
      <xdr:row>1</xdr:row>
      <xdr:rowOff>25400</xdr:rowOff>
    </xdr:from>
    <xdr:to>
      <xdr:col>28</xdr:col>
      <xdr:colOff>381000</xdr:colOff>
      <xdr:row>1</xdr:row>
      <xdr:rowOff>25400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10C5255-9FB8-8745-8034-5EB18DDF9672}"/>
            </a:ext>
          </a:extLst>
        </xdr:cNvPr>
        <xdr:cNvCxnSpPr/>
      </xdr:nvCxnSpPr>
      <xdr:spPr>
        <a:xfrm>
          <a:off x="22174200" y="228600"/>
          <a:ext cx="1714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368300</xdr:colOff>
      <xdr:row>1</xdr:row>
      <xdr:rowOff>0</xdr:rowOff>
    </xdr:from>
    <xdr:to>
      <xdr:col>28</xdr:col>
      <xdr:colOff>393700</xdr:colOff>
      <xdr:row>17</xdr:row>
      <xdr:rowOff>38100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169FC08-BDD9-B542-81C9-C39C1E2A2FC0}"/>
            </a:ext>
          </a:extLst>
        </xdr:cNvPr>
        <xdr:cNvCxnSpPr/>
      </xdr:nvCxnSpPr>
      <xdr:spPr>
        <a:xfrm>
          <a:off x="23876000" y="203200"/>
          <a:ext cx="25400" cy="3289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922C-FA30-1347-9EB6-60A3A29477D6}">
  <dimension ref="L2:AD42"/>
  <sheetViews>
    <sheetView workbookViewId="0">
      <selection activeCell="B31" sqref="B31:B32"/>
    </sheetView>
  </sheetViews>
  <sheetFormatPr baseColWidth="10" defaultRowHeight="16" x14ac:dyDescent="0.2"/>
  <cols>
    <col min="25" max="25" width="16" customWidth="1"/>
  </cols>
  <sheetData>
    <row r="2" spans="12:21" x14ac:dyDescent="0.2">
      <c r="L2" t="s">
        <v>0</v>
      </c>
    </row>
    <row r="3" spans="12:21" x14ac:dyDescent="0.2">
      <c r="L3" t="s">
        <v>1</v>
      </c>
    </row>
    <row r="5" spans="12:21" x14ac:dyDescent="0.2">
      <c r="L5" t="s">
        <v>2</v>
      </c>
      <c r="R5" t="s">
        <v>3</v>
      </c>
    </row>
    <row r="6" spans="12:21" x14ac:dyDescent="0.2">
      <c r="L6" t="s">
        <v>4</v>
      </c>
      <c r="O6" s="1">
        <f>40.5*0.48</f>
        <v>19.439999999999998</v>
      </c>
      <c r="R6" t="s">
        <v>4</v>
      </c>
      <c r="U6" s="1">
        <v>26.75</v>
      </c>
    </row>
    <row r="7" spans="12:21" x14ac:dyDescent="0.2">
      <c r="L7" t="s">
        <v>5</v>
      </c>
      <c r="O7" s="1">
        <f>1.15*40.5</f>
        <v>46.574999999999996</v>
      </c>
      <c r="R7" t="s">
        <v>6</v>
      </c>
      <c r="U7" s="1">
        <v>9.0500000000000007</v>
      </c>
    </row>
    <row r="8" spans="12:21" x14ac:dyDescent="0.2">
      <c r="L8" t="s">
        <v>7</v>
      </c>
      <c r="O8" s="1">
        <f>324*1.35</f>
        <v>437.40000000000003</v>
      </c>
      <c r="R8" t="s">
        <v>8</v>
      </c>
      <c r="U8" s="1">
        <f>182.1</f>
        <v>182.1</v>
      </c>
    </row>
    <row r="9" spans="12:21" x14ac:dyDescent="0.2">
      <c r="L9" t="s">
        <v>9</v>
      </c>
      <c r="O9" s="1">
        <f>1.35*324</f>
        <v>437.40000000000003</v>
      </c>
      <c r="R9" t="s">
        <v>10</v>
      </c>
      <c r="U9" s="1">
        <f>39</f>
        <v>39</v>
      </c>
    </row>
    <row r="11" spans="12:21" x14ac:dyDescent="0.2">
      <c r="Q11" s="2" t="s">
        <v>11</v>
      </c>
    </row>
    <row r="13" spans="12:21" x14ac:dyDescent="0.2">
      <c r="L13" t="s">
        <v>12</v>
      </c>
      <c r="M13" t="s">
        <v>13</v>
      </c>
      <c r="N13" t="s">
        <v>3</v>
      </c>
      <c r="U13">
        <f>1.1+(2.5*15)</f>
        <v>38.6</v>
      </c>
    </row>
    <row r="14" spans="12:21" x14ac:dyDescent="0.2">
      <c r="L14">
        <v>1</v>
      </c>
      <c r="M14" s="3">
        <f>O6/324</f>
        <v>5.9999999999999991E-2</v>
      </c>
      <c r="N14" s="3">
        <f>U6/54</f>
        <v>0.49537037037037035</v>
      </c>
    </row>
    <row r="15" spans="12:21" x14ac:dyDescent="0.2">
      <c r="L15">
        <v>2</v>
      </c>
      <c r="M15" s="3">
        <f>O7/324</f>
        <v>0.14374999999999999</v>
      </c>
      <c r="N15" s="3">
        <f>U7</f>
        <v>9.0500000000000007</v>
      </c>
      <c r="O15" s="3"/>
    </row>
    <row r="16" spans="12:21" x14ac:dyDescent="0.2">
      <c r="L16">
        <v>3</v>
      </c>
      <c r="M16" s="3">
        <f>O8/54</f>
        <v>8.1000000000000014</v>
      </c>
      <c r="N16" s="3">
        <f>U8/15/5</f>
        <v>2.4279999999999999</v>
      </c>
      <c r="O16" t="s">
        <v>14</v>
      </c>
    </row>
    <row r="17" spans="12:29" x14ac:dyDescent="0.2">
      <c r="L17">
        <v>4</v>
      </c>
      <c r="M17" s="3">
        <f>O9/54</f>
        <v>8.1000000000000014</v>
      </c>
      <c r="N17" s="3">
        <f>U9/15</f>
        <v>2.6</v>
      </c>
      <c r="O17" t="s">
        <v>15</v>
      </c>
    </row>
    <row r="20" spans="12:29" x14ac:dyDescent="0.2">
      <c r="M20" t="s">
        <v>16</v>
      </c>
      <c r="Y20" t="s">
        <v>17</v>
      </c>
    </row>
    <row r="21" spans="12:29" x14ac:dyDescent="0.2">
      <c r="M21" t="s">
        <v>18</v>
      </c>
      <c r="Y21" t="s">
        <v>19</v>
      </c>
    </row>
    <row r="23" spans="12:29" x14ac:dyDescent="0.2">
      <c r="M23" t="s">
        <v>20</v>
      </c>
      <c r="Z23" t="s">
        <v>21</v>
      </c>
      <c r="AA23" t="s">
        <v>22</v>
      </c>
      <c r="AB23" t="s">
        <v>23</v>
      </c>
      <c r="AC23" t="s">
        <v>24</v>
      </c>
    </row>
    <row r="24" spans="12:29" x14ac:dyDescent="0.2">
      <c r="W24" t="s">
        <v>25</v>
      </c>
      <c r="Z24" s="4">
        <v>324</v>
      </c>
      <c r="AA24" s="5">
        <f>Z24/6/54</f>
        <v>1</v>
      </c>
      <c r="AB24" s="5">
        <f>AA24*40.5</f>
        <v>40.5</v>
      </c>
      <c r="AC24" s="6">
        <f>ROUNDUP(Z24/6,0)</f>
        <v>54</v>
      </c>
    </row>
    <row r="25" spans="12:29" x14ac:dyDescent="0.2">
      <c r="W25" t="s">
        <v>26</v>
      </c>
      <c r="Z25" s="4">
        <v>50</v>
      </c>
      <c r="AA25" s="5">
        <f>Z25/6/54</f>
        <v>0.15432098765432101</v>
      </c>
      <c r="AB25" s="5">
        <f>AA25*40.5</f>
        <v>6.2500000000000009</v>
      </c>
      <c r="AC25" s="6">
        <f>ROUNDUP(Z25/6,0)</f>
        <v>9</v>
      </c>
    </row>
    <row r="27" spans="12:29" x14ac:dyDescent="0.2">
      <c r="X27" t="s">
        <v>27</v>
      </c>
    </row>
    <row r="28" spans="12:29" x14ac:dyDescent="0.2">
      <c r="Y28" t="s">
        <v>28</v>
      </c>
      <c r="Z28" s="1">
        <f>AB24*0.43</f>
        <v>17.414999999999999</v>
      </c>
    </row>
    <row r="29" spans="12:29" x14ac:dyDescent="0.2">
      <c r="L29" t="s">
        <v>29</v>
      </c>
      <c r="Y29" t="s">
        <v>30</v>
      </c>
      <c r="Z29" s="1">
        <f>AC24*1.35</f>
        <v>72.900000000000006</v>
      </c>
    </row>
    <row r="30" spans="12:29" x14ac:dyDescent="0.2">
      <c r="L30" t="s">
        <v>31</v>
      </c>
      <c r="Y30" t="s">
        <v>32</v>
      </c>
      <c r="Z30" s="1">
        <f>AC25*1.35</f>
        <v>12.15</v>
      </c>
    </row>
    <row r="31" spans="12:29" x14ac:dyDescent="0.2">
      <c r="Y31" t="s">
        <v>33</v>
      </c>
      <c r="Z31" s="1">
        <f>AB25*1.15</f>
        <v>7.1875000000000009</v>
      </c>
    </row>
    <row r="33" spans="24:30" x14ac:dyDescent="0.2">
      <c r="Y33" t="s">
        <v>34</v>
      </c>
      <c r="AB33" s="3">
        <f>SUM(Z28:Z31)</f>
        <v>109.6525</v>
      </c>
    </row>
    <row r="36" spans="24:30" x14ac:dyDescent="0.2">
      <c r="X36" t="s">
        <v>3</v>
      </c>
      <c r="AD36" s="3">
        <f>AB33-AB42</f>
        <v>28.000500000000002</v>
      </c>
    </row>
    <row r="37" spans="24:30" x14ac:dyDescent="0.2">
      <c r="Y37" t="s">
        <v>28</v>
      </c>
      <c r="Z37" s="1">
        <f>26.75*AA24</f>
        <v>26.75</v>
      </c>
    </row>
    <row r="38" spans="24:30" x14ac:dyDescent="0.2">
      <c r="Y38" t="s">
        <v>35</v>
      </c>
      <c r="Z38" s="1">
        <v>9.0500000000000007</v>
      </c>
    </row>
    <row r="39" spans="24:30" x14ac:dyDescent="0.2">
      <c r="Y39" t="s">
        <v>36</v>
      </c>
      <c r="Z39" s="1">
        <f>(182.1/5/15)*AC25</f>
        <v>21.852</v>
      </c>
      <c r="AA39" s="7" t="s">
        <v>15</v>
      </c>
    </row>
    <row r="40" spans="24:30" x14ac:dyDescent="0.2">
      <c r="Y40" t="s">
        <v>37</v>
      </c>
      <c r="Z40" s="1">
        <f>1.5+(AC25*2.5)</f>
        <v>24</v>
      </c>
      <c r="AA40" s="7"/>
    </row>
    <row r="42" spans="24:30" x14ac:dyDescent="0.2">
      <c r="Y42" t="s">
        <v>34</v>
      </c>
      <c r="AB42" s="3">
        <f>SUM(Z37:Z40)</f>
        <v>81.652000000000001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8804-5A8D-5448-9E3A-5DA2F5AEE1B4}">
  <dimension ref="A2:R117"/>
  <sheetViews>
    <sheetView zoomScale="86" zoomScaleNormal="150" workbookViewId="0">
      <selection activeCell="R15" sqref="R15:T20"/>
    </sheetView>
  </sheetViews>
  <sheetFormatPr baseColWidth="10" defaultRowHeight="16" x14ac:dyDescent="0.2"/>
  <cols>
    <col min="2" max="2" width="24.1640625" bestFit="1" customWidth="1"/>
    <col min="3" max="3" width="16.5" bestFit="1" customWidth="1"/>
    <col min="4" max="4" width="18.1640625" customWidth="1"/>
    <col min="6" max="6" width="11.5" bestFit="1" customWidth="1"/>
  </cols>
  <sheetData>
    <row r="2" spans="1:10" ht="24" x14ac:dyDescent="0.3">
      <c r="A2" s="8" t="s">
        <v>27</v>
      </c>
    </row>
    <row r="4" spans="1:10" x14ac:dyDescent="0.2">
      <c r="E4" t="s">
        <v>21</v>
      </c>
      <c r="F4" t="s">
        <v>22</v>
      </c>
      <c r="G4" t="s">
        <v>23</v>
      </c>
      <c r="H4" t="s">
        <v>24</v>
      </c>
    </row>
    <row r="5" spans="1:10" x14ac:dyDescent="0.2">
      <c r="B5" t="s">
        <v>25</v>
      </c>
      <c r="E5" s="4">
        <f>324*11</f>
        <v>3564</v>
      </c>
      <c r="F5" s="5">
        <f>E5/6/54</f>
        <v>11</v>
      </c>
      <c r="G5" s="5">
        <f>F5*40.5</f>
        <v>445.5</v>
      </c>
      <c r="H5" s="6">
        <f>ROUNDUP(E5/6,0)</f>
        <v>594</v>
      </c>
    </row>
    <row r="6" spans="1:10" x14ac:dyDescent="0.2">
      <c r="B6" t="s">
        <v>26</v>
      </c>
      <c r="E6" s="4">
        <v>65</v>
      </c>
      <c r="F6" s="5">
        <f>E6/6/54</f>
        <v>0.20061728395061729</v>
      </c>
      <c r="G6" s="5">
        <f>F6*40.5</f>
        <v>8.125</v>
      </c>
      <c r="H6" s="6">
        <f>ROUNDUP(E6/6,0)</f>
        <v>11</v>
      </c>
    </row>
    <row r="8" spans="1:10" x14ac:dyDescent="0.2">
      <c r="C8" t="s">
        <v>27</v>
      </c>
    </row>
    <row r="9" spans="1:10" x14ac:dyDescent="0.2">
      <c r="D9" t="s">
        <v>28</v>
      </c>
      <c r="E9" s="1">
        <f>G5*0.43</f>
        <v>191.565</v>
      </c>
    </row>
    <row r="10" spans="1:10" x14ac:dyDescent="0.2">
      <c r="D10" t="s">
        <v>30</v>
      </c>
      <c r="E10" s="1">
        <f>H5*1.35</f>
        <v>801.90000000000009</v>
      </c>
    </row>
    <row r="11" spans="1:10" x14ac:dyDescent="0.2">
      <c r="D11" t="s">
        <v>32</v>
      </c>
      <c r="E11" s="1">
        <f>H6*1.35</f>
        <v>14.850000000000001</v>
      </c>
    </row>
    <row r="12" spans="1:10" x14ac:dyDescent="0.2">
      <c r="D12" t="s">
        <v>33</v>
      </c>
      <c r="E12" s="1">
        <f>G6*1.15</f>
        <v>9.34375</v>
      </c>
    </row>
    <row r="14" spans="1:10" x14ac:dyDescent="0.2">
      <c r="D14" t="s">
        <v>34</v>
      </c>
      <c r="G14" s="3">
        <f>SUM(E9:E12)</f>
        <v>1017.6587500000002</v>
      </c>
      <c r="J14">
        <f>1.65*G5</f>
        <v>735.07499999999993</v>
      </c>
    </row>
    <row r="17" spans="1:18" x14ac:dyDescent="0.2">
      <c r="I17" s="3"/>
      <c r="R17" t="s">
        <v>71</v>
      </c>
    </row>
    <row r="18" spans="1:18" x14ac:dyDescent="0.2">
      <c r="R18" t="s">
        <v>72</v>
      </c>
    </row>
    <row r="24" spans="1:18" x14ac:dyDescent="0.2">
      <c r="E24" t="s">
        <v>38</v>
      </c>
      <c r="F24" t="s">
        <v>39</v>
      </c>
      <c r="G24" t="s">
        <v>40</v>
      </c>
      <c r="L24" s="27" t="s">
        <v>41</v>
      </c>
      <c r="M24" s="27"/>
    </row>
    <row r="25" spans="1:18" x14ac:dyDescent="0.2">
      <c r="A25" s="9" t="s">
        <v>42</v>
      </c>
      <c r="B25" s="10" t="s">
        <v>43</v>
      </c>
      <c r="C25" t="s">
        <v>30</v>
      </c>
      <c r="D25" s="1">
        <v>801.9</v>
      </c>
      <c r="F25">
        <v>3564</v>
      </c>
      <c r="G25" s="6">
        <f>F25-M25</f>
        <v>3536.8575461915534</v>
      </c>
      <c r="L25" t="s">
        <v>42</v>
      </c>
      <c r="M25" s="6">
        <v>27.142453808446451</v>
      </c>
    </row>
    <row r="26" spans="1:18" x14ac:dyDescent="0.2">
      <c r="B26" t="s">
        <v>44</v>
      </c>
      <c r="C26" t="s">
        <v>28</v>
      </c>
      <c r="D26" s="1">
        <v>191.57</v>
      </c>
      <c r="L26" t="s">
        <v>45</v>
      </c>
      <c r="M26" s="6">
        <v>25.900131975867261</v>
      </c>
    </row>
    <row r="27" spans="1:18" x14ac:dyDescent="0.2">
      <c r="B27" s="28" t="s">
        <v>46</v>
      </c>
      <c r="C27" t="s">
        <v>32</v>
      </c>
      <c r="D27" s="1">
        <v>6.75</v>
      </c>
      <c r="L27" t="s">
        <v>47</v>
      </c>
      <c r="M27" s="6">
        <v>24.345621229260928</v>
      </c>
    </row>
    <row r="28" spans="1:18" x14ac:dyDescent="0.2">
      <c r="B28" s="28"/>
      <c r="C28" t="s">
        <v>33</v>
      </c>
      <c r="D28" s="1">
        <v>3.88</v>
      </c>
      <c r="E28" s="3">
        <f>SUM(D25:D28)</f>
        <v>1004.1</v>
      </c>
      <c r="L28" t="s">
        <v>48</v>
      </c>
      <c r="M28" s="6">
        <v>13.774498456790125</v>
      </c>
    </row>
    <row r="29" spans="1:18" x14ac:dyDescent="0.2">
      <c r="D29" s="1"/>
      <c r="L29" t="s">
        <v>49</v>
      </c>
      <c r="M29" s="6">
        <v>16.338734567901234</v>
      </c>
    </row>
    <row r="30" spans="1:18" x14ac:dyDescent="0.2">
      <c r="A30" s="9" t="s">
        <v>45</v>
      </c>
      <c r="B30" t="s">
        <v>44</v>
      </c>
      <c r="C30" t="s">
        <v>28</v>
      </c>
      <c r="D30" s="1">
        <v>190.11</v>
      </c>
      <c r="F30" s="6">
        <f>G25</f>
        <v>3536.8575461915534</v>
      </c>
      <c r="G30" s="6">
        <f>F30-M26</f>
        <v>3510.9574142156862</v>
      </c>
      <c r="L30" t="s">
        <v>50</v>
      </c>
      <c r="M30" s="6">
        <v>17.242091049382715</v>
      </c>
    </row>
    <row r="31" spans="1:18" x14ac:dyDescent="0.2">
      <c r="B31" s="28" t="s">
        <v>51</v>
      </c>
      <c r="C31" t="s">
        <v>32</v>
      </c>
      <c r="D31" s="1">
        <v>6.75</v>
      </c>
      <c r="L31" t="s">
        <v>52</v>
      </c>
      <c r="M31" s="6">
        <v>11.168562874251498</v>
      </c>
    </row>
    <row r="32" spans="1:18" x14ac:dyDescent="0.2">
      <c r="B32" s="28"/>
      <c r="C32" t="s">
        <v>33</v>
      </c>
      <c r="D32" s="1">
        <v>3.74</v>
      </c>
      <c r="E32" s="3">
        <f>SUM(D30:D32)</f>
        <v>200.60000000000002</v>
      </c>
      <c r="L32" t="s">
        <v>53</v>
      </c>
      <c r="M32" s="6">
        <v>14.788023952095806</v>
      </c>
    </row>
    <row r="33" spans="1:13" x14ac:dyDescent="0.2">
      <c r="D33" s="1"/>
      <c r="L33" t="s">
        <v>54</v>
      </c>
      <c r="M33" s="6">
        <v>18.322080838323352</v>
      </c>
    </row>
    <row r="34" spans="1:13" x14ac:dyDescent="0.2">
      <c r="A34" s="9" t="s">
        <v>47</v>
      </c>
      <c r="B34" s="11" t="s">
        <v>44</v>
      </c>
      <c r="C34" s="11" t="s">
        <v>28</v>
      </c>
      <c r="D34" s="1">
        <v>188.72</v>
      </c>
      <c r="F34" s="6">
        <f>G30</f>
        <v>3510.9574142156862</v>
      </c>
      <c r="G34" s="6">
        <f>F34-M27</f>
        <v>3486.6117929864254</v>
      </c>
      <c r="L34" t="s">
        <v>55</v>
      </c>
      <c r="M34" s="6">
        <v>10.082543675751225</v>
      </c>
    </row>
    <row r="35" spans="1:13" x14ac:dyDescent="0.2">
      <c r="B35" s="26" t="s">
        <v>56</v>
      </c>
      <c r="C35" s="11" t="s">
        <v>32</v>
      </c>
      <c r="D35" s="1">
        <v>5.4</v>
      </c>
      <c r="L35" t="s">
        <v>57</v>
      </c>
      <c r="M35" s="6">
        <v>29.380677847658969</v>
      </c>
    </row>
    <row r="36" spans="1:13" x14ac:dyDescent="0.2">
      <c r="A36" s="9"/>
      <c r="B36" s="26"/>
      <c r="C36" s="11" t="s">
        <v>33</v>
      </c>
      <c r="D36" s="1">
        <v>3.45</v>
      </c>
      <c r="E36" s="3">
        <f>SUM(D34:D36)</f>
        <v>197.57</v>
      </c>
      <c r="L36" t="s">
        <v>58</v>
      </c>
      <c r="M36" s="6">
        <v>65.369336128581395</v>
      </c>
    </row>
    <row r="37" spans="1:13" x14ac:dyDescent="0.2">
      <c r="D37" s="1"/>
    </row>
    <row r="38" spans="1:13" ht="16" customHeight="1" x14ac:dyDescent="0.2">
      <c r="A38" s="9" t="s">
        <v>48</v>
      </c>
      <c r="B38" s="11" t="s">
        <v>44</v>
      </c>
      <c r="C38" s="11" t="s">
        <v>28</v>
      </c>
      <c r="D38" s="1">
        <v>187.43</v>
      </c>
      <c r="F38" s="6">
        <f>G34</f>
        <v>3486.6117929864254</v>
      </c>
      <c r="G38" s="6">
        <f>F38-M28</f>
        <v>3472.8372945296351</v>
      </c>
    </row>
    <row r="39" spans="1:13" x14ac:dyDescent="0.2">
      <c r="B39" s="26" t="s">
        <v>59</v>
      </c>
      <c r="C39" s="11" t="s">
        <v>32</v>
      </c>
      <c r="D39" s="1">
        <v>4.05</v>
      </c>
    </row>
    <row r="40" spans="1:13" x14ac:dyDescent="0.2">
      <c r="A40" s="9"/>
      <c r="B40" s="26"/>
      <c r="C40" s="11" t="s">
        <v>33</v>
      </c>
      <c r="D40" s="1">
        <v>2.0099999999999998</v>
      </c>
      <c r="E40" s="3">
        <f>SUM(D38:D40)</f>
        <v>193.49</v>
      </c>
    </row>
    <row r="41" spans="1:13" x14ac:dyDescent="0.2">
      <c r="D41" s="1"/>
    </row>
    <row r="42" spans="1:13" ht="16" customHeight="1" x14ac:dyDescent="0.2">
      <c r="A42" s="9" t="s">
        <v>49</v>
      </c>
      <c r="B42" s="11" t="s">
        <v>44</v>
      </c>
      <c r="C42" s="11" t="s">
        <v>28</v>
      </c>
      <c r="D42" s="1">
        <v>186.67</v>
      </c>
      <c r="F42" s="6">
        <f>G38</f>
        <v>3472.8372945296351</v>
      </c>
      <c r="G42" s="6">
        <f>F42-M29</f>
        <v>3456.4985599617339</v>
      </c>
    </row>
    <row r="43" spans="1:13" x14ac:dyDescent="0.2">
      <c r="B43" s="26" t="s">
        <v>60</v>
      </c>
      <c r="C43" s="11" t="s">
        <v>32</v>
      </c>
      <c r="D43" s="1">
        <v>4.05</v>
      </c>
    </row>
    <row r="44" spans="1:13" x14ac:dyDescent="0.2">
      <c r="A44" s="9"/>
      <c r="B44" s="26"/>
      <c r="C44" s="11" t="s">
        <v>33</v>
      </c>
      <c r="D44" s="1">
        <v>2.2999999999999998</v>
      </c>
      <c r="E44" s="3">
        <f>SUM(D42:D44)</f>
        <v>193.02</v>
      </c>
    </row>
    <row r="45" spans="1:13" ht="16" customHeight="1" x14ac:dyDescent="0.2">
      <c r="D45" s="1"/>
    </row>
    <row r="46" spans="1:13" x14ac:dyDescent="0.2">
      <c r="A46" s="9" t="s">
        <v>50</v>
      </c>
      <c r="B46" s="11" t="s">
        <v>44</v>
      </c>
      <c r="C46" s="11" t="s">
        <v>28</v>
      </c>
      <c r="D46" s="1">
        <v>185.76</v>
      </c>
      <c r="F46" s="6">
        <f>G42</f>
        <v>3456.4985599617339</v>
      </c>
      <c r="G46" s="6">
        <f>F46-M30</f>
        <v>3439.256468912351</v>
      </c>
    </row>
    <row r="47" spans="1:13" x14ac:dyDescent="0.2">
      <c r="B47" s="26" t="s">
        <v>61</v>
      </c>
      <c r="C47" s="11" t="s">
        <v>32</v>
      </c>
      <c r="D47" s="1">
        <v>4.05</v>
      </c>
    </row>
    <row r="48" spans="1:13" x14ac:dyDescent="0.2">
      <c r="A48" s="9"/>
      <c r="B48" s="26"/>
      <c r="C48" s="11" t="s">
        <v>33</v>
      </c>
      <c r="D48" s="1">
        <v>2.44</v>
      </c>
      <c r="E48" s="3">
        <f>SUM(D46:D48)</f>
        <v>192.25</v>
      </c>
    </row>
    <row r="49" spans="1:7" ht="16" customHeight="1" x14ac:dyDescent="0.2">
      <c r="D49" s="1"/>
    </row>
    <row r="50" spans="1:7" x14ac:dyDescent="0.2">
      <c r="A50" s="9" t="s">
        <v>52</v>
      </c>
      <c r="B50" s="11" t="s">
        <v>44</v>
      </c>
      <c r="C50" s="11" t="s">
        <v>28</v>
      </c>
      <c r="D50" s="1">
        <v>184.85</v>
      </c>
      <c r="F50" s="6">
        <f>G46</f>
        <v>3439.256468912351</v>
      </c>
      <c r="G50" s="6">
        <f>F50-M31</f>
        <v>3428.0879060380994</v>
      </c>
    </row>
    <row r="51" spans="1:7" x14ac:dyDescent="0.2">
      <c r="B51" s="26" t="s">
        <v>62</v>
      </c>
      <c r="C51" s="11" t="s">
        <v>32</v>
      </c>
      <c r="D51" s="1">
        <v>2.7</v>
      </c>
    </row>
    <row r="52" spans="1:7" x14ac:dyDescent="0.2">
      <c r="A52" s="9"/>
      <c r="B52" s="26"/>
      <c r="C52" s="11" t="s">
        <v>33</v>
      </c>
      <c r="D52" s="1">
        <v>1.58</v>
      </c>
      <c r="E52" s="3">
        <f>SUM(D50:D52)</f>
        <v>189.13</v>
      </c>
    </row>
    <row r="53" spans="1:7" x14ac:dyDescent="0.2">
      <c r="A53" s="9"/>
      <c r="D53" s="1"/>
    </row>
    <row r="54" spans="1:7" x14ac:dyDescent="0.2">
      <c r="A54" s="9" t="s">
        <v>53</v>
      </c>
      <c r="B54" s="11" t="s">
        <v>44</v>
      </c>
      <c r="C54" s="11" t="s">
        <v>28</v>
      </c>
      <c r="D54" s="1">
        <v>184.26</v>
      </c>
      <c r="F54" s="6">
        <f>G50</f>
        <v>3428.0879060380994</v>
      </c>
      <c r="G54" s="6">
        <f>F54-M32</f>
        <v>3413.2998820860034</v>
      </c>
    </row>
    <row r="55" spans="1:7" x14ac:dyDescent="0.2">
      <c r="B55" s="26" t="s">
        <v>63</v>
      </c>
      <c r="C55" s="11" t="s">
        <v>32</v>
      </c>
      <c r="D55" s="1">
        <v>4.05</v>
      </c>
    </row>
    <row r="56" spans="1:7" x14ac:dyDescent="0.2">
      <c r="A56" s="9"/>
      <c r="B56" s="26"/>
      <c r="C56" s="11" t="s">
        <v>33</v>
      </c>
      <c r="D56" s="1">
        <v>2.16</v>
      </c>
      <c r="E56" s="3">
        <f>SUM(D54:D56)</f>
        <v>190.47</v>
      </c>
    </row>
    <row r="57" spans="1:7" x14ac:dyDescent="0.2">
      <c r="A57" s="9"/>
      <c r="D57" s="1"/>
    </row>
    <row r="58" spans="1:7" x14ac:dyDescent="0.2">
      <c r="A58" s="9" t="s">
        <v>54</v>
      </c>
      <c r="B58" s="11" t="s">
        <v>44</v>
      </c>
      <c r="C58" s="11" t="s">
        <v>28</v>
      </c>
      <c r="D58" s="1">
        <v>183.45</v>
      </c>
      <c r="F58" s="6">
        <f>G54</f>
        <v>3413.2998820860034</v>
      </c>
      <c r="G58" s="6">
        <f>F58-M33</f>
        <v>3394.97780124768</v>
      </c>
    </row>
    <row r="59" spans="1:7" x14ac:dyDescent="0.2">
      <c r="B59" s="26" t="s">
        <v>64</v>
      </c>
      <c r="C59" s="11" t="s">
        <v>32</v>
      </c>
      <c r="D59" s="1">
        <v>4.05</v>
      </c>
    </row>
    <row r="60" spans="1:7" x14ac:dyDescent="0.2">
      <c r="A60" s="9"/>
      <c r="B60" s="26"/>
      <c r="C60" s="11" t="s">
        <v>33</v>
      </c>
      <c r="D60" s="1">
        <v>2.59</v>
      </c>
      <c r="E60" s="3">
        <f>SUM(D58:D60)</f>
        <v>190.09</v>
      </c>
    </row>
    <row r="61" spans="1:7" x14ac:dyDescent="0.2">
      <c r="D61" s="1"/>
    </row>
    <row r="62" spans="1:7" x14ac:dyDescent="0.2">
      <c r="A62" s="9" t="s">
        <v>55</v>
      </c>
      <c r="B62" s="11" t="s">
        <v>44</v>
      </c>
      <c r="C62" s="11" t="s">
        <v>28</v>
      </c>
      <c r="D62" s="1">
        <v>182.48</v>
      </c>
      <c r="F62" s="6">
        <f>G58</f>
        <v>3394.97780124768</v>
      </c>
      <c r="G62" s="6">
        <f>F62-M34</f>
        <v>3384.8952575719286</v>
      </c>
    </row>
    <row r="63" spans="1:7" x14ac:dyDescent="0.2">
      <c r="B63" s="26" t="s">
        <v>65</v>
      </c>
      <c r="C63" s="11" t="s">
        <v>32</v>
      </c>
      <c r="D63" s="1">
        <v>2.7</v>
      </c>
    </row>
    <row r="64" spans="1:7" x14ac:dyDescent="0.2">
      <c r="A64" s="9"/>
      <c r="B64" s="26"/>
      <c r="C64" s="11" t="s">
        <v>33</v>
      </c>
      <c r="D64" s="1">
        <v>1.44</v>
      </c>
      <c r="E64" s="3">
        <f>SUM(D62:D64)</f>
        <v>186.61999999999998</v>
      </c>
    </row>
    <row r="65" spans="1:7" x14ac:dyDescent="0.2">
      <c r="D65" s="1"/>
    </row>
    <row r="66" spans="1:7" x14ac:dyDescent="0.2">
      <c r="A66" s="9" t="s">
        <v>57</v>
      </c>
      <c r="B66" s="11" t="s">
        <v>44</v>
      </c>
      <c r="C66" s="11" t="s">
        <v>28</v>
      </c>
      <c r="D66" s="1">
        <v>181.94</v>
      </c>
      <c r="F66" s="6">
        <f>G62</f>
        <v>3384.8952575719286</v>
      </c>
      <c r="G66" s="6">
        <f>F66-M35</f>
        <v>3355.5145797242694</v>
      </c>
    </row>
    <row r="67" spans="1:7" x14ac:dyDescent="0.2">
      <c r="B67" s="26" t="s">
        <v>66</v>
      </c>
      <c r="C67" s="11" t="s">
        <v>32</v>
      </c>
      <c r="D67" s="1">
        <v>6.75</v>
      </c>
    </row>
    <row r="68" spans="1:7" x14ac:dyDescent="0.2">
      <c r="A68" s="9"/>
      <c r="B68" s="26"/>
      <c r="C68" s="11" t="s">
        <v>33</v>
      </c>
      <c r="D68" s="1">
        <v>4.17</v>
      </c>
      <c r="E68" s="3">
        <f>SUM(D66:D68)</f>
        <v>192.85999999999999</v>
      </c>
    </row>
    <row r="69" spans="1:7" x14ac:dyDescent="0.2">
      <c r="D69" s="1"/>
    </row>
    <row r="70" spans="1:7" x14ac:dyDescent="0.2">
      <c r="A70" s="9" t="s">
        <v>58</v>
      </c>
      <c r="B70" s="11" t="s">
        <v>44</v>
      </c>
      <c r="C70" s="11" t="s">
        <v>28</v>
      </c>
      <c r="D70" s="1">
        <v>180.39</v>
      </c>
      <c r="F70" s="6">
        <f>G66</f>
        <v>3355.5145797242694</v>
      </c>
      <c r="G70" s="6">
        <f>F70-M36</f>
        <v>3290.145243595688</v>
      </c>
    </row>
    <row r="71" spans="1:7" x14ac:dyDescent="0.2">
      <c r="B71" s="26" t="s">
        <v>67</v>
      </c>
      <c r="C71" s="11" t="s">
        <v>32</v>
      </c>
      <c r="D71" s="1">
        <v>14.85</v>
      </c>
    </row>
    <row r="72" spans="1:7" x14ac:dyDescent="0.2">
      <c r="A72" s="9"/>
      <c r="B72" s="26"/>
      <c r="C72" s="11" t="s">
        <v>33</v>
      </c>
      <c r="D72" s="1">
        <v>9.34</v>
      </c>
      <c r="E72" s="3">
        <f>SUM(D70:D72)</f>
        <v>204.57999999999998</v>
      </c>
    </row>
    <row r="73" spans="1:7" x14ac:dyDescent="0.2">
      <c r="D73" s="1"/>
    </row>
    <row r="74" spans="1:7" x14ac:dyDescent="0.2">
      <c r="D74" s="1"/>
    </row>
    <row r="75" spans="1:7" x14ac:dyDescent="0.2">
      <c r="D75" s="12" t="s">
        <v>68</v>
      </c>
      <c r="E75" s="13">
        <f>SUM(E28:E72)</f>
        <v>3134.7799999999997</v>
      </c>
    </row>
    <row r="76" spans="1:7" x14ac:dyDescent="0.2">
      <c r="D76" s="12" t="s">
        <v>69</v>
      </c>
      <c r="E76" s="12">
        <f>E75-D25</f>
        <v>2332.8799999999997</v>
      </c>
      <c r="F76" s="3">
        <f>E76/12</f>
        <v>194.40666666666664</v>
      </c>
    </row>
    <row r="77" spans="1:7" x14ac:dyDescent="0.2">
      <c r="D77" s="14"/>
      <c r="E77" s="15"/>
    </row>
    <row r="78" spans="1:7" x14ac:dyDescent="0.2">
      <c r="D78" s="29" t="s">
        <v>70</v>
      </c>
      <c r="E78" s="29"/>
    </row>
    <row r="79" spans="1:7" x14ac:dyDescent="0.2">
      <c r="D79" s="1"/>
    </row>
    <row r="80" spans="1:7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mergeCells count="14">
    <mergeCell ref="B71:B72"/>
    <mergeCell ref="D78:E78"/>
    <mergeCell ref="B47:B48"/>
    <mergeCell ref="B51:B52"/>
    <mergeCell ref="B55:B56"/>
    <mergeCell ref="B59:B60"/>
    <mergeCell ref="B63:B64"/>
    <mergeCell ref="B67:B68"/>
    <mergeCell ref="B43:B44"/>
    <mergeCell ref="L24:M24"/>
    <mergeCell ref="B27:B28"/>
    <mergeCell ref="B31:B32"/>
    <mergeCell ref="B35:B36"/>
    <mergeCell ref="B39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4498-7E35-7449-8B62-CD7492E42F39}">
  <dimension ref="A2:M119"/>
  <sheetViews>
    <sheetView tabSelected="1" topLeftCell="A13" zoomScale="110" zoomScaleNormal="110" workbookViewId="0">
      <selection activeCell="B15" sqref="B15"/>
    </sheetView>
  </sheetViews>
  <sheetFormatPr baseColWidth="10" defaultRowHeight="16" x14ac:dyDescent="0.2"/>
  <cols>
    <col min="2" max="2" width="24.1640625" bestFit="1" customWidth="1"/>
    <col min="3" max="3" width="16.5" bestFit="1" customWidth="1"/>
    <col min="4" max="4" width="23.33203125" customWidth="1"/>
    <col min="6" max="6" width="11.5" bestFit="1" customWidth="1"/>
  </cols>
  <sheetData>
    <row r="2" spans="1:10" ht="24" x14ac:dyDescent="0.3">
      <c r="A2" s="8" t="s">
        <v>27</v>
      </c>
    </row>
    <row r="4" spans="1:10" s="20" customFormat="1" x14ac:dyDescent="0.2">
      <c r="E4" s="20" t="s">
        <v>21</v>
      </c>
      <c r="F4" s="20" t="s">
        <v>22</v>
      </c>
      <c r="G4" s="20" t="s">
        <v>23</v>
      </c>
      <c r="H4" s="20" t="s">
        <v>24</v>
      </c>
    </row>
    <row r="5" spans="1:10" s="20" customFormat="1" x14ac:dyDescent="0.2">
      <c r="B5" s="20" t="s">
        <v>25</v>
      </c>
      <c r="E5" s="25">
        <v>116</v>
      </c>
      <c r="F5" s="24">
        <f>E5/6/54</f>
        <v>0.35802469135802467</v>
      </c>
      <c r="G5" s="24">
        <f>F5*40.5</f>
        <v>14.5</v>
      </c>
      <c r="H5" s="23">
        <f>ROUNDUP(E5/6,0)</f>
        <v>20</v>
      </c>
    </row>
    <row r="6" spans="1:10" s="20" customFormat="1" x14ac:dyDescent="0.2">
      <c r="B6" s="20" t="s">
        <v>26</v>
      </c>
      <c r="E6" s="25">
        <v>27</v>
      </c>
      <c r="F6" s="24">
        <f>E6/6/54</f>
        <v>8.3333333333333329E-2</v>
      </c>
      <c r="G6" s="24">
        <f>F6*40.5</f>
        <v>3.375</v>
      </c>
      <c r="H6" s="23">
        <f>ROUNDUP(E6/6,0)</f>
        <v>5</v>
      </c>
    </row>
    <row r="7" spans="1:10" s="20" customFormat="1" x14ac:dyDescent="0.2"/>
    <row r="8" spans="1:10" s="20" customFormat="1" x14ac:dyDescent="0.2">
      <c r="C8" s="20" t="s">
        <v>27</v>
      </c>
    </row>
    <row r="9" spans="1:10" s="20" customFormat="1" x14ac:dyDescent="0.2">
      <c r="D9" s="20" t="s">
        <v>28</v>
      </c>
      <c r="E9" s="22">
        <f>G5*0.43</f>
        <v>6.2350000000000003</v>
      </c>
    </row>
    <row r="10" spans="1:10" s="20" customFormat="1" x14ac:dyDescent="0.2">
      <c r="D10" s="20" t="s">
        <v>30</v>
      </c>
      <c r="E10" s="22">
        <f>H5*1.35</f>
        <v>27</v>
      </c>
    </row>
    <row r="11" spans="1:10" s="20" customFormat="1" x14ac:dyDescent="0.2">
      <c r="D11" s="20" t="s">
        <v>32</v>
      </c>
      <c r="E11" s="22">
        <f>H6*1.35</f>
        <v>6.75</v>
      </c>
    </row>
    <row r="12" spans="1:10" s="20" customFormat="1" x14ac:dyDescent="0.2">
      <c r="D12" s="20" t="s">
        <v>33</v>
      </c>
      <c r="E12" s="22">
        <f>G6*1.15</f>
        <v>3.8812499999999996</v>
      </c>
    </row>
    <row r="13" spans="1:10" s="20" customFormat="1" x14ac:dyDescent="0.2"/>
    <row r="14" spans="1:10" s="20" customFormat="1" x14ac:dyDescent="0.2">
      <c r="D14" s="20" t="s">
        <v>34</v>
      </c>
      <c r="G14" s="21">
        <f>SUM(E9:E12)</f>
        <v>43.866250000000001</v>
      </c>
    </row>
    <row r="15" spans="1:10" x14ac:dyDescent="0.2">
      <c r="J15" t="s">
        <v>71</v>
      </c>
    </row>
    <row r="16" spans="1:10" x14ac:dyDescent="0.2">
      <c r="J16" t="s">
        <v>72</v>
      </c>
    </row>
    <row r="17" spans="1:13" x14ac:dyDescent="0.2">
      <c r="I17" s="3"/>
    </row>
    <row r="20" spans="1:13" x14ac:dyDescent="0.2">
      <c r="J20">
        <f>54*6</f>
        <v>324</v>
      </c>
    </row>
    <row r="23" spans="1:13" x14ac:dyDescent="0.2">
      <c r="B23" t="s">
        <v>81</v>
      </c>
    </row>
    <row r="24" spans="1:13" x14ac:dyDescent="0.2">
      <c r="E24" t="s">
        <v>38</v>
      </c>
      <c r="F24" t="s">
        <v>39</v>
      </c>
      <c r="G24" t="s">
        <v>40</v>
      </c>
      <c r="L24" s="27" t="s">
        <v>41</v>
      </c>
      <c r="M24" s="27"/>
    </row>
    <row r="25" spans="1:13" x14ac:dyDescent="0.2">
      <c r="A25" s="9" t="s">
        <v>42</v>
      </c>
      <c r="B25" s="31" t="s">
        <v>80</v>
      </c>
      <c r="C25" t="s">
        <v>79</v>
      </c>
      <c r="D25" s="1">
        <v>473.33</v>
      </c>
      <c r="F25">
        <v>324</v>
      </c>
      <c r="G25" s="6">
        <f>F25-27</f>
        <v>297</v>
      </c>
      <c r="L25" t="s">
        <v>42</v>
      </c>
      <c r="M25" s="6">
        <v>27.142453808446451</v>
      </c>
    </row>
    <row r="26" spans="1:13" x14ac:dyDescent="0.2">
      <c r="A26" s="9"/>
      <c r="B26" s="31"/>
      <c r="C26" t="s">
        <v>30</v>
      </c>
      <c r="D26" s="1">
        <v>72.900000000000006</v>
      </c>
      <c r="G26" s="6"/>
      <c r="L26" t="s">
        <v>45</v>
      </c>
      <c r="M26" s="6">
        <v>25.900131975867261</v>
      </c>
    </row>
    <row r="27" spans="1:13" x14ac:dyDescent="0.2">
      <c r="A27" s="9"/>
      <c r="B27" s="19" t="s">
        <v>78</v>
      </c>
      <c r="C27" t="s">
        <v>77</v>
      </c>
      <c r="D27" s="1">
        <f>1.5+(2.5*54)</f>
        <v>136.5</v>
      </c>
      <c r="G27" s="6"/>
      <c r="L27" t="s">
        <v>47</v>
      </c>
      <c r="M27" s="6">
        <v>24.345621229260928</v>
      </c>
    </row>
    <row r="28" spans="1:13" x14ac:dyDescent="0.2">
      <c r="B28" t="s">
        <v>44</v>
      </c>
      <c r="C28" t="s">
        <v>28</v>
      </c>
      <c r="D28" s="1">
        <v>17.420000000000002</v>
      </c>
      <c r="L28" t="s">
        <v>48</v>
      </c>
      <c r="M28" s="6">
        <v>13.774498456790125</v>
      </c>
    </row>
    <row r="29" spans="1:13" x14ac:dyDescent="0.2">
      <c r="B29" s="28" t="s">
        <v>46</v>
      </c>
      <c r="C29" t="s">
        <v>32</v>
      </c>
      <c r="D29" s="1">
        <v>6.75</v>
      </c>
      <c r="L29" t="s">
        <v>49</v>
      </c>
      <c r="M29" s="6">
        <v>16.338734567901234</v>
      </c>
    </row>
    <row r="30" spans="1:13" x14ac:dyDescent="0.2">
      <c r="B30" s="28"/>
      <c r="C30" t="s">
        <v>33</v>
      </c>
      <c r="D30" s="1">
        <v>3.88</v>
      </c>
      <c r="E30" s="18">
        <f>SUM(D25:D30)</f>
        <v>710.78</v>
      </c>
      <c r="L30" t="s">
        <v>50</v>
      </c>
      <c r="M30" s="6">
        <v>17.242091049382715</v>
      </c>
    </row>
    <row r="31" spans="1:13" x14ac:dyDescent="0.2">
      <c r="D31" s="1"/>
      <c r="L31" t="s">
        <v>52</v>
      </c>
      <c r="M31" s="6">
        <v>11.168562874251498</v>
      </c>
    </row>
    <row r="32" spans="1:13" x14ac:dyDescent="0.2">
      <c r="A32" s="9" t="s">
        <v>45</v>
      </c>
      <c r="B32" t="s">
        <v>44</v>
      </c>
      <c r="C32" t="s">
        <v>28</v>
      </c>
      <c r="D32" s="1">
        <v>15.96</v>
      </c>
      <c r="F32" s="6">
        <f>G25</f>
        <v>297</v>
      </c>
      <c r="G32" s="6">
        <f>F32-M26</f>
        <v>271.09986802413272</v>
      </c>
      <c r="L32" t="s">
        <v>53</v>
      </c>
      <c r="M32" s="6">
        <v>14.788023952095806</v>
      </c>
    </row>
    <row r="33" spans="1:13" x14ac:dyDescent="0.2">
      <c r="B33" s="28" t="s">
        <v>51</v>
      </c>
      <c r="C33" t="s">
        <v>32</v>
      </c>
      <c r="D33" s="1">
        <v>6.75</v>
      </c>
      <c r="L33" t="s">
        <v>54</v>
      </c>
      <c r="M33" s="6">
        <v>18.322080838323352</v>
      </c>
    </row>
    <row r="34" spans="1:13" x14ac:dyDescent="0.2">
      <c r="B34" s="28"/>
      <c r="C34" t="s">
        <v>33</v>
      </c>
      <c r="D34" s="1">
        <v>3.74</v>
      </c>
      <c r="E34" s="3">
        <f>SUM(D32:D34)</f>
        <v>26.450000000000003</v>
      </c>
      <c r="L34" t="s">
        <v>55</v>
      </c>
      <c r="M34" s="6">
        <v>10.082543675751225</v>
      </c>
    </row>
    <row r="35" spans="1:13" x14ac:dyDescent="0.2">
      <c r="D35" s="1"/>
      <c r="L35" t="s">
        <v>57</v>
      </c>
      <c r="M35" s="6">
        <v>29.380677847658969</v>
      </c>
    </row>
    <row r="36" spans="1:13" x14ac:dyDescent="0.2">
      <c r="A36" s="9" t="s">
        <v>47</v>
      </c>
      <c r="B36" s="11" t="s">
        <v>44</v>
      </c>
      <c r="C36" s="11" t="s">
        <v>28</v>
      </c>
      <c r="D36" s="1">
        <v>14.57</v>
      </c>
      <c r="F36" s="6">
        <f>G32</f>
        <v>271.09986802413272</v>
      </c>
      <c r="G36" s="6">
        <f>F36-M27</f>
        <v>246.75424679487179</v>
      </c>
      <c r="L36" t="s">
        <v>58</v>
      </c>
      <c r="M36" s="6">
        <v>65.369336128581395</v>
      </c>
    </row>
    <row r="37" spans="1:13" x14ac:dyDescent="0.2">
      <c r="B37" s="26" t="s">
        <v>56</v>
      </c>
      <c r="C37" s="11" t="s">
        <v>32</v>
      </c>
      <c r="D37" s="1">
        <v>5.4</v>
      </c>
    </row>
    <row r="38" spans="1:13" x14ac:dyDescent="0.2">
      <c r="A38" s="9"/>
      <c r="B38" s="26"/>
      <c r="C38" s="11" t="s">
        <v>33</v>
      </c>
      <c r="D38" s="1">
        <v>3.45</v>
      </c>
      <c r="E38" s="3">
        <f>SUM(D36:D38)</f>
        <v>23.419999999999998</v>
      </c>
    </row>
    <row r="39" spans="1:13" x14ac:dyDescent="0.2">
      <c r="D39" s="1"/>
    </row>
    <row r="40" spans="1:13" ht="16" customHeight="1" x14ac:dyDescent="0.2">
      <c r="A40" s="9" t="s">
        <v>48</v>
      </c>
      <c r="B40" s="11" t="s">
        <v>44</v>
      </c>
      <c r="C40" s="11" t="s">
        <v>28</v>
      </c>
      <c r="D40" s="1">
        <v>13.28</v>
      </c>
      <c r="F40" s="6">
        <f>G36</f>
        <v>246.75424679487179</v>
      </c>
      <c r="G40" s="6">
        <f>F40-M28</f>
        <v>232.97974833808166</v>
      </c>
    </row>
    <row r="41" spans="1:13" x14ac:dyDescent="0.2">
      <c r="B41" s="26" t="s">
        <v>59</v>
      </c>
      <c r="C41" s="11" t="s">
        <v>32</v>
      </c>
      <c r="D41" s="1">
        <v>4.05</v>
      </c>
    </row>
    <row r="42" spans="1:13" x14ac:dyDescent="0.2">
      <c r="A42" s="9"/>
      <c r="B42" s="26"/>
      <c r="C42" s="11" t="s">
        <v>33</v>
      </c>
      <c r="D42" s="1">
        <v>2.0099999999999998</v>
      </c>
      <c r="E42" s="3">
        <f>SUM(D40:D42)</f>
        <v>19.339999999999996</v>
      </c>
    </row>
    <row r="43" spans="1:13" x14ac:dyDescent="0.2">
      <c r="D43" s="1"/>
    </row>
    <row r="44" spans="1:13" ht="16" customHeight="1" x14ac:dyDescent="0.2">
      <c r="A44" s="9" t="s">
        <v>49</v>
      </c>
      <c r="B44" s="11" t="s">
        <v>44</v>
      </c>
      <c r="C44" s="11" t="s">
        <v>28</v>
      </c>
      <c r="D44" s="1">
        <v>12.52</v>
      </c>
      <c r="F44" s="6">
        <f>G40</f>
        <v>232.97974833808166</v>
      </c>
      <c r="G44" s="6">
        <f>F44-M29</f>
        <v>216.64101377018042</v>
      </c>
    </row>
    <row r="45" spans="1:13" x14ac:dyDescent="0.2">
      <c r="B45" s="26" t="s">
        <v>60</v>
      </c>
      <c r="C45" s="11" t="s">
        <v>32</v>
      </c>
      <c r="D45" s="1">
        <v>4.05</v>
      </c>
    </row>
    <row r="46" spans="1:13" x14ac:dyDescent="0.2">
      <c r="A46" s="9"/>
      <c r="B46" s="26"/>
      <c r="C46" s="11" t="s">
        <v>33</v>
      </c>
      <c r="D46" s="1">
        <v>2.2999999999999998</v>
      </c>
      <c r="E46" s="3">
        <f>SUM(D44:D46)</f>
        <v>18.87</v>
      </c>
    </row>
    <row r="47" spans="1:13" ht="16" customHeight="1" x14ac:dyDescent="0.2">
      <c r="D47" s="1"/>
    </row>
    <row r="48" spans="1:13" x14ac:dyDescent="0.2">
      <c r="A48" s="9" t="s">
        <v>50</v>
      </c>
      <c r="B48" s="11" t="s">
        <v>44</v>
      </c>
      <c r="C48" s="11" t="s">
        <v>28</v>
      </c>
      <c r="D48" s="1">
        <v>11.66</v>
      </c>
      <c r="F48" s="6">
        <f>G44</f>
        <v>216.64101377018042</v>
      </c>
      <c r="G48" s="6">
        <f>F48-M30</f>
        <v>199.39892272079771</v>
      </c>
    </row>
    <row r="49" spans="1:7" x14ac:dyDescent="0.2">
      <c r="B49" s="26" t="s">
        <v>61</v>
      </c>
      <c r="C49" s="11" t="s">
        <v>32</v>
      </c>
      <c r="D49" s="1">
        <v>4.05</v>
      </c>
    </row>
    <row r="50" spans="1:7" x14ac:dyDescent="0.2">
      <c r="A50" s="9"/>
      <c r="B50" s="26"/>
      <c r="C50" s="11" t="s">
        <v>33</v>
      </c>
      <c r="D50" s="1">
        <v>2.44</v>
      </c>
      <c r="E50" s="3">
        <f>SUM(D48:D50)</f>
        <v>18.150000000000002</v>
      </c>
    </row>
    <row r="51" spans="1:7" ht="16" customHeight="1" x14ac:dyDescent="0.2">
      <c r="D51" s="1"/>
    </row>
    <row r="52" spans="1:7" x14ac:dyDescent="0.2">
      <c r="A52" s="9" t="s">
        <v>52</v>
      </c>
      <c r="B52" s="11" t="s">
        <v>44</v>
      </c>
      <c r="C52" s="11" t="s">
        <v>28</v>
      </c>
      <c r="D52" s="1">
        <v>10.7</v>
      </c>
      <c r="F52" s="6">
        <f>G48</f>
        <v>199.39892272079771</v>
      </c>
      <c r="G52" s="6">
        <f>F52-M31</f>
        <v>188.23035984654621</v>
      </c>
    </row>
    <row r="53" spans="1:7" x14ac:dyDescent="0.2">
      <c r="B53" s="26" t="s">
        <v>62</v>
      </c>
      <c r="C53" s="11" t="s">
        <v>32</v>
      </c>
      <c r="D53" s="1">
        <v>2.7</v>
      </c>
    </row>
    <row r="54" spans="1:7" x14ac:dyDescent="0.2">
      <c r="A54" s="9"/>
      <c r="B54" s="26"/>
      <c r="C54" s="11" t="s">
        <v>33</v>
      </c>
      <c r="D54" s="1">
        <v>1.58</v>
      </c>
      <c r="E54" s="3">
        <f>SUM(D52:D54)</f>
        <v>14.979999999999999</v>
      </c>
    </row>
    <row r="55" spans="1:7" x14ac:dyDescent="0.2">
      <c r="A55" s="9"/>
      <c r="D55" s="1"/>
    </row>
    <row r="56" spans="1:7" x14ac:dyDescent="0.2">
      <c r="A56" s="9" t="s">
        <v>53</v>
      </c>
      <c r="B56" s="11" t="s">
        <v>44</v>
      </c>
      <c r="C56" s="11" t="s">
        <v>28</v>
      </c>
      <c r="D56" s="1">
        <v>10.11</v>
      </c>
      <c r="F56" s="6">
        <f>G52</f>
        <v>188.23035984654621</v>
      </c>
      <c r="G56" s="6">
        <f>F56-M32</f>
        <v>173.44233589445039</v>
      </c>
    </row>
    <row r="57" spans="1:7" x14ac:dyDescent="0.2">
      <c r="B57" s="26" t="s">
        <v>63</v>
      </c>
      <c r="C57" s="11" t="s">
        <v>32</v>
      </c>
      <c r="D57" s="1">
        <v>4.05</v>
      </c>
    </row>
    <row r="58" spans="1:7" x14ac:dyDescent="0.2">
      <c r="A58" s="9"/>
      <c r="B58" s="26"/>
      <c r="C58" s="11" t="s">
        <v>33</v>
      </c>
      <c r="D58" s="1">
        <v>2.16</v>
      </c>
      <c r="E58" s="3">
        <f>SUM(D56:D58)</f>
        <v>16.32</v>
      </c>
    </row>
    <row r="59" spans="1:7" x14ac:dyDescent="0.2">
      <c r="A59" s="9"/>
      <c r="D59" s="1"/>
    </row>
    <row r="60" spans="1:7" x14ac:dyDescent="0.2">
      <c r="A60" s="9" t="s">
        <v>54</v>
      </c>
      <c r="B60" s="11" t="s">
        <v>44</v>
      </c>
      <c r="C60" s="11" t="s">
        <v>28</v>
      </c>
      <c r="D60" s="1">
        <v>9.3000000000000007</v>
      </c>
      <c r="F60" s="6">
        <f>G56</f>
        <v>173.44233589445039</v>
      </c>
      <c r="G60" s="6">
        <f>F60-M33</f>
        <v>155.12025505612704</v>
      </c>
    </row>
    <row r="61" spans="1:7" x14ac:dyDescent="0.2">
      <c r="B61" s="26" t="s">
        <v>64</v>
      </c>
      <c r="C61" s="11" t="s">
        <v>32</v>
      </c>
      <c r="D61" s="1">
        <v>4.05</v>
      </c>
    </row>
    <row r="62" spans="1:7" x14ac:dyDescent="0.2">
      <c r="A62" s="9"/>
      <c r="B62" s="26"/>
      <c r="C62" s="11" t="s">
        <v>33</v>
      </c>
      <c r="D62" s="1">
        <v>2.59</v>
      </c>
      <c r="E62" s="3">
        <f>SUM(D60:D62)</f>
        <v>15.940000000000001</v>
      </c>
    </row>
    <row r="63" spans="1:7" x14ac:dyDescent="0.2">
      <c r="D63" s="1"/>
    </row>
    <row r="64" spans="1:7" x14ac:dyDescent="0.2">
      <c r="A64" s="9" t="s">
        <v>55</v>
      </c>
      <c r="B64" s="11" t="s">
        <v>44</v>
      </c>
      <c r="C64" s="11" t="s">
        <v>28</v>
      </c>
      <c r="D64" s="1">
        <v>8.33</v>
      </c>
      <c r="F64" s="6">
        <f>G60</f>
        <v>155.12025505612704</v>
      </c>
      <c r="G64" s="6">
        <f>F64-M34</f>
        <v>145.03771138037581</v>
      </c>
    </row>
    <row r="65" spans="1:7" x14ac:dyDescent="0.2">
      <c r="B65" s="26" t="s">
        <v>65</v>
      </c>
      <c r="C65" s="11" t="s">
        <v>32</v>
      </c>
      <c r="D65" s="1">
        <v>2.7</v>
      </c>
    </row>
    <row r="66" spans="1:7" x14ac:dyDescent="0.2">
      <c r="A66" s="9"/>
      <c r="B66" s="26"/>
      <c r="C66" s="11" t="s">
        <v>33</v>
      </c>
      <c r="D66" s="1">
        <v>1.44</v>
      </c>
      <c r="E66" s="3">
        <f>SUM(D64:D66)</f>
        <v>12.47</v>
      </c>
    </row>
    <row r="67" spans="1:7" x14ac:dyDescent="0.2">
      <c r="D67" s="1"/>
    </row>
    <row r="68" spans="1:7" x14ac:dyDescent="0.2">
      <c r="A68" s="9" t="s">
        <v>57</v>
      </c>
      <c r="B68" s="11" t="s">
        <v>44</v>
      </c>
      <c r="C68" s="11" t="s">
        <v>28</v>
      </c>
      <c r="D68" s="1">
        <v>7.79</v>
      </c>
      <c r="F68" s="6">
        <f>G64</f>
        <v>145.03771138037581</v>
      </c>
      <c r="G68" s="6">
        <f>F68-M35</f>
        <v>115.65703353271684</v>
      </c>
    </row>
    <row r="69" spans="1:7" x14ac:dyDescent="0.2">
      <c r="B69" s="26" t="s">
        <v>66</v>
      </c>
      <c r="C69" s="11" t="s">
        <v>32</v>
      </c>
      <c r="D69" s="1">
        <v>6.75</v>
      </c>
    </row>
    <row r="70" spans="1:7" x14ac:dyDescent="0.2">
      <c r="A70" s="9"/>
      <c r="B70" s="26"/>
      <c r="C70" s="11" t="s">
        <v>33</v>
      </c>
      <c r="D70" s="1">
        <v>4.17</v>
      </c>
      <c r="E70" s="3">
        <f>SUM(D68:D70)</f>
        <v>18.71</v>
      </c>
    </row>
    <row r="71" spans="1:7" x14ac:dyDescent="0.2">
      <c r="D71" s="1"/>
    </row>
    <row r="72" spans="1:7" x14ac:dyDescent="0.2">
      <c r="A72" s="9" t="s">
        <v>58</v>
      </c>
      <c r="B72" s="11" t="s">
        <v>44</v>
      </c>
      <c r="C72" s="11" t="s">
        <v>28</v>
      </c>
      <c r="D72" s="1">
        <v>6.24</v>
      </c>
      <c r="F72" s="6">
        <f>G68</f>
        <v>115.65703353271684</v>
      </c>
      <c r="G72" s="6">
        <f>F72-M36</f>
        <v>50.287697404135443</v>
      </c>
    </row>
    <row r="73" spans="1:7" x14ac:dyDescent="0.2">
      <c r="B73" s="26" t="s">
        <v>67</v>
      </c>
      <c r="C73" s="11" t="s">
        <v>32</v>
      </c>
      <c r="D73" s="1">
        <v>14.85</v>
      </c>
    </row>
    <row r="74" spans="1:7" x14ac:dyDescent="0.2">
      <c r="A74" s="9"/>
      <c r="B74" s="26"/>
      <c r="C74" s="11" t="s">
        <v>33</v>
      </c>
      <c r="D74" s="1">
        <v>9.34</v>
      </c>
      <c r="E74" s="3">
        <f>SUM(D72:D74)</f>
        <v>30.43</v>
      </c>
    </row>
    <row r="75" spans="1:7" x14ac:dyDescent="0.2">
      <c r="D75" s="1"/>
    </row>
    <row r="76" spans="1:7" x14ac:dyDescent="0.2">
      <c r="D76" s="1"/>
    </row>
    <row r="77" spans="1:7" x14ac:dyDescent="0.2">
      <c r="D77" s="12" t="s">
        <v>76</v>
      </c>
      <c r="E77" s="13">
        <f>SUM(E30:E74)</f>
        <v>925.86000000000013</v>
      </c>
    </row>
    <row r="78" spans="1:7" x14ac:dyDescent="0.2">
      <c r="D78" s="17"/>
      <c r="E78" s="17"/>
      <c r="F78" s="3"/>
    </row>
    <row r="79" spans="1:7" x14ac:dyDescent="0.2">
      <c r="D79" s="16" t="s">
        <v>75</v>
      </c>
      <c r="F79" s="16">
        <f>26.75*10*12</f>
        <v>3210</v>
      </c>
    </row>
    <row r="80" spans="1:7" x14ac:dyDescent="0.2">
      <c r="D80" s="30"/>
      <c r="E80" s="30"/>
    </row>
    <row r="81" spans="4:7" x14ac:dyDescent="0.2">
      <c r="D81" s="1" t="s">
        <v>74</v>
      </c>
      <c r="G81" s="3">
        <f>F79+E77</f>
        <v>4135.8600000000006</v>
      </c>
    </row>
    <row r="82" spans="4:7" x14ac:dyDescent="0.2">
      <c r="D82" s="1" t="s">
        <v>73</v>
      </c>
      <c r="G82" s="1">
        <f>26.75*11*12</f>
        <v>3531</v>
      </c>
    </row>
    <row r="83" spans="4:7" x14ac:dyDescent="0.2">
      <c r="D83" s="1"/>
    </row>
    <row r="84" spans="4:7" x14ac:dyDescent="0.2">
      <c r="D84" s="1"/>
    </row>
    <row r="85" spans="4:7" x14ac:dyDescent="0.2">
      <c r="D85" s="1"/>
    </row>
    <row r="86" spans="4:7" x14ac:dyDescent="0.2">
      <c r="D86" s="1"/>
    </row>
    <row r="87" spans="4:7" x14ac:dyDescent="0.2">
      <c r="D87" s="1"/>
    </row>
    <row r="88" spans="4:7" x14ac:dyDescent="0.2">
      <c r="D88" s="1"/>
    </row>
    <row r="89" spans="4:7" x14ac:dyDescent="0.2">
      <c r="D89" s="1"/>
    </row>
    <row r="90" spans="4:7" x14ac:dyDescent="0.2">
      <c r="D90" s="1"/>
    </row>
    <row r="91" spans="4:7" x14ac:dyDescent="0.2">
      <c r="D91" s="1"/>
    </row>
    <row r="92" spans="4:7" x14ac:dyDescent="0.2">
      <c r="D92" s="1"/>
    </row>
    <row r="93" spans="4:7" x14ac:dyDescent="0.2">
      <c r="D93" s="1"/>
    </row>
    <row r="94" spans="4:7" x14ac:dyDescent="0.2">
      <c r="D94" s="1"/>
    </row>
    <row r="95" spans="4:7" x14ac:dyDescent="0.2">
      <c r="D95" s="1"/>
    </row>
    <row r="96" spans="4:7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</sheetData>
  <mergeCells count="15">
    <mergeCell ref="L24:M24"/>
    <mergeCell ref="B29:B30"/>
    <mergeCell ref="B33:B34"/>
    <mergeCell ref="B37:B38"/>
    <mergeCell ref="B41:B42"/>
    <mergeCell ref="B45:B46"/>
    <mergeCell ref="B73:B74"/>
    <mergeCell ref="D80:E80"/>
    <mergeCell ref="B25:B26"/>
    <mergeCell ref="B49:B50"/>
    <mergeCell ref="B53:B54"/>
    <mergeCell ref="B57:B58"/>
    <mergeCell ref="B61:B62"/>
    <mergeCell ref="B65:B66"/>
    <mergeCell ref="B69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 Options</vt:lpstr>
      <vt:lpstr>AWD 1 yr out projections</vt:lpstr>
      <vt:lpstr>AWD (1 pallet) + Nevada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Noreen Pierce</dc:creator>
  <cp:lastModifiedBy>Madison Noreen Pierce</cp:lastModifiedBy>
  <dcterms:created xsi:type="dcterms:W3CDTF">2025-04-13T16:54:21Z</dcterms:created>
  <dcterms:modified xsi:type="dcterms:W3CDTF">2025-04-15T19:38:43Z</dcterms:modified>
</cp:coreProperties>
</file>