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disonpierce/AYNIW/"/>
    </mc:Choice>
  </mc:AlternateContent>
  <xr:revisionPtr revIDLastSave="0" documentId="13_ncr:1_{123D1F05-9DEF-DB4A-B831-4B138160059F}" xr6:coauthVersionLast="47" xr6:coauthVersionMax="47" xr10:uidLastSave="{00000000-0000-0000-0000-000000000000}"/>
  <bookViews>
    <workbookView xWindow="0" yWindow="760" windowWidth="29400" windowHeight="17260" firstSheet="5" activeTab="14" xr2:uid="{0C3B7BE3-EDEE-1D4E-9A28-716245EDCF68}"/>
  </bookViews>
  <sheets>
    <sheet name="Past Sales" sheetId="13" r:id="rId1"/>
    <sheet name="23 v 24 Sales" sheetId="1" r:id="rId2"/>
    <sheet name="Minitab Results" sheetId="10" r:id="rId3"/>
    <sheet name="Inventory + Shipping Fees" sheetId="6" r:id="rId4"/>
    <sheet name="Storage Options" sheetId="14" r:id="rId5"/>
    <sheet name="AWD 1 yr out projections" sheetId="16" r:id="rId6"/>
    <sheet name="AWD (1 pallet) + Nevada" sheetId="19" r:id="rId7"/>
    <sheet name="Forecasting" sheetId="2" r:id="rId8"/>
    <sheet name="Yearly Multi-echelon Model" sheetId="3" r:id="rId9"/>
    <sheet name="Model Jan-Mar" sheetId="5" r:id="rId10"/>
    <sheet name="Model April-June" sheetId="7" r:id="rId11"/>
    <sheet name="Model July-Sept" sheetId="8" r:id="rId12"/>
    <sheet name="Model Oct-Dec" sheetId="9" r:id="rId13"/>
    <sheet name="DRP" sheetId="11" r:id="rId14"/>
    <sheet name="Model" sheetId="1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2" l="1"/>
  <c r="H7" i="12"/>
  <c r="C26" i="6"/>
  <c r="D28" i="6"/>
  <c r="D21" i="5"/>
  <c r="C24" i="6"/>
  <c r="Z39" i="14"/>
  <c r="C23" i="6"/>
  <c r="P5" i="5"/>
  <c r="P4" i="5"/>
  <c r="G85" i="19" l="1"/>
  <c r="G82" i="19"/>
  <c r="F79" i="19"/>
  <c r="E74" i="19"/>
  <c r="E70" i="19"/>
  <c r="E66" i="19"/>
  <c r="E62" i="19"/>
  <c r="E58" i="19"/>
  <c r="E54" i="19"/>
  <c r="E50" i="19"/>
  <c r="E46" i="19"/>
  <c r="E42" i="19"/>
  <c r="E38" i="19"/>
  <c r="E34" i="19"/>
  <c r="D27" i="19"/>
  <c r="E30" i="19" s="1"/>
  <c r="E77" i="19" s="1"/>
  <c r="G25" i="19"/>
  <c r="F32" i="19" s="1"/>
  <c r="G32" i="19" s="1"/>
  <c r="F36" i="19" s="1"/>
  <c r="G36" i="19" s="1"/>
  <c r="F40" i="19" s="1"/>
  <c r="G40" i="19" s="1"/>
  <c r="F44" i="19" s="1"/>
  <c r="G44" i="19" s="1"/>
  <c r="F48" i="19" s="1"/>
  <c r="G48" i="19" s="1"/>
  <c r="F52" i="19" s="1"/>
  <c r="G52" i="19" s="1"/>
  <c r="F56" i="19" s="1"/>
  <c r="G56" i="19" s="1"/>
  <c r="F60" i="19" s="1"/>
  <c r="G60" i="19" s="1"/>
  <c r="F64" i="19" s="1"/>
  <c r="G64" i="19" s="1"/>
  <c r="F68" i="19" s="1"/>
  <c r="G68" i="19" s="1"/>
  <c r="F72" i="19" s="1"/>
  <c r="G72" i="19" s="1"/>
  <c r="J20" i="19"/>
  <c r="E10" i="19"/>
  <c r="H6" i="19"/>
  <c r="E11" i="19" s="1"/>
  <c r="G6" i="19"/>
  <c r="E12" i="19" s="1"/>
  <c r="F6" i="19"/>
  <c r="H5" i="19"/>
  <c r="F5" i="19"/>
  <c r="G5" i="19" s="1"/>
  <c r="E9" i="19" s="1"/>
  <c r="G14" i="19" s="1"/>
  <c r="G81" i="19" l="1"/>
  <c r="S4" i="7" l="1"/>
  <c r="B5" i="12"/>
  <c r="B13" i="12"/>
  <c r="B12" i="12"/>
  <c r="B11" i="12"/>
  <c r="B10" i="12"/>
  <c r="B9" i="12"/>
  <c r="B8" i="12"/>
  <c r="B7" i="12"/>
  <c r="B6" i="12"/>
  <c r="B4" i="12"/>
  <c r="B3" i="12"/>
  <c r="B2" i="12"/>
  <c r="G3" i="12"/>
  <c r="G4" i="12"/>
  <c r="G5" i="12"/>
  <c r="G6" i="12"/>
  <c r="G7" i="12"/>
  <c r="G8" i="12"/>
  <c r="G9" i="12"/>
  <c r="G10" i="12"/>
  <c r="G11" i="12"/>
  <c r="G12" i="12"/>
  <c r="G13" i="12"/>
  <c r="G2" i="12"/>
  <c r="B6" i="11"/>
  <c r="P6" i="5"/>
  <c r="P4" i="7"/>
  <c r="U13" i="14"/>
  <c r="F76" i="16"/>
  <c r="E76" i="16"/>
  <c r="E5" i="16"/>
  <c r="G70" i="16"/>
  <c r="E72" i="16"/>
  <c r="F70" i="16"/>
  <c r="G66" i="16"/>
  <c r="E68" i="16"/>
  <c r="F66" i="16"/>
  <c r="G62" i="16"/>
  <c r="F62" i="16"/>
  <c r="E64" i="16"/>
  <c r="G58" i="16"/>
  <c r="F58" i="16"/>
  <c r="E60" i="16"/>
  <c r="G54" i="16"/>
  <c r="E56" i="16"/>
  <c r="F54" i="16"/>
  <c r="G50" i="16"/>
  <c r="F50" i="16"/>
  <c r="E52" i="16"/>
  <c r="G46" i="16"/>
  <c r="F46" i="16"/>
  <c r="E48" i="16"/>
  <c r="G42" i="16"/>
  <c r="F42" i="16"/>
  <c r="E44" i="16"/>
  <c r="G34" i="16"/>
  <c r="G38" i="16"/>
  <c r="F38" i="16"/>
  <c r="F34" i="16"/>
  <c r="G30" i="16"/>
  <c r="G25" i="16"/>
  <c r="F30" i="16"/>
  <c r="E40" i="16"/>
  <c r="E36" i="16"/>
  <c r="E32" i="16"/>
  <c r="E28" i="16"/>
  <c r="E75" i="16" s="1"/>
  <c r="H5" i="16"/>
  <c r="E10" i="16" s="1"/>
  <c r="H6" i="16"/>
  <c r="E11" i="16" s="1"/>
  <c r="F6" i="16"/>
  <c r="G6" i="16" s="1"/>
  <c r="E12" i="16" s="1"/>
  <c r="F5" i="16"/>
  <c r="G5" i="16" s="1"/>
  <c r="E9" i="16" s="1"/>
  <c r="Z29" i="14"/>
  <c r="Z28" i="14"/>
  <c r="AC25" i="14"/>
  <c r="Z30" i="14" s="1"/>
  <c r="AA25" i="14"/>
  <c r="AB25" i="14" s="1"/>
  <c r="Z31" i="14" s="1"/>
  <c r="AC24" i="14"/>
  <c r="AA24" i="14"/>
  <c r="AB24" i="14" s="1"/>
  <c r="B2" i="11"/>
  <c r="N16" i="14"/>
  <c r="N17" i="14"/>
  <c r="N15" i="14"/>
  <c r="N14" i="14"/>
  <c r="M14" i="14"/>
  <c r="M17" i="14"/>
  <c r="M16" i="14"/>
  <c r="G14" i="16" l="1"/>
  <c r="Z40" i="14"/>
  <c r="AB33" i="14"/>
  <c r="Z37" i="14"/>
  <c r="AB42" i="14" l="1"/>
  <c r="AD36" i="14" s="1"/>
  <c r="U8" i="14"/>
  <c r="O9" i="14"/>
  <c r="O8" i="14"/>
  <c r="M15" i="14"/>
  <c r="U9" i="14"/>
  <c r="C29" i="11"/>
  <c r="P5" i="9"/>
  <c r="P4" i="9"/>
  <c r="P6" i="9"/>
  <c r="Q9" i="9"/>
  <c r="Q4" i="9" s="1"/>
  <c r="R4" i="9" s="1"/>
  <c r="S4" i="9" s="1"/>
  <c r="P4" i="8"/>
  <c r="P5" i="8"/>
  <c r="P6" i="8"/>
  <c r="P5" i="7"/>
  <c r="P6" i="7"/>
  <c r="O7" i="14"/>
  <c r="O6" i="14"/>
  <c r="F16" i="9" l="1"/>
  <c r="F16" i="8"/>
  <c r="F16" i="7"/>
  <c r="F16" i="5"/>
  <c r="I2" i="6"/>
  <c r="J2" i="6"/>
  <c r="P5" i="1"/>
  <c r="D22" i="3" l="1"/>
  <c r="D22" i="9" s="1"/>
  <c r="F17" i="6"/>
  <c r="H3" i="6"/>
  <c r="C14" i="6"/>
  <c r="B14" i="6"/>
  <c r="H12" i="6"/>
  <c r="I12" i="6"/>
  <c r="H18" i="2"/>
  <c r="H13" i="11"/>
  <c r="H8" i="2"/>
  <c r="H9" i="2"/>
  <c r="H10" i="2"/>
  <c r="H11" i="2"/>
  <c r="H6" i="11" s="1"/>
  <c r="H12" i="2"/>
  <c r="H13" i="2"/>
  <c r="H8" i="11" s="1"/>
  <c r="H14" i="2"/>
  <c r="H9" i="11" s="1"/>
  <c r="H15" i="2"/>
  <c r="H16" i="2"/>
  <c r="H17" i="2"/>
  <c r="H7" i="2"/>
  <c r="C27" i="11"/>
  <c r="D20" i="9"/>
  <c r="D20" i="8"/>
  <c r="D20" i="7"/>
  <c r="D20" i="5"/>
  <c r="D18" i="9"/>
  <c r="K18" i="9"/>
  <c r="K17" i="9"/>
  <c r="K16" i="9"/>
  <c r="D18" i="8"/>
  <c r="K18" i="8"/>
  <c r="K17" i="8"/>
  <c r="K16" i="8"/>
  <c r="D18" i="7"/>
  <c r="K18" i="7"/>
  <c r="K17" i="7"/>
  <c r="K16" i="7"/>
  <c r="K14" i="7"/>
  <c r="K15" i="5"/>
  <c r="K11" i="5"/>
  <c r="D2" i="12"/>
  <c r="D3" i="12"/>
  <c r="D4" i="12"/>
  <c r="D5" i="12"/>
  <c r="D6" i="12"/>
  <c r="D7" i="12"/>
  <c r="D8" i="12"/>
  <c r="D9" i="12"/>
  <c r="D10" i="12"/>
  <c r="D11" i="12"/>
  <c r="D12" i="12"/>
  <c r="D13" i="12"/>
  <c r="B4" i="11"/>
  <c r="H2" i="11"/>
  <c r="O5" i="9"/>
  <c r="O6" i="9"/>
  <c r="O4" i="9"/>
  <c r="N5" i="9"/>
  <c r="N6" i="9"/>
  <c r="N4" i="9"/>
  <c r="M5" i="9"/>
  <c r="M6" i="9"/>
  <c r="M4" i="9"/>
  <c r="Q9" i="8"/>
  <c r="Q4" i="8" s="1"/>
  <c r="R4" i="8" s="1"/>
  <c r="S4" i="8" s="1"/>
  <c r="O5" i="8"/>
  <c r="O6" i="8"/>
  <c r="O4" i="8"/>
  <c r="M5" i="8"/>
  <c r="M6" i="8"/>
  <c r="M4" i="8"/>
  <c r="Q9" i="7"/>
  <c r="D17" i="7" s="1"/>
  <c r="O5" i="7"/>
  <c r="O6" i="7"/>
  <c r="O4" i="7"/>
  <c r="N5" i="7"/>
  <c r="N6" i="7"/>
  <c r="N4" i="7"/>
  <c r="M5" i="7"/>
  <c r="M6" i="7"/>
  <c r="M4" i="7"/>
  <c r="C28" i="11"/>
  <c r="O5" i="5"/>
  <c r="O6" i="5"/>
  <c r="O4" i="5"/>
  <c r="N5" i="5"/>
  <c r="N6" i="5"/>
  <c r="N4" i="5"/>
  <c r="M5" i="5"/>
  <c r="M6" i="5"/>
  <c r="M4" i="5"/>
  <c r="K13" i="5" s="1"/>
  <c r="M2" i="11"/>
  <c r="H3" i="11"/>
  <c r="H4" i="11"/>
  <c r="H5" i="11"/>
  <c r="H7" i="11"/>
  <c r="H10" i="11"/>
  <c r="H11" i="11"/>
  <c r="H12" i="11"/>
  <c r="D20" i="3" l="1"/>
  <c r="K14" i="5"/>
  <c r="D18" i="5"/>
  <c r="S9" i="5"/>
  <c r="L2" i="11"/>
  <c r="L13" i="11"/>
  <c r="N13" i="11" s="1"/>
  <c r="L8" i="11"/>
  <c r="D22" i="8"/>
  <c r="D22" i="5"/>
  <c r="D22" i="7"/>
  <c r="H20" i="2"/>
  <c r="C28" i="2" s="1"/>
  <c r="D17" i="8"/>
  <c r="L10" i="11"/>
  <c r="L9" i="11"/>
  <c r="N2" i="11"/>
  <c r="L12" i="11"/>
  <c r="L4" i="11"/>
  <c r="N4" i="11" s="1"/>
  <c r="L7" i="11"/>
  <c r="L6" i="11"/>
  <c r="L11" i="11"/>
  <c r="L3" i="11"/>
  <c r="N3" i="11" s="1"/>
  <c r="L5" i="11"/>
  <c r="N5" i="11" s="1"/>
  <c r="H2" i="6"/>
  <c r="G2" i="6"/>
  <c r="J8" i="6"/>
  <c r="D18" i="3"/>
  <c r="K15" i="9"/>
  <c r="K14" i="9"/>
  <c r="K15" i="8"/>
  <c r="K14" i="8"/>
  <c r="K15" i="7"/>
  <c r="K12" i="5"/>
  <c r="J14" i="6"/>
  <c r="J3" i="6"/>
  <c r="J4" i="6"/>
  <c r="J5" i="6"/>
  <c r="J6" i="6"/>
  <c r="J7" i="6"/>
  <c r="J9" i="6"/>
  <c r="J10" i="6"/>
  <c r="J11" i="6"/>
  <c r="J12" i="6"/>
  <c r="H4" i="6"/>
  <c r="I14" i="6"/>
  <c r="I3" i="6"/>
  <c r="I4" i="6"/>
  <c r="I5" i="6"/>
  <c r="I6" i="6"/>
  <c r="I7" i="6"/>
  <c r="I8" i="6"/>
  <c r="I9" i="6"/>
  <c r="I10" i="6"/>
  <c r="I11" i="6"/>
  <c r="H14" i="6"/>
  <c r="G14" i="6"/>
  <c r="H5" i="6"/>
  <c r="H6" i="6"/>
  <c r="H7" i="6"/>
  <c r="H8" i="6"/>
  <c r="H9" i="6"/>
  <c r="H10" i="6"/>
  <c r="H11" i="6"/>
  <c r="G3" i="6"/>
  <c r="G4" i="6"/>
  <c r="G5" i="6"/>
  <c r="G6" i="6"/>
  <c r="G7" i="6"/>
  <c r="G8" i="6"/>
  <c r="G9" i="6"/>
  <c r="G10" i="6"/>
  <c r="G11" i="6"/>
  <c r="G12" i="6"/>
  <c r="F7" i="2"/>
  <c r="C30" i="2"/>
  <c r="D21" i="3" s="1"/>
  <c r="D15" i="3" s="1"/>
  <c r="F16" i="3"/>
  <c r="D17" i="3"/>
  <c r="G18" i="2"/>
  <c r="F18" i="2"/>
  <c r="E20" i="2"/>
  <c r="E17" i="2"/>
  <c r="C26" i="2"/>
  <c r="C25" i="2"/>
  <c r="K8" i="1"/>
  <c r="L8" i="1" s="1"/>
  <c r="L13" i="1" s="1"/>
  <c r="L5" i="1"/>
  <c r="M5" i="1"/>
  <c r="N5" i="1"/>
  <c r="C5" i="1"/>
  <c r="L9" i="1"/>
  <c r="S10" i="2"/>
  <c r="E7" i="2"/>
  <c r="S15" i="2"/>
  <c r="S14" i="2"/>
  <c r="S13" i="2"/>
  <c r="S12" i="2"/>
  <c r="S11" i="2"/>
  <c r="E8" i="2"/>
  <c r="E9" i="2"/>
  <c r="E10" i="2"/>
  <c r="E11" i="2"/>
  <c r="E12" i="2"/>
  <c r="E13" i="2"/>
  <c r="E14" i="2"/>
  <c r="E15" i="2"/>
  <c r="E16" i="2"/>
  <c r="E18" i="2"/>
  <c r="O11" i="1"/>
  <c r="M11" i="1"/>
  <c r="N11" i="1"/>
  <c r="L11" i="1"/>
  <c r="K9" i="1"/>
  <c r="M9" i="1" s="1"/>
  <c r="D5" i="1"/>
  <c r="E5" i="1"/>
  <c r="K10" i="1" s="1"/>
  <c r="F5" i="1"/>
  <c r="G5" i="1"/>
  <c r="H5" i="1"/>
  <c r="I5" i="1"/>
  <c r="J5" i="1"/>
  <c r="K5" i="1"/>
  <c r="D17" i="5" l="1"/>
  <c r="D14" i="5" s="1"/>
  <c r="E2" i="12" s="1"/>
  <c r="Q4" i="5"/>
  <c r="R4" i="5" s="1"/>
  <c r="S4" i="5" s="1"/>
  <c r="S17" i="2"/>
  <c r="T11" i="2" s="1"/>
  <c r="U11" i="2" s="1"/>
  <c r="J4" i="11"/>
  <c r="K4" i="11" s="1"/>
  <c r="J12" i="11"/>
  <c r="J8" i="11"/>
  <c r="J11" i="11"/>
  <c r="J5" i="11"/>
  <c r="J13" i="11"/>
  <c r="J7" i="11"/>
  <c r="J9" i="11"/>
  <c r="J10" i="11"/>
  <c r="J6" i="11"/>
  <c r="J2" i="11"/>
  <c r="K2" i="11" s="1"/>
  <c r="J3" i="11"/>
  <c r="N6" i="11"/>
  <c r="N7" i="11" s="1"/>
  <c r="N8" i="11" s="1"/>
  <c r="N9" i="11" s="1"/>
  <c r="N10" i="11" s="1"/>
  <c r="N11" i="11" s="1"/>
  <c r="N12" i="11" s="1"/>
  <c r="M6" i="11"/>
  <c r="M11" i="11"/>
  <c r="M13" i="11"/>
  <c r="M7" i="11"/>
  <c r="M9" i="11"/>
  <c r="M8" i="11"/>
  <c r="K8" i="11" s="1"/>
  <c r="M10" i="11"/>
  <c r="K10" i="11" s="1"/>
  <c r="M3" i="11"/>
  <c r="M5" i="11"/>
  <c r="M4" i="11"/>
  <c r="M12" i="11"/>
  <c r="D14" i="3"/>
  <c r="D17" i="9"/>
  <c r="D14" i="9" s="1"/>
  <c r="D14" i="8"/>
  <c r="D14" i="7"/>
  <c r="G7" i="2"/>
  <c r="N10" i="1"/>
  <c r="M10" i="1"/>
  <c r="L10" i="1"/>
  <c r="O10" i="1" s="1"/>
  <c r="N8" i="1"/>
  <c r="N13" i="1" s="1"/>
  <c r="M8" i="1"/>
  <c r="N9" i="1"/>
  <c r="O9" i="1"/>
  <c r="K3" i="11" l="1"/>
  <c r="K5" i="11"/>
  <c r="K12" i="11"/>
  <c r="K6" i="11"/>
  <c r="T14" i="2"/>
  <c r="U14" i="2" s="1"/>
  <c r="T15" i="2"/>
  <c r="U15" i="2" s="1"/>
  <c r="T12" i="2"/>
  <c r="U12" i="2" s="1"/>
  <c r="T10" i="2"/>
  <c r="U10" i="2" s="1"/>
  <c r="T13" i="2"/>
  <c r="U13" i="2" s="1"/>
  <c r="K11" i="11"/>
  <c r="E11" i="12"/>
  <c r="E13" i="12"/>
  <c r="E12" i="12"/>
  <c r="E9" i="12"/>
  <c r="E10" i="12"/>
  <c r="E8" i="12"/>
  <c r="E7" i="12"/>
  <c r="E6" i="12"/>
  <c r="E5" i="12"/>
  <c r="E3" i="12"/>
  <c r="E4" i="12"/>
  <c r="K9" i="11"/>
  <c r="K7" i="11"/>
  <c r="K13" i="11"/>
  <c r="Q5" i="9"/>
  <c r="R5" i="9" s="1"/>
  <c r="Q6" i="9"/>
  <c r="R6" i="9" s="1"/>
  <c r="Q5" i="8"/>
  <c r="R5" i="8" s="1"/>
  <c r="Q6" i="8"/>
  <c r="R6" i="8" s="1"/>
  <c r="Q5" i="7"/>
  <c r="R5" i="7" s="1"/>
  <c r="Q6" i="7"/>
  <c r="R6" i="7" s="1"/>
  <c r="Q4" i="7"/>
  <c r="R4" i="7" s="1"/>
  <c r="Q5" i="5"/>
  <c r="R5" i="5" s="1"/>
  <c r="Q6" i="5"/>
  <c r="R6" i="5" s="1"/>
  <c r="S6" i="5" s="1"/>
  <c r="F15" i="2"/>
  <c r="G15" i="2" s="1"/>
  <c r="F10" i="2"/>
  <c r="G10" i="2" s="1"/>
  <c r="F12" i="2"/>
  <c r="G12" i="2" s="1"/>
  <c r="F9" i="2"/>
  <c r="G9" i="2" s="1"/>
  <c r="F11" i="2"/>
  <c r="G11" i="2" s="1"/>
  <c r="F17" i="2"/>
  <c r="G17" i="2" s="1"/>
  <c r="F13" i="2"/>
  <c r="G13" i="2" s="1"/>
  <c r="F14" i="2"/>
  <c r="G14" i="2" s="1"/>
  <c r="F16" i="2"/>
  <c r="G16" i="2" s="1"/>
  <c r="F8" i="2"/>
  <c r="G8" i="2" s="1"/>
  <c r="C27" i="2" s="1"/>
  <c r="O8" i="1"/>
  <c r="M13" i="1"/>
  <c r="O13" i="1" s="1"/>
  <c r="S6" i="9" l="1"/>
  <c r="S5" i="9"/>
  <c r="S9" i="9" s="1"/>
  <c r="K20" i="9" s="1"/>
  <c r="D21" i="9" s="1"/>
  <c r="S5" i="8"/>
  <c r="S6" i="8"/>
  <c r="S6" i="7"/>
  <c r="S5" i="7"/>
  <c r="S5" i="5"/>
  <c r="U17" i="2"/>
  <c r="K16" i="5"/>
  <c r="K19" i="9"/>
  <c r="K19" i="8"/>
  <c r="K19" i="7"/>
  <c r="U9" i="5" l="1"/>
  <c r="K17" i="5" s="1"/>
  <c r="D15" i="5" s="1"/>
  <c r="S9" i="8"/>
  <c r="K20" i="8" s="1"/>
  <c r="D21" i="8" s="1"/>
  <c r="S9" i="7"/>
  <c r="K20" i="7" s="1"/>
  <c r="D21" i="7" s="1"/>
  <c r="D15" i="8" l="1"/>
  <c r="D15" i="7"/>
  <c r="D15" i="9"/>
  <c r="F3" i="12"/>
  <c r="H3" i="12" s="1"/>
  <c r="F4" i="12"/>
  <c r="H4" i="12" s="1"/>
  <c r="F2" i="12"/>
  <c r="H2" i="12" s="1"/>
  <c r="F10" i="12" l="1"/>
  <c r="H10" i="12" s="1"/>
  <c r="F8" i="12"/>
  <c r="H8" i="12" s="1"/>
  <c r="F9" i="12"/>
  <c r="H9" i="12" s="1"/>
  <c r="F7" i="12"/>
  <c r="F6" i="12"/>
  <c r="H6" i="12" s="1"/>
  <c r="F5" i="12"/>
  <c r="H5" i="12" s="1"/>
  <c r="F11" i="12"/>
  <c r="H11" i="12" s="1"/>
  <c r="F13" i="12"/>
  <c r="H13" i="12" s="1"/>
  <c r="F12" i="12"/>
</calcChain>
</file>

<file path=xl/sharedStrings.xml><?xml version="1.0" encoding="utf-8"?>
<sst xmlns="http://schemas.openxmlformats.org/spreadsheetml/2006/main" count="743" uniqueCount="227">
  <si>
    <t>Decline rate</t>
  </si>
  <si>
    <t>Forecasted</t>
  </si>
  <si>
    <t>decline rate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</si>
  <si>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</si>
  <si>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</si>
  <si>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</si>
  <si>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</si>
  <si>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</si>
  <si>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</si>
  <si>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</si>
  <si>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</si>
  <si>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</si>
  <si>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</si>
  <si>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</si>
  <si>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</si>
  <si>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</si>
  <si>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</si>
  <si>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Sales 2023</t>
  </si>
  <si>
    <t>Sales 2024</t>
  </si>
  <si>
    <t>Seasonal factor</t>
  </si>
  <si>
    <t>Predicted Sales 2025</t>
  </si>
  <si>
    <t>total avg</t>
  </si>
  <si>
    <t>Annual Demand (D)</t>
  </si>
  <si>
    <t>Predicted 2025</t>
  </si>
  <si>
    <t>R</t>
  </si>
  <si>
    <t>L</t>
  </si>
  <si>
    <t>Q</t>
  </si>
  <si>
    <t>AVG</t>
  </si>
  <si>
    <t>z</t>
  </si>
  <si>
    <t>STD</t>
  </si>
  <si>
    <t>K</t>
  </si>
  <si>
    <t>D</t>
  </si>
  <si>
    <t>average demand at the retailer</t>
  </si>
  <si>
    <t>standard deviation of demand at the retailer</t>
  </si>
  <si>
    <t>order quantity</t>
  </si>
  <si>
    <t>cost of placing one order</t>
  </si>
  <si>
    <t>=1.88 at a service level of 97%</t>
  </si>
  <si>
    <t>annual demand</t>
  </si>
  <si>
    <t>echelon lead time, lead tie between the retailer and the distributor plus the lead time between the distributor and its supplier</t>
  </si>
  <si>
    <t>First 6 months</t>
  </si>
  <si>
    <t>Year</t>
  </si>
  <si>
    <t>Sales</t>
  </si>
  <si>
    <t>1 month from distributor to manufacturer</t>
  </si>
  <si>
    <t>1 week from manufacturer to Amazon</t>
  </si>
  <si>
    <t>h</t>
  </si>
  <si>
    <t>holding cost</t>
  </si>
  <si>
    <t>idk</t>
  </si>
  <si>
    <t>years</t>
  </si>
  <si>
    <t>('23,'24,redu '25)</t>
  </si>
  <si>
    <t>*need storage cost from Amazon</t>
  </si>
  <si>
    <t>units</t>
  </si>
  <si>
    <t>GENERAL</t>
  </si>
  <si>
    <t>Monthly inventory storage fee</t>
  </si>
  <si>
    <t>Aged inventory surcharge</t>
  </si>
  <si>
    <t>Inv &lt; 180</t>
  </si>
  <si>
    <t>Inv &gt;180 days (surcharge)</t>
  </si>
  <si>
    <t>WH Balance (?)</t>
  </si>
  <si>
    <t>Fee/Inv</t>
  </si>
  <si>
    <t>Extra/Inv</t>
  </si>
  <si>
    <t>Roughly $1 per unit</t>
  </si>
  <si>
    <t>monthly demand</t>
  </si>
  <si>
    <t>months</t>
  </si>
  <si>
    <t>**</t>
  </si>
  <si>
    <t>Avg</t>
  </si>
  <si>
    <t>Safety Stock</t>
  </si>
  <si>
    <t>lead time</t>
  </si>
  <si>
    <t>st dev of monthly demand</t>
  </si>
  <si>
    <t>SS</t>
  </si>
  <si>
    <t>service level (95%)</t>
  </si>
  <si>
    <t>Forecasted Demand</t>
  </si>
  <si>
    <t>Inventory on Hand</t>
  </si>
  <si>
    <t>Order Quantity</t>
  </si>
  <si>
    <t>Ending Inventory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</si>
  <si>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</si>
  <si>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</si>
  <si>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</si>
  <si>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</si>
  <si>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</si>
  <si>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</si>
  <si>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</si>
  <si>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</si>
  <si>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</si>
  <si>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</si>
  <si>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</si>
  <si>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Lead Time</t>
  </si>
  <si>
    <t>Reorder Point</t>
  </si>
  <si>
    <t>re-order level</t>
  </si>
  <si>
    <t>Reorder Level</t>
  </si>
  <si>
    <t>Jan - Mar '09</t>
  </si>
  <si>
    <t>Apr - Jun '09</t>
  </si>
  <si>
    <t>Jul - Sep '09</t>
  </si>
  <si>
    <t>Oct - Dec '09</t>
  </si>
  <si>
    <t>Jan - Mar '10</t>
  </si>
  <si>
    <t>Apr - Jun '10</t>
  </si>
  <si>
    <t>Jul - Sep '10</t>
  </si>
  <si>
    <t>Oct - Dec '10</t>
  </si>
  <si>
    <t>Jan - Mar '11</t>
  </si>
  <si>
    <t>Apr - Jun '11</t>
  </si>
  <si>
    <t>Jul - Sep '11</t>
  </si>
  <si>
    <t>Oct - Dec '11</t>
  </si>
  <si>
    <t>Jan - Mar '12</t>
  </si>
  <si>
    <t>Apr - Jun '12</t>
  </si>
  <si>
    <t>Jul - Sep '12</t>
  </si>
  <si>
    <t>Oct - Dec '12</t>
  </si>
  <si>
    <t>Jan - Mar '13</t>
  </si>
  <si>
    <t>Apr - Jun '13</t>
  </si>
  <si>
    <t>Jul - Sep '13</t>
  </si>
  <si>
    <t>Oct - Dec '13</t>
  </si>
  <si>
    <t>Jan - Mar '14</t>
  </si>
  <si>
    <t>Apr - Jun '14</t>
  </si>
  <si>
    <t>Jul - Sep '14</t>
  </si>
  <si>
    <t>Oct - Dec '14</t>
  </si>
  <si>
    <t>Jan - Mar '15</t>
  </si>
  <si>
    <t>Apr - Jun '15</t>
  </si>
  <si>
    <t>Jul - Sep '15</t>
  </si>
  <si>
    <t>Oct - Dec '15</t>
  </si>
  <si>
    <t>Jan - Mar '16</t>
  </si>
  <si>
    <t>Apr - Jun '16</t>
  </si>
  <si>
    <t>Jul - Sep '16</t>
  </si>
  <si>
    <t>Oct - Dec '16</t>
  </si>
  <si>
    <t>Jan - Mar '17</t>
  </si>
  <si>
    <t>Apr - Jun '17</t>
  </si>
  <si>
    <t>Jul - Sep '17</t>
  </si>
  <si>
    <t>Oct - Dec '17</t>
  </si>
  <si>
    <t>Jan - Mar '18</t>
  </si>
  <si>
    <t>Apr - Jun '18</t>
  </si>
  <si>
    <t>Jul - Sep '18</t>
  </si>
  <si>
    <t>Oct - Dec '18</t>
  </si>
  <si>
    <t>Jan - Mar '19</t>
  </si>
  <si>
    <t>Apr - Jun '19</t>
  </si>
  <si>
    <t>Jul - Sep '19</t>
  </si>
  <si>
    <t>Oct - Dec '19</t>
  </si>
  <si>
    <t>Jan - Mar '20</t>
  </si>
  <si>
    <t>Apr - Jun '20</t>
  </si>
  <si>
    <t>Jul - Sep '20</t>
  </si>
  <si>
    <t>Oct - Dec '20</t>
  </si>
  <si>
    <t>Jan - Mar '21</t>
  </si>
  <si>
    <t>Apr - Jun '21</t>
  </si>
  <si>
    <t>Jul - Sep '21</t>
  </si>
  <si>
    <t>Oct - Dec '21</t>
  </si>
  <si>
    <t>Jan - Mar '22</t>
  </si>
  <si>
    <t>Apr - Jun '22</t>
  </si>
  <si>
    <t>Jul - Sep '22</t>
  </si>
  <si>
    <t>Oct - Dec '22</t>
  </si>
  <si>
    <t>Jan - Mar '23</t>
  </si>
  <si>
    <t>Apr - Jun '23</t>
  </si>
  <si>
    <t>Jul - Sep '23</t>
  </si>
  <si>
    <t>Oct - Dec '23</t>
  </si>
  <si>
    <t>Qty</t>
  </si>
  <si>
    <t>*Use weighted average</t>
  </si>
  <si>
    <t>UPS Fee</t>
  </si>
  <si>
    <t>Nevada Pick</t>
  </si>
  <si>
    <t>Amazon Fee</t>
  </si>
  <si>
    <t>Shipping Costs</t>
  </si>
  <si>
    <t>Shipments area of portal</t>
  </si>
  <si>
    <t>Decrease 30%</t>
  </si>
  <si>
    <t>Decrease 30% 2025</t>
  </si>
  <si>
    <t>** multiply by i?</t>
  </si>
  <si>
    <t>Forecasted Sales</t>
  </si>
  <si>
    <t>Storage Fee per pallet per month</t>
  </si>
  <si>
    <t>Base Rate</t>
  </si>
  <si>
    <t>Transportation Fee per pallet per month</t>
  </si>
  <si>
    <t>*Only used 2022 - 2024</t>
  </si>
  <si>
    <t>Did not use this table</t>
  </si>
  <si>
    <t>Nevada</t>
  </si>
  <si>
    <t>UPS Fee - flat rate</t>
  </si>
  <si>
    <t>Amazon Fee for 15 boxes, 5 locations</t>
  </si>
  <si>
    <t>Nevada Process Fee for 15 boxes</t>
  </si>
  <si>
    <t>Assuming 6 layers</t>
  </si>
  <si>
    <t>*Pallet has 324 units</t>
  </si>
  <si>
    <t>Amazon</t>
  </si>
  <si>
    <t>Inbound Fee for 1 pallet, 324 boxes?</t>
  </si>
  <si>
    <t>Outbound Fee for 1 pallet, 324 boxes?</t>
  </si>
  <si>
    <t>Taking out the UPS Fee, they are about equal.</t>
  </si>
  <si>
    <t>(If my assumptions are correct)</t>
  </si>
  <si>
    <t>*</t>
  </si>
  <si>
    <t>Box: box of 6</t>
  </si>
  <si>
    <t>Everything should be per "box"</t>
  </si>
  <si>
    <t>* ???</t>
  </si>
  <si>
    <t>I believe you quality for Smart Storage rate</t>
  </si>
  <si>
    <t>AWD auto-replenishment to move inventory of that SKU from AWD to FBA</t>
  </si>
  <si>
    <t>Quantity Amazon auto-replenishes</t>
  </si>
  <si>
    <t>Storage Fee</t>
  </si>
  <si>
    <t>Inbound Fee</t>
  </si>
  <si>
    <t>Outbound Fee</t>
  </si>
  <si>
    <t>Transportation Fee</t>
  </si>
  <si>
    <t>Quantity sending from China to Amazon</t>
  </si>
  <si>
    <t>Units</t>
  </si>
  <si>
    <t>Pallets</t>
  </si>
  <si>
    <t>Cubic Feet</t>
  </si>
  <si>
    <t>Boxes</t>
  </si>
  <si>
    <t>Pallet: 54 boxes</t>
  </si>
  <si>
    <t xml:space="preserve">Total (one shipment in, one shipment out) = </t>
  </si>
  <si>
    <t>AWD</t>
  </si>
  <si>
    <t>Nevada Fee</t>
  </si>
  <si>
    <t>Initial Shipment of 11 pallets</t>
  </si>
  <si>
    <t>Storing Pallets</t>
  </si>
  <si>
    <t>Units at end</t>
  </si>
  <si>
    <t>Units at start</t>
  </si>
  <si>
    <t>Forecasted Products Sold (27)</t>
  </si>
  <si>
    <t>Forecasted Products Sold (26)</t>
  </si>
  <si>
    <t>Forecasted Monthly Sales</t>
  </si>
  <si>
    <t>Forecasted Products Sold (24)</t>
  </si>
  <si>
    <t>Forecasted Products Sold (14)</t>
  </si>
  <si>
    <t>Forecasted Products Sold (16)</t>
  </si>
  <si>
    <t>Forecasted Products Sold (17)</t>
  </si>
  <si>
    <t>Forecasted Products Sold (11)</t>
  </si>
  <si>
    <t>Forecasted Products Sold (15)</t>
  </si>
  <si>
    <t>Forecasted Products Sold (18)</t>
  </si>
  <si>
    <t>Forecasted Products Sold (10)</t>
  </si>
  <si>
    <t>Forecasted Products Sold (29)</t>
  </si>
  <si>
    <t>Forecasted Products Sold (65)</t>
  </si>
  <si>
    <t>Total Cost for 1 year</t>
  </si>
  <si>
    <t>W/O init shipment</t>
  </si>
  <si>
    <t>Approximately $200 / month</t>
  </si>
  <si>
    <t>to ship one pallet: $473.33</t>
  </si>
  <si>
    <t>to ship 11 pallets: $3,487.78</t>
  </si>
  <si>
    <t>Initial Shipment of 1 pallet</t>
  </si>
  <si>
    <t>Shipping Cost</t>
  </si>
  <si>
    <t>Sending 1 pallet, 324 units to AWD</t>
  </si>
  <si>
    <t>Nevada Costs</t>
  </si>
  <si>
    <t>Pick/Pack Fee</t>
  </si>
  <si>
    <t>Total Cost for 1 year in AWD</t>
  </si>
  <si>
    <t>Total with 1 pallet in AWD and 10 pallets in Nevada</t>
  </si>
  <si>
    <t>Total with 11 pallets in Nevada</t>
  </si>
  <si>
    <t>Storage cost in Nevada (10 pallets)</t>
  </si>
  <si>
    <t>On the $39.00 Pick and Process Order price, the cost is $1.50 for the order and $2.50 per item (box of 6) picked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</si>
</sst>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"/>
    <numFmt numFmtId="165" formatCode="#,##0.00;\-#,##0.00;0.00"/>
    <numFmt numFmtId="166" formatCode="&quot;$&quot;#,##0.00"/>
  </numFmts>
  <fonts count="1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name val="Aptos Narrow"/>
      <scheme val="minor"/>
    </font>
    <font>
      <b/>
      <sz val="12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0"/>
      <color rgb="FF000080"/>
      <name val="Arial"/>
      <family val="2"/>
    </font>
    <font>
      <sz val="10"/>
      <color rgb="FF000000"/>
      <name val="Arial"/>
      <family val="2"/>
    </font>
    <font>
      <sz val="12"/>
      <color rgb="FFFF0000"/>
      <name val="Aptos Narrow"/>
      <family val="2"/>
      <scheme val="minor"/>
    </font>
    <font>
      <b/>
      <sz val="12"/>
      <color rgb="FFFF0000"/>
      <name val="Aptos Narrow"/>
      <scheme val="minor"/>
    </font>
    <font>
      <sz val="10"/>
      <color theme="1"/>
      <name val="Arial"/>
      <family val="2"/>
    </font>
    <font>
      <b/>
      <sz val="18"/>
      <color theme="1"/>
      <name val="Aptos Narrow"/>
      <scheme val="minor"/>
    </font>
    <font>
      <sz val="12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5">
    <xf numFmtId="0" fontId="0" fillId="0" borderId="0" xfId="0"/>
    <xf numFmtId="9" fontId="0" fillId="0" borderId="0" xfId="1" applyFont="1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6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8" fontId="0" fillId="0" borderId="0" xfId="0" applyNumberFormat="1" applyAlignment="1">
      <alignment wrapText="1"/>
    </xf>
    <xf numFmtId="164" fontId="0" fillId="3" borderId="0" xfId="0" applyNumberFormat="1" applyFill="1" applyAlignment="1">
      <alignment horizontal="center" wrapText="1"/>
    </xf>
    <xf numFmtId="0" fontId="3" fillId="0" borderId="0" xfId="0" applyFont="1"/>
    <xf numFmtId="8" fontId="0" fillId="0" borderId="0" xfId="0" applyNumberFormat="1"/>
    <xf numFmtId="0" fontId="4" fillId="0" borderId="0" xfId="0" applyFont="1"/>
    <xf numFmtId="17" fontId="4" fillId="0" borderId="0" xfId="0" applyNumberFormat="1" applyFont="1"/>
    <xf numFmtId="8" fontId="4" fillId="0" borderId="0" xfId="0" applyNumberFormat="1" applyFont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wrapText="1"/>
    </xf>
    <xf numFmtId="1" fontId="6" fillId="0" borderId="0" xfId="0" applyNumberFormat="1" applyFont="1" applyAlignment="1">
      <alignment wrapText="1"/>
    </xf>
    <xf numFmtId="1" fontId="0" fillId="4" borderId="0" xfId="0" applyNumberFormat="1" applyFill="1" applyAlignment="1">
      <alignment wrapText="1"/>
    </xf>
    <xf numFmtId="0" fontId="7" fillId="0" borderId="0" xfId="0" applyFont="1"/>
    <xf numFmtId="164" fontId="0" fillId="0" borderId="0" xfId="0" applyNumberFormat="1"/>
    <xf numFmtId="1" fontId="0" fillId="3" borderId="0" xfId="0" applyNumberFormat="1" applyFill="1" applyAlignment="1">
      <alignment horizontal="center" wrapText="1"/>
    </xf>
    <xf numFmtId="0" fontId="0" fillId="0" borderId="1" xfId="0" applyBorder="1" applyAlignment="1">
      <alignment horizontal="center"/>
    </xf>
    <xf numFmtId="0" fontId="9" fillId="0" borderId="0" xfId="0" applyFont="1" applyAlignment="1">
      <alignment horizontal="right"/>
    </xf>
    <xf numFmtId="165" fontId="10" fillId="0" borderId="0" xfId="3" applyNumberFormat="1" applyFont="1"/>
    <xf numFmtId="0" fontId="10" fillId="0" borderId="0" xfId="3" applyNumberFormat="1" applyFont="1"/>
    <xf numFmtId="0" fontId="0" fillId="5" borderId="0" xfId="0" applyFill="1"/>
    <xf numFmtId="166" fontId="0" fillId="0" borderId="0" xfId="2" applyNumberFormat="1" applyFont="1"/>
    <xf numFmtId="166" fontId="0" fillId="0" borderId="0" xfId="0" applyNumberFormat="1"/>
    <xf numFmtId="166" fontId="0" fillId="3" borderId="0" xfId="0" applyNumberFormat="1" applyFill="1"/>
    <xf numFmtId="1" fontId="0" fillId="3" borderId="0" xfId="0" applyNumberFormat="1" applyFill="1"/>
    <xf numFmtId="8" fontId="0" fillId="3" borderId="0" xfId="2" applyNumberFormat="1" applyFont="1" applyFill="1"/>
    <xf numFmtId="0" fontId="5" fillId="6" borderId="0" xfId="0" applyFont="1" applyFill="1" applyAlignment="1">
      <alignment horizontal="center" wrapText="1"/>
    </xf>
    <xf numFmtId="8" fontId="0" fillId="6" borderId="0" xfId="0" applyNumberFormat="1" applyFill="1"/>
    <xf numFmtId="0" fontId="11" fillId="0" borderId="0" xfId="0" applyFont="1" applyAlignment="1">
      <alignment wrapText="1"/>
    </xf>
    <xf numFmtId="44" fontId="0" fillId="0" borderId="0" xfId="2" applyFont="1"/>
    <xf numFmtId="44" fontId="0" fillId="0" borderId="0" xfId="0" applyNumberFormat="1"/>
    <xf numFmtId="0" fontId="0" fillId="6" borderId="0" xfId="0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6" fillId="0" borderId="0" xfId="0" applyFont="1"/>
    <xf numFmtId="44" fontId="0" fillId="3" borderId="0" xfId="2" applyFont="1" applyFill="1"/>
    <xf numFmtId="0" fontId="0" fillId="3" borderId="0" xfId="0" applyFill="1"/>
    <xf numFmtId="44" fontId="3" fillId="3" borderId="0" xfId="2" applyFont="1" applyFill="1"/>
    <xf numFmtId="44" fontId="3" fillId="3" borderId="0" xfId="0" applyNumberFormat="1" applyFont="1" applyFill="1"/>
    <xf numFmtId="0" fontId="15" fillId="0" borderId="0" xfId="0" applyFont="1" applyAlignment="1">
      <alignment horizontal="center" vertical="center"/>
    </xf>
    <xf numFmtId="0" fontId="0" fillId="0" borderId="0" xfId="0" applyProtection="1">
      <protection locked="0"/>
    </xf>
    <xf numFmtId="0" fontId="0" fillId="6" borderId="0" xfId="0" applyFill="1" applyProtection="1">
      <protection locked="0"/>
    </xf>
    <xf numFmtId="164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44" fontId="0" fillId="0" borderId="0" xfId="2" applyFont="1" applyProtection="1">
      <protection locked="0"/>
    </xf>
    <xf numFmtId="44" fontId="0" fillId="0" borderId="0" xfId="0" applyNumberFormat="1" applyProtection="1">
      <protection locked="0"/>
    </xf>
    <xf numFmtId="44" fontId="3" fillId="0" borderId="0" xfId="2" applyFont="1" applyFill="1"/>
    <xf numFmtId="44" fontId="0" fillId="0" borderId="0" xfId="2" applyFont="1" applyFill="1"/>
    <xf numFmtId="44" fontId="0" fillId="3" borderId="0" xfId="2" applyFont="1" applyFill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44" fontId="0" fillId="0" borderId="0" xfId="2" applyFont="1" applyFill="1" applyAlignment="1">
      <alignment horizontal="center"/>
    </xf>
  </cellXfs>
  <cellStyles count="4">
    <cellStyle name="Currency" xfId="2" builtinId="4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6F2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2023 v. 2024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 v 24 Sales'!$B$2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'23 v 24 Sales'!$C$1:$N$1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'23 v 24 Sales'!$C$2:$N$2</c:f>
              <c:numCache>
                <c:formatCode>General</c:formatCode>
                <c:ptCount val="12"/>
                <c:pt idx="0">
                  <c:v>48</c:v>
                </c:pt>
                <c:pt idx="1">
                  <c:v>52</c:v>
                </c:pt>
                <c:pt idx="2">
                  <c:v>37</c:v>
                </c:pt>
                <c:pt idx="3">
                  <c:v>19</c:v>
                </c:pt>
                <c:pt idx="4">
                  <c:v>25</c:v>
                </c:pt>
                <c:pt idx="5">
                  <c:v>26</c:v>
                </c:pt>
                <c:pt idx="6">
                  <c:v>24</c:v>
                </c:pt>
                <c:pt idx="7">
                  <c:v>35</c:v>
                </c:pt>
                <c:pt idx="8">
                  <c:v>37</c:v>
                </c:pt>
                <c:pt idx="9">
                  <c:v>37</c:v>
                </c:pt>
                <c:pt idx="10">
                  <c:v>47</c:v>
                </c:pt>
                <c:pt idx="11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9-1343-9062-179234EB2D89}"/>
            </c:ext>
          </c:extLst>
        </c:ser>
        <c:ser>
          <c:idx val="1"/>
          <c:order val="1"/>
          <c:tx>
            <c:strRef>
              <c:f>'23 v 24 Sales'!$B$3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'23 v 24 Sales'!$C$1:$N$1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'23 v 24 Sales'!$C$3:$N$3</c:f>
              <c:numCache>
                <c:formatCode>General</c:formatCode>
                <c:ptCount val="12"/>
                <c:pt idx="0">
                  <c:v>17</c:v>
                </c:pt>
                <c:pt idx="1">
                  <c:v>12</c:v>
                </c:pt>
                <c:pt idx="2">
                  <c:v>19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7</c:v>
                </c:pt>
                <c:pt idx="7">
                  <c:v>7</c:v>
                </c:pt>
                <c:pt idx="8">
                  <c:v>12</c:v>
                </c:pt>
                <c:pt idx="9">
                  <c:v>9</c:v>
                </c:pt>
                <c:pt idx="10">
                  <c:v>38</c:v>
                </c:pt>
                <c:pt idx="1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9-1343-9062-179234EB2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201471"/>
        <c:axId val="624415343"/>
      </c:lineChart>
      <c:catAx>
        <c:axId val="111720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15343"/>
        <c:crosses val="autoZero"/>
        <c:auto val="1"/>
        <c:lblAlgn val="ctr"/>
        <c:lblOffset val="100"/>
        <c:noMultiLvlLbl val="0"/>
      </c:catAx>
      <c:valAx>
        <c:axId val="62441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20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2023 v. 2024 Monthly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'23 v 24 Sales'!$B$2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'23 v 24 Sales'!$C$1:$N$1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'23 v 24 Sales'!$C$2:$N$2</c:f>
              <c:numCache>
                <c:formatCode>General</c:formatCode>
                <c:ptCount val="12"/>
                <c:pt idx="0">
                  <c:v>48</c:v>
                </c:pt>
                <c:pt idx="1">
                  <c:v>52</c:v>
                </c:pt>
                <c:pt idx="2">
                  <c:v>37</c:v>
                </c:pt>
                <c:pt idx="3">
                  <c:v>19</c:v>
                </c:pt>
                <c:pt idx="4">
                  <c:v>25</c:v>
                </c:pt>
                <c:pt idx="5">
                  <c:v>26</c:v>
                </c:pt>
                <c:pt idx="6">
                  <c:v>24</c:v>
                </c:pt>
                <c:pt idx="7">
                  <c:v>35</c:v>
                </c:pt>
                <c:pt idx="8">
                  <c:v>37</c:v>
                </c:pt>
                <c:pt idx="9">
                  <c:v>37</c:v>
                </c:pt>
                <c:pt idx="10">
                  <c:v>47</c:v>
                </c:pt>
                <c:pt idx="1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3-A042-9993-8E6BD70A54C9}"/>
            </c:ext>
          </c:extLst>
        </c:ser>
        <c:ser>
          <c:idx val="1"/>
          <c:order val="1"/>
          <c:tx>
            <c:strRef>
              <c:f>'23 v 24 Sales'!$B$3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rgbClr val="F6F283"/>
            </a:solidFill>
            <a:ln>
              <a:noFill/>
            </a:ln>
            <a:effectLst/>
          </c:spPr>
          <c:invertIfNegative val="0"/>
          <c:cat>
            <c:strRef>
              <c:f>'23 v 24 Sales'!$C$1:$N$1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'23 v 24 Sales'!$C$3:$N$3</c:f>
              <c:numCache>
                <c:formatCode>General</c:formatCode>
                <c:ptCount val="12"/>
                <c:pt idx="0">
                  <c:v>17</c:v>
                </c:pt>
                <c:pt idx="1">
                  <c:v>12</c:v>
                </c:pt>
                <c:pt idx="2">
                  <c:v>19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7</c:v>
                </c:pt>
                <c:pt idx="7">
                  <c:v>7</c:v>
                </c:pt>
                <c:pt idx="8">
                  <c:v>12</c:v>
                </c:pt>
                <c:pt idx="9">
                  <c:v>9</c:v>
                </c:pt>
                <c:pt idx="10">
                  <c:v>38</c:v>
                </c:pt>
                <c:pt idx="1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3-A042-9993-8E6BD70A5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024175"/>
        <c:axId val="1434566863"/>
      </c:barChart>
      <c:catAx>
        <c:axId val="110202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566863"/>
        <c:crosses val="autoZero"/>
        <c:auto val="1"/>
        <c:lblAlgn val="ctr"/>
        <c:lblOffset val="100"/>
        <c:noMultiLvlLbl val="0"/>
      </c:catAx>
      <c:valAx>
        <c:axId val="14345668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0202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256722</xdr:colOff>
      <xdr:row>15</xdr:row>
      <xdr:rowOff>94343</xdr:rowOff>
    </xdr:from>
    <xdr:to>
      <xdr:col>10</xdr:col>
      <xdr:colOff>701222</xdr:colOff>
      <xdr:row>28</xdr:row>
      <xdr:rowOff>195942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7C83E3-312A-FC0E-3659-0A10892D3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172358</xdr:colOff>
      <xdr:row>15</xdr:row>
      <xdr:rowOff>75293</xdr:rowOff>
    </xdr:from>
    <xdr:to>
      <xdr:col>16</xdr:col>
      <xdr:colOff>616858</xdr:colOff>
      <xdr:row>29</xdr:row>
      <xdr:rowOff>24493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C04405-B3FF-EED1-82F9-6BD8AE376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787400</xdr:colOff>
      <xdr:row>21</xdr:row>
      <xdr:rowOff>110066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D5DAB4-7E27-B8F4-9033-4FB042995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65900" cy="4377266"/>
        </a:xfrm>
        <a:prstGeom prst="rect">
          <a:avLst/>
        </a:prstGeom>
      </xdr:spPr>
    </xdr:pic>
    <xdr:clientData/>
  </xdr:twoCellAnchor>
  <xdr:twoCellAnchor>
    <xdr:from>
      <xdr:col>1</xdr:col>
      <xdr:colOff>266700</xdr:colOff>
      <xdr:row>22</xdr:row>
      <xdr:rowOff>165100</xdr:rowOff>
    </xdr:from>
    <xdr:to>
      <xdr:col>6</xdr:col>
      <xdr:colOff>304800</xdr:colOff>
      <xdr:row>29</xdr:row>
      <xdr:rowOff>88900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4AFCF39-2743-0D4B-50E8-234A4AB435BA}"/>
            </a:ext>
          </a:extLst>
        </xdr:cNvPr>
        <xdr:cNvSpPr txBox="1"/>
      </xdr:nvSpPr>
      <xdr:spPr>
        <a:xfrm>
          <a:off x="1092200" y="4635500"/>
          <a:ext cx="4165600" cy="1346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A p-value of 0.044 from the Anderson-Darling test indicates that your sales data deviates significantly from a normal distribution at the common significance level of 0.05. </a:t>
          </a:r>
        </a:p>
        <a:p>
          <a:r>
            <a:rPr lang="en-US" b="1"/>
            <a:t>Data</a:t>
          </a:r>
          <a:r>
            <a:rPr lang="en-US" b="1" baseline="0"/>
            <a:t> </a:t>
          </a:r>
          <a:r>
            <a:rPr lang="en-US" b="1"/>
            <a:t>is not normally distributed</a:t>
          </a:r>
          <a:r>
            <a:rPr lang="en-US"/>
            <a:t>.</a:t>
          </a:r>
          <a:endParaRPr lang="en-US" sz="1100" kern="1200"/>
        </a:p>
      </xdr:txBody>
    </xdr:sp>
    <xdr:clientData/>
  </xdr:twoCellAnchor>
  <xdr:twoCellAnchor editAs="oneCell">
    <xdr:from>
      <xdr:col>8</xdr:col>
      <xdr:colOff>279400</xdr:colOff>
      <xdr:row>2</xdr:row>
      <xdr:rowOff>50800</xdr:rowOff>
    </xdr:from>
    <xdr:to>
      <xdr:col>12</xdr:col>
      <xdr:colOff>635000</xdr:colOff>
      <xdr:row>14</xdr:row>
      <xdr:rowOff>50800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964E77A-A2EC-CCB6-02A2-1697577FC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3400" y="457200"/>
          <a:ext cx="3657600" cy="2438400"/>
        </a:xfrm>
        <a:prstGeom prst="rect">
          <a:avLst/>
        </a:prstGeom>
      </xdr:spPr>
    </xdr:pic>
    <xdr:clientData/>
  </xdr:twoCellAnchor>
  <xdr:twoCellAnchor editAs="oneCell">
    <xdr:from>
      <xdr:col>12</xdr:col>
      <xdr:colOff>800100</xdr:colOff>
      <xdr:row>2</xdr:row>
      <xdr:rowOff>38100</xdr:rowOff>
    </xdr:from>
    <xdr:to>
      <xdr:col>17</xdr:col>
      <xdr:colOff>330200</xdr:colOff>
      <xdr:row>14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804324C-2821-FB81-D150-441C868CA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06100" y="444500"/>
          <a:ext cx="3657600" cy="2438400"/>
        </a:xfrm>
        <a:prstGeom prst="rect">
          <a:avLst/>
        </a:prstGeom>
      </xdr:spPr>
    </xdr:pic>
    <xdr:clientData/>
  </xdr:twoCellAnchor>
  <xdr:twoCellAnchor>
    <xdr:from>
      <xdr:col>9</xdr:col>
      <xdr:colOff>254000</xdr:colOff>
      <xdr:row>16</xdr:row>
      <xdr:rowOff>152400</xdr:rowOff>
    </xdr:from>
    <xdr:to>
      <xdr:col>16</xdr:col>
      <xdr:colOff>698500</xdr:colOff>
      <xdr:row>29</xdr:row>
      <xdr:rowOff>12700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A71B52D-F33E-D454-590B-87A6E1F3E0E0}"/>
            </a:ext>
          </a:extLst>
        </xdr:cNvPr>
        <xdr:cNvSpPr txBox="1"/>
      </xdr:nvSpPr>
      <xdr:spPr>
        <a:xfrm>
          <a:off x="7683500" y="3403600"/>
          <a:ext cx="6223000" cy="250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1"/>
            <a:t>Shape</a:t>
          </a:r>
          <a:r>
            <a:rPr lang="en-US"/>
            <a:t>:</a:t>
          </a:r>
        </a:p>
        <a:p>
          <a:pPr lvl="1"/>
          <a:r>
            <a:rPr lang="en-US"/>
            <a:t>The distribution appears </a:t>
          </a:r>
          <a:r>
            <a:rPr lang="en-US" b="1"/>
            <a:t>positively skewed</a:t>
          </a:r>
          <a:r>
            <a:rPr lang="en-US"/>
            <a:t> (long tail on the right).</a:t>
          </a:r>
        </a:p>
        <a:p>
          <a:pPr lvl="1"/>
          <a:r>
            <a:rPr lang="en-US"/>
            <a:t>This deviates from the symmetric bell curve of a normal distribution.</a:t>
          </a:r>
        </a:p>
        <a:p>
          <a:r>
            <a:rPr lang="en-US" b="1"/>
            <a:t>Normal Curve Fit</a:t>
          </a:r>
          <a:r>
            <a:rPr lang="en-US"/>
            <a:t>:</a:t>
          </a:r>
        </a:p>
        <a:p>
          <a:pPr lvl="1"/>
          <a:r>
            <a:rPr lang="en-US"/>
            <a:t>The red normal curve (based on the mean and standard deviation of your data) does not match the bars well, especially on the left. The highest frequency (sales near 0-20) is much larger than expected for a normal distribution.</a:t>
          </a:r>
        </a:p>
        <a:p>
          <a:r>
            <a:rPr lang="en-US" b="1"/>
            <a:t>Potential Outlier</a:t>
          </a:r>
          <a:r>
            <a:rPr lang="en-US"/>
            <a:t>:</a:t>
          </a:r>
        </a:p>
        <a:p>
          <a:pPr lvl="1"/>
          <a:r>
            <a:rPr lang="en-US"/>
            <a:t>The single value near 80 could be an outlier, which contributes to the skewness and affects normality.</a:t>
          </a:r>
        </a:p>
        <a:p>
          <a:r>
            <a:rPr lang="en-US" b="1"/>
            <a:t>Conclusion</a:t>
          </a:r>
          <a:r>
            <a:rPr lang="en-US"/>
            <a:t>:</a:t>
          </a:r>
        </a:p>
        <a:p>
          <a:pPr lvl="1"/>
          <a:r>
            <a:rPr lang="en-US"/>
            <a:t>Your sales data is not well-modeled by a normal distribution, consistent with your Anderson-Darling test result (p = 0.044). The skewness and outlier might explain this deviation.</a:t>
          </a:r>
        </a:p>
      </xdr:txBody>
    </xdr:sp>
    <xdr:clientData/>
  </xdr:twoCellAnchor>
  <xdr:twoCellAnchor editAs="oneCell">
    <xdr:from>
      <xdr:col>1</xdr:col>
      <xdr:colOff>596900</xdr:colOff>
      <xdr:row>30</xdr:row>
      <xdr:rowOff>190500</xdr:rowOff>
    </xdr:from>
    <xdr:to>
      <xdr:col>11</xdr:col>
      <xdr:colOff>114300</xdr:colOff>
      <xdr:row>37</xdr:row>
      <xdr:rowOff>160512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A44B33F-702D-191B-614B-FE4748B87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2400" y="6286500"/>
          <a:ext cx="7772400" cy="13924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18</xdr:row>
      <xdr:rowOff>63500</xdr:rowOff>
    </xdr:from>
    <xdr:to>
      <xdr:col>10</xdr:col>
      <xdr:colOff>241300</xdr:colOff>
      <xdr:row>36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E76AD4-1412-E749-8BE9-9E8D43B58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721100"/>
          <a:ext cx="7924800" cy="370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292100</xdr:colOff>
      <xdr:row>2</xdr:row>
      <xdr:rowOff>63500</xdr:rowOff>
    </xdr:from>
    <xdr:to>
      <xdr:col>8</xdr:col>
      <xdr:colOff>228600</xdr:colOff>
      <xdr:row>13</xdr:row>
      <xdr:rowOff>177800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8708546-9E60-EA26-088A-5BE1C633F3A1}"/>
            </a:ext>
          </a:extLst>
        </xdr:cNvPr>
        <xdr:cNvSpPr txBox="1"/>
      </xdr:nvSpPr>
      <xdr:spPr>
        <a:xfrm>
          <a:off x="1117600" y="469900"/>
          <a:ext cx="5715000" cy="2349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Dimensions: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calculate the cubic feet of space the box takes up, follow these steps:</a:t>
          </a:r>
          <a:endParaRPr lang="en-US" b="0">
            <a:effectLst/>
          </a:endParaRPr>
        </a:p>
        <a:p>
          <a:pPr rtl="0" fontAlgn="base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Convert the dimensions from inches to feet:</a:t>
          </a:r>
        </a:p>
        <a:p>
          <a:pPr lvl="1" rtl="0" fontAlgn="base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Width: 18.518.518.5 inches ÷ 121212 =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1.54 feet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rtl="0" fontAlgn="base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Length: 11.7511.7511.75 inches ÷ 121212 =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0.98 feet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rtl="0" fontAlgn="base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Height: 666 inches ÷ 121212 =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0.50 feet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fontAlgn="base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Multiply the dimensions to find the volume: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1.54×0.98×0.50=0.7547 cubic feet1.54 \times 0.98 \times 0.50 = 0.7547 \text{ cubic feet}1.54×0.98×0.50=0.7547 cubic feet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So, the box takes up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approximately 0.75 cubic feet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space.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Pallets:</a:t>
          </a:r>
          <a:endParaRPr lang="en-US" b="0">
            <a:effectLst/>
          </a:endParaRPr>
        </a:p>
        <a:p>
          <a:pPr rtl="0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 layers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→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33.75 cubic feet</a:t>
          </a:r>
          <a:endParaRPr lang="en-US" b="0">
            <a:effectLst/>
          </a:endParaRPr>
        </a:p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 layers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→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40.5 cubic feet</a:t>
          </a:r>
          <a:endParaRPr lang="en-US" sz="1100"/>
        </a:p>
      </xdr:txBody>
    </xdr:sp>
    <xdr:clientData/>
  </xdr:twoCellAnchor>
  <xdr:twoCellAnchor editAs="oneCell">
    <xdr:from>
      <xdr:col>21</xdr:col>
      <xdr:colOff>660400</xdr:colOff>
      <xdr:row>0</xdr:row>
      <xdr:rowOff>114300</xdr:rowOff>
    </xdr:from>
    <xdr:to>
      <xdr:col>30</xdr:col>
      <xdr:colOff>609600</xdr:colOff>
      <xdr:row>18</xdr:row>
      <xdr:rowOff>15148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F166AC1-D3B3-53AF-216D-190234C56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95900" y="114300"/>
          <a:ext cx="7772400" cy="3558448"/>
        </a:xfrm>
        <a:prstGeom prst="rect">
          <a:avLst/>
        </a:prstGeom>
      </xdr:spPr>
    </xdr:pic>
    <xdr:clientData/>
  </xdr:twoCellAnchor>
  <xdr:twoCellAnchor>
    <xdr:from>
      <xdr:col>26</xdr:col>
      <xdr:colOff>292100</xdr:colOff>
      <xdr:row>1</xdr:row>
      <xdr:rowOff>0</xdr:rowOff>
    </xdr:from>
    <xdr:to>
      <xdr:col>26</xdr:col>
      <xdr:colOff>317500</xdr:colOff>
      <xdr:row>17</xdr:row>
      <xdr:rowOff>38100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610E0CB6-5706-E0FB-2317-5C25E282E555}"/>
            </a:ext>
          </a:extLst>
        </xdr:cNvPr>
        <xdr:cNvCxnSpPr/>
      </xdr:nvCxnSpPr>
      <xdr:spPr>
        <a:xfrm>
          <a:off x="22148800" y="203200"/>
          <a:ext cx="25400" cy="328930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317500</xdr:colOff>
      <xdr:row>17</xdr:row>
      <xdr:rowOff>12700</xdr:rowOff>
    </xdr:from>
    <xdr:to>
      <xdr:col>28</xdr:col>
      <xdr:colOff>381000</xdr:colOff>
      <xdr:row>17</xdr:row>
      <xdr:rowOff>12700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2B92FE63-ADC9-BAC6-40B1-0F2DC6C6C1FF}"/>
            </a:ext>
          </a:extLst>
        </xdr:cNvPr>
        <xdr:cNvCxnSpPr/>
      </xdr:nvCxnSpPr>
      <xdr:spPr>
        <a:xfrm>
          <a:off x="22174200" y="3467100"/>
          <a:ext cx="17145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317500</xdr:colOff>
      <xdr:row>1</xdr:row>
      <xdr:rowOff>25400</xdr:rowOff>
    </xdr:from>
    <xdr:to>
      <xdr:col>28</xdr:col>
      <xdr:colOff>381000</xdr:colOff>
      <xdr:row>1</xdr:row>
      <xdr:rowOff>25400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4CEB430C-B547-8E4F-BC9F-C9C745CC2C65}"/>
            </a:ext>
          </a:extLst>
        </xdr:cNvPr>
        <xdr:cNvCxnSpPr/>
      </xdr:nvCxnSpPr>
      <xdr:spPr>
        <a:xfrm>
          <a:off x="22174200" y="228600"/>
          <a:ext cx="17145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368300</xdr:colOff>
      <xdr:row>1</xdr:row>
      <xdr:rowOff>0</xdr:rowOff>
    </xdr:from>
    <xdr:to>
      <xdr:col>28</xdr:col>
      <xdr:colOff>393700</xdr:colOff>
      <xdr:row>17</xdr:row>
      <xdr:rowOff>38100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2492901-1E6E-B84A-8179-C27FB255CBC2}"/>
            </a:ext>
          </a:extLst>
        </xdr:cNvPr>
        <xdr:cNvCxnSpPr/>
      </xdr:nvCxnSpPr>
      <xdr:spPr>
        <a:xfrm>
          <a:off x="23876000" y="203200"/>
          <a:ext cx="25400" cy="328930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215900</xdr:colOff>
      <xdr:row>11</xdr:row>
      <xdr:rowOff>147974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F030A4-7722-D306-90EE-E7F534D83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2400" cy="23831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215900</xdr:colOff>
      <xdr:row>11</xdr:row>
      <xdr:rowOff>147974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6C4919-8A78-A149-A831-AFFF6D466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2400" cy="23831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215900</xdr:colOff>
      <xdr:row>11</xdr:row>
      <xdr:rowOff>147974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2BED77-58BC-FD48-9E46-3A2516BED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2400" cy="238317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215900</xdr:colOff>
      <xdr:row>11</xdr:row>
      <xdr:rowOff>147974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4C18AB-68FA-1548-9FEB-50419F3FE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2400" cy="238317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215900</xdr:colOff>
      <xdr:row>11</xdr:row>
      <xdr:rowOff>147974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FED914-D9FC-3D40-9E40-333B1ED13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2400" cy="2383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E8AE0-4617-3840-A718-D93979496B26}">
  <dimension ref="A2:BH5"/>
  <sheetViews>
    <sheetView workbookViewId="0">
      <selection activeCell="A5" sqref="A5"/>
    </sheetView>
  </sheetViews>
  <sheetFormatPr baseColWidth="10" defaultRowHeight="16" x14ac:dyDescent="0.2"/>
  <sheetData>
    <row r="2" spans="1:60" x14ac:dyDescent="0.2">
      <c r="A2" t="s">
        <v>88</v>
      </c>
      <c r="B2" t="s">
        <v>89</v>
      </c>
      <c r="C2" t="s">
        <v>90</v>
      </c>
      <c r="D2" t="s">
        <v>91</v>
      </c>
      <c r="E2" t="s">
        <v>92</v>
      </c>
      <c r="F2" t="s">
        <v>93</v>
      </c>
      <c r="G2" t="s">
        <v>94</v>
      </c>
      <c r="H2" t="s">
        <v>95</v>
      </c>
      <c r="I2" t="s">
        <v>96</v>
      </c>
      <c r="J2" t="s">
        <v>97</v>
      </c>
      <c r="K2" t="s">
        <v>98</v>
      </c>
      <c r="L2" t="s">
        <v>99</v>
      </c>
      <c r="M2" t="s">
        <v>100</v>
      </c>
      <c r="N2" t="s">
        <v>101</v>
      </c>
      <c r="O2" t="s">
        <v>102</v>
      </c>
      <c r="P2" t="s">
        <v>103</v>
      </c>
      <c r="Q2" t="s">
        <v>104</v>
      </c>
      <c r="R2" t="s">
        <v>105</v>
      </c>
      <c r="S2" t="s">
        <v>106</v>
      </c>
      <c r="T2" t="s">
        <v>107</v>
      </c>
      <c r="U2" t="s">
        <v>108</v>
      </c>
      <c r="V2" t="s">
        <v>109</v>
      </c>
      <c r="W2" t="s">
        <v>110</v>
      </c>
      <c r="X2" t="s">
        <v>111</v>
      </c>
      <c r="Y2" t="s">
        <v>112</v>
      </c>
      <c r="Z2" t="s">
        <v>113</v>
      </c>
      <c r="AA2" t="s">
        <v>114</v>
      </c>
      <c r="AB2" t="s">
        <v>115</v>
      </c>
      <c r="AC2" t="s">
        <v>116</v>
      </c>
      <c r="AD2" t="s">
        <v>117</v>
      </c>
      <c r="AE2" t="s">
        <v>118</v>
      </c>
      <c r="AF2" t="s">
        <v>119</v>
      </c>
      <c r="AG2" t="s">
        <v>120</v>
      </c>
      <c r="AH2" t="s">
        <v>121</v>
      </c>
      <c r="AI2" t="s">
        <v>122</v>
      </c>
      <c r="AJ2" t="s">
        <v>123</v>
      </c>
      <c r="AK2" t="s">
        <v>124</v>
      </c>
      <c r="AL2" t="s">
        <v>125</v>
      </c>
      <c r="AM2" t="s">
        <v>126</v>
      </c>
      <c r="AN2" t="s">
        <v>127</v>
      </c>
      <c r="AO2" t="s">
        <v>128</v>
      </c>
      <c r="AP2" t="s">
        <v>129</v>
      </c>
      <c r="AQ2" t="s">
        <v>130</v>
      </c>
      <c r="AR2" t="s">
        <v>131</v>
      </c>
      <c r="AS2" t="s">
        <v>132</v>
      </c>
      <c r="AT2" t="s">
        <v>133</v>
      </c>
      <c r="AU2" t="s">
        <v>134</v>
      </c>
      <c r="AV2" t="s">
        <v>135</v>
      </c>
      <c r="AW2" t="s">
        <v>136</v>
      </c>
      <c r="AX2" t="s">
        <v>137</v>
      </c>
      <c r="AY2" t="s">
        <v>138</v>
      </c>
      <c r="AZ2" t="s">
        <v>139</v>
      </c>
      <c r="BA2" t="s">
        <v>140</v>
      </c>
      <c r="BB2" t="s">
        <v>141</v>
      </c>
      <c r="BC2" t="s">
        <v>142</v>
      </c>
      <c r="BD2" t="s">
        <v>143</v>
      </c>
      <c r="BE2" t="s">
        <v>144</v>
      </c>
      <c r="BF2" t="s">
        <v>145</v>
      </c>
      <c r="BG2" t="s">
        <v>146</v>
      </c>
      <c r="BH2" t="s">
        <v>147</v>
      </c>
    </row>
    <row r="3" spans="1:60" x14ac:dyDescent="0.2">
      <c r="A3" s="25" t="s">
        <v>148</v>
      </c>
      <c r="B3" s="25" t="s">
        <v>148</v>
      </c>
      <c r="C3" s="25" t="s">
        <v>148</v>
      </c>
      <c r="D3" s="25" t="s">
        <v>148</v>
      </c>
      <c r="E3" s="25" t="s">
        <v>148</v>
      </c>
      <c r="F3" s="25" t="s">
        <v>148</v>
      </c>
      <c r="G3" s="25" t="s">
        <v>148</v>
      </c>
      <c r="H3" s="25" t="s">
        <v>148</v>
      </c>
      <c r="I3" s="25" t="s">
        <v>148</v>
      </c>
      <c r="J3" s="25" t="s">
        <v>148</v>
      </c>
      <c r="K3" s="25" t="s">
        <v>148</v>
      </c>
      <c r="L3" s="25" t="s">
        <v>148</v>
      </c>
      <c r="M3" s="25" t="s">
        <v>148</v>
      </c>
      <c r="N3" s="25" t="s">
        <v>148</v>
      </c>
      <c r="O3" s="25" t="s">
        <v>148</v>
      </c>
      <c r="P3" s="25" t="s">
        <v>148</v>
      </c>
      <c r="Q3" s="25" t="s">
        <v>148</v>
      </c>
      <c r="R3" s="25" t="s">
        <v>148</v>
      </c>
      <c r="S3" s="25" t="s">
        <v>148</v>
      </c>
      <c r="T3" s="25" t="s">
        <v>148</v>
      </c>
      <c r="U3" s="25" t="s">
        <v>148</v>
      </c>
      <c r="V3" s="25" t="s">
        <v>148</v>
      </c>
      <c r="W3" s="25" t="s">
        <v>148</v>
      </c>
      <c r="X3" s="25" t="s">
        <v>148</v>
      </c>
      <c r="Y3" s="25" t="s">
        <v>148</v>
      </c>
      <c r="Z3" s="25" t="s">
        <v>148</v>
      </c>
      <c r="AA3" s="25" t="s">
        <v>148</v>
      </c>
      <c r="AB3" s="25" t="s">
        <v>148</v>
      </c>
      <c r="AC3" s="25" t="s">
        <v>148</v>
      </c>
      <c r="AD3" s="25" t="s">
        <v>148</v>
      </c>
      <c r="AE3" s="25" t="s">
        <v>148</v>
      </c>
      <c r="AF3" s="25" t="s">
        <v>148</v>
      </c>
      <c r="AG3" s="25" t="s">
        <v>148</v>
      </c>
      <c r="AH3" s="25" t="s">
        <v>148</v>
      </c>
      <c r="AI3" s="25" t="s">
        <v>148</v>
      </c>
      <c r="AJ3" s="25" t="s">
        <v>148</v>
      </c>
      <c r="AK3" s="25" t="s">
        <v>148</v>
      </c>
      <c r="AL3" s="25" t="s">
        <v>148</v>
      </c>
      <c r="AM3" s="25" t="s">
        <v>148</v>
      </c>
      <c r="AN3" s="25" t="s">
        <v>148</v>
      </c>
      <c r="AO3" s="25" t="s">
        <v>148</v>
      </c>
      <c r="AP3" s="25" t="s">
        <v>148</v>
      </c>
      <c r="AQ3" s="25" t="s">
        <v>148</v>
      </c>
      <c r="AR3" s="25" t="s">
        <v>148</v>
      </c>
      <c r="AS3" s="25" t="s">
        <v>148</v>
      </c>
      <c r="AT3" s="25" t="s">
        <v>148</v>
      </c>
      <c r="AU3" s="25" t="s">
        <v>148</v>
      </c>
      <c r="AV3" s="25" t="s">
        <v>148</v>
      </c>
      <c r="AW3" s="25" t="s">
        <v>148</v>
      </c>
      <c r="AX3" s="25" t="s">
        <v>148</v>
      </c>
      <c r="AY3" s="25" t="s">
        <v>148</v>
      </c>
      <c r="AZ3" s="25" t="s">
        <v>148</v>
      </c>
      <c r="BA3" s="25" t="s">
        <v>148</v>
      </c>
      <c r="BB3" s="25" t="s">
        <v>148</v>
      </c>
      <c r="BC3" s="25" t="s">
        <v>148</v>
      </c>
      <c r="BD3" s="25" t="s">
        <v>148</v>
      </c>
      <c r="BE3" s="25" t="s">
        <v>148</v>
      </c>
      <c r="BF3" s="25" t="s">
        <v>148</v>
      </c>
      <c r="BG3" s="25" t="s">
        <v>148</v>
      </c>
      <c r="BH3" s="25" t="s">
        <v>148</v>
      </c>
    </row>
    <row r="4" spans="1:60" x14ac:dyDescent="0.2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</row>
    <row r="5" spans="1:60" x14ac:dyDescent="0.2">
      <c r="A5" s="27">
        <v>0</v>
      </c>
      <c r="B5" s="27">
        <v>0</v>
      </c>
      <c r="C5" s="27">
        <v>0</v>
      </c>
      <c r="D5" s="28">
        <v>77</v>
      </c>
      <c r="E5" s="28">
        <v>13</v>
      </c>
      <c r="F5" s="28">
        <v>37</v>
      </c>
      <c r="G5" s="28">
        <v>8</v>
      </c>
      <c r="H5" s="28">
        <v>208</v>
      </c>
      <c r="I5" s="28">
        <v>133</v>
      </c>
      <c r="J5" s="28">
        <v>103</v>
      </c>
      <c r="K5" s="28">
        <v>96</v>
      </c>
      <c r="L5" s="28">
        <v>794</v>
      </c>
      <c r="M5" s="28">
        <v>238</v>
      </c>
      <c r="N5" s="28">
        <v>151</v>
      </c>
      <c r="O5" s="28">
        <v>235</v>
      </c>
      <c r="P5" s="28">
        <v>368</v>
      </c>
      <c r="Q5" s="28">
        <v>184</v>
      </c>
      <c r="R5" s="28">
        <v>206</v>
      </c>
      <c r="S5" s="28">
        <v>217</v>
      </c>
      <c r="T5" s="28">
        <v>946</v>
      </c>
      <c r="U5" s="28">
        <v>296</v>
      </c>
      <c r="V5" s="28">
        <v>201</v>
      </c>
      <c r="W5" s="28">
        <v>258</v>
      </c>
      <c r="X5" s="28">
        <v>923</v>
      </c>
      <c r="Y5" s="28">
        <v>292</v>
      </c>
      <c r="Z5" s="28">
        <v>203</v>
      </c>
      <c r="AA5" s="28">
        <v>183</v>
      </c>
      <c r="AB5" s="28">
        <v>639</v>
      </c>
      <c r="AC5" s="28">
        <v>394</v>
      </c>
      <c r="AD5" s="28">
        <v>152</v>
      </c>
      <c r="AE5" s="28">
        <v>190</v>
      </c>
      <c r="AF5" s="28">
        <v>595</v>
      </c>
      <c r="AG5" s="28">
        <v>355</v>
      </c>
      <c r="AH5" s="28">
        <v>151</v>
      </c>
      <c r="AI5" s="28">
        <v>139</v>
      </c>
      <c r="AJ5" s="28">
        <v>520</v>
      </c>
      <c r="AK5" s="28">
        <v>168</v>
      </c>
      <c r="AL5" s="28">
        <v>187</v>
      </c>
      <c r="AM5" s="28">
        <v>263</v>
      </c>
      <c r="AN5" s="28">
        <v>418</v>
      </c>
      <c r="AO5" s="28">
        <v>135</v>
      </c>
      <c r="AP5" s="28">
        <v>86</v>
      </c>
      <c r="AQ5" s="28">
        <v>99</v>
      </c>
      <c r="AR5" s="28">
        <v>333</v>
      </c>
      <c r="AS5" s="28">
        <v>102</v>
      </c>
      <c r="AT5" s="28">
        <v>83</v>
      </c>
      <c r="AU5" s="28">
        <v>157</v>
      </c>
      <c r="AV5" s="28">
        <v>576</v>
      </c>
      <c r="AW5" s="28">
        <v>238</v>
      </c>
      <c r="AX5" s="28">
        <v>92</v>
      </c>
      <c r="AY5" s="27">
        <v>0</v>
      </c>
      <c r="AZ5" s="28">
        <v>288</v>
      </c>
      <c r="BA5" s="28">
        <v>126</v>
      </c>
      <c r="BB5" s="28">
        <v>126</v>
      </c>
      <c r="BC5" s="28">
        <v>74</v>
      </c>
      <c r="BD5" s="28">
        <v>151</v>
      </c>
      <c r="BE5" s="28">
        <v>135</v>
      </c>
      <c r="BF5" s="28">
        <v>80</v>
      </c>
      <c r="BG5" s="28">
        <v>73</v>
      </c>
      <c r="BH5" s="28">
        <v>171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98CC3-86B9-834C-8F29-9CE15C50BAA8}">
  <dimension ref="B3:U22"/>
  <sheetViews>
    <sheetView workbookViewId="0">
      <selection activeCell="D22" sqref="D22"/>
    </sheetView>
  </sheetViews>
  <sheetFormatPr baseColWidth="10" defaultRowHeight="16" x14ac:dyDescent="0.2"/>
  <cols>
    <col min="3" max="3" width="41.5" customWidth="1"/>
    <col min="4" max="5" width="12.1640625" customWidth="1"/>
    <col min="6" max="7" width="11.6640625" bestFit="1" customWidth="1"/>
    <col min="14" max="15" width="10.6640625" customWidth="1"/>
    <col min="18" max="18" width="18.5" bestFit="1" customWidth="1"/>
    <col min="19" max="19" width="13" bestFit="1" customWidth="1"/>
  </cols>
  <sheetData>
    <row r="3" spans="2:21" x14ac:dyDescent="0.2">
      <c r="J3" s="12" t="s">
        <v>16</v>
      </c>
      <c r="K3" s="12" t="s">
        <v>17</v>
      </c>
      <c r="L3" s="12" t="s">
        <v>18</v>
      </c>
      <c r="M3" s="12">
        <v>2020</v>
      </c>
      <c r="N3" s="12">
        <v>2021</v>
      </c>
      <c r="O3" s="12">
        <v>2022</v>
      </c>
      <c r="P3" s="12"/>
      <c r="Q3" s="12" t="s">
        <v>19</v>
      </c>
      <c r="R3" s="12" t="s">
        <v>20</v>
      </c>
      <c r="S3" s="12" t="s">
        <v>155</v>
      </c>
    </row>
    <row r="4" spans="2:21" x14ac:dyDescent="0.2">
      <c r="J4" t="s">
        <v>4</v>
      </c>
      <c r="K4">
        <v>48</v>
      </c>
      <c r="L4">
        <v>17</v>
      </c>
      <c r="M4">
        <f>102/3</f>
        <v>34</v>
      </c>
      <c r="N4" s="3">
        <f>238/3</f>
        <v>79.333333333333329</v>
      </c>
      <c r="O4">
        <f>126/3</f>
        <v>42</v>
      </c>
      <c r="P4" s="3">
        <f>((2*K4)+(3*L4)+M4+N4+O4)/8</f>
        <v>37.791666666666664</v>
      </c>
      <c r="Q4">
        <f>P4/$S$9</f>
        <v>1.0260180995475112</v>
      </c>
      <c r="R4" s="3">
        <f>P4*Q4</f>
        <v>38.77493401206636</v>
      </c>
      <c r="S4" s="3">
        <f>R4*70%</f>
        <v>27.142453808446451</v>
      </c>
    </row>
    <row r="5" spans="2:21" x14ac:dyDescent="0.2">
      <c r="J5" t="s">
        <v>5</v>
      </c>
      <c r="K5">
        <v>52</v>
      </c>
      <c r="L5">
        <v>12</v>
      </c>
      <c r="M5">
        <f t="shared" ref="M5:M6" si="0">102/3</f>
        <v>34</v>
      </c>
      <c r="N5" s="3">
        <f t="shared" ref="N5:N6" si="1">238/3</f>
        <v>79.333333333333329</v>
      </c>
      <c r="O5">
        <f t="shared" ref="O5:O6" si="2">126/3</f>
        <v>42</v>
      </c>
      <c r="P5" s="3">
        <f>((2*K5)+(3*L5)+M5+N5+O5)/8</f>
        <v>36.916666666666664</v>
      </c>
      <c r="Q5">
        <f>P5/$S$9</f>
        <v>1.0022624434389138</v>
      </c>
      <c r="R5" s="3">
        <f t="shared" ref="R5:R6" si="3">P5*Q5</f>
        <v>37.000188536953232</v>
      </c>
      <c r="S5" s="3">
        <f t="shared" ref="S5:S6" si="4">R5*70%</f>
        <v>25.900131975867261</v>
      </c>
    </row>
    <row r="6" spans="2:21" x14ac:dyDescent="0.2">
      <c r="J6" t="s">
        <v>6</v>
      </c>
      <c r="K6">
        <v>37</v>
      </c>
      <c r="L6">
        <v>19</v>
      </c>
      <c r="M6">
        <f t="shared" si="0"/>
        <v>34</v>
      </c>
      <c r="N6" s="3">
        <f t="shared" si="1"/>
        <v>79.333333333333329</v>
      </c>
      <c r="O6">
        <f t="shared" si="2"/>
        <v>42</v>
      </c>
      <c r="P6" s="3">
        <f t="shared" ref="P6" si="5">((2*K6)+(3*L6)+M6+N6+O6)/8</f>
        <v>35.791666666666664</v>
      </c>
      <c r="Q6">
        <f>P6/$S$9</f>
        <v>0.97171945701357454</v>
      </c>
      <c r="R6" s="3">
        <f t="shared" si="3"/>
        <v>34.779458898944185</v>
      </c>
      <c r="S6" s="3">
        <f t="shared" si="4"/>
        <v>24.345621229260928</v>
      </c>
    </row>
    <row r="7" spans="2:21" x14ac:dyDescent="0.2">
      <c r="T7" s="3"/>
      <c r="U7" s="3"/>
    </row>
    <row r="8" spans="2:21" x14ac:dyDescent="0.2">
      <c r="I8" s="6"/>
      <c r="Q8" s="6"/>
    </row>
    <row r="9" spans="2:21" x14ac:dyDescent="0.2">
      <c r="I9" s="6"/>
      <c r="Q9" s="6"/>
      <c r="R9" t="s">
        <v>21</v>
      </c>
      <c r="S9" s="3">
        <f>AVERAGE(P4:P6)</f>
        <v>36.833333333333336</v>
      </c>
      <c r="T9" t="s">
        <v>31</v>
      </c>
      <c r="U9" s="3">
        <f>SUM(S4:S6)</f>
        <v>77.388207013574643</v>
      </c>
    </row>
    <row r="10" spans="2:21" x14ac:dyDescent="0.2">
      <c r="I10" s="6"/>
      <c r="K10" t="s">
        <v>22</v>
      </c>
      <c r="Q10" s="6"/>
    </row>
    <row r="11" spans="2:21" x14ac:dyDescent="0.2">
      <c r="I11" s="6"/>
      <c r="J11">
        <v>2023</v>
      </c>
      <c r="K11">
        <f>SUM(K4:K6)</f>
        <v>137</v>
      </c>
    </row>
    <row r="12" spans="2:21" x14ac:dyDescent="0.2">
      <c r="I12" s="6"/>
      <c r="J12">
        <v>2024</v>
      </c>
      <c r="K12">
        <f>SUM(L4:L6)</f>
        <v>48</v>
      </c>
      <c r="O12" t="s">
        <v>149</v>
      </c>
    </row>
    <row r="13" spans="2:21" x14ac:dyDescent="0.2">
      <c r="I13" s="6"/>
      <c r="J13" s="6">
        <v>2020</v>
      </c>
      <c r="K13">
        <f>SUM(M4:M6)</f>
        <v>102</v>
      </c>
    </row>
    <row r="14" spans="2:21" s="6" customFormat="1" ht="28" customHeight="1" x14ac:dyDescent="0.2">
      <c r="B14" s="6" t="s">
        <v>24</v>
      </c>
      <c r="C14" s="6" t="s">
        <v>86</v>
      </c>
      <c r="D14" s="11">
        <f>(F16*D17)+(D19*D18*SQRT(F16))</f>
        <v>28.250611404346756</v>
      </c>
      <c r="I14"/>
      <c r="J14" s="6">
        <v>2021</v>
      </c>
      <c r="K14" s="3">
        <f>SUM(N4:N6)</f>
        <v>238</v>
      </c>
      <c r="L14"/>
      <c r="M14"/>
      <c r="N14"/>
      <c r="O14"/>
      <c r="P14"/>
      <c r="Q14"/>
    </row>
    <row r="15" spans="2:21" s="6" customFormat="1" ht="28" customHeight="1" x14ac:dyDescent="0.2">
      <c r="B15" s="6" t="s">
        <v>26</v>
      </c>
      <c r="C15" s="6" t="s">
        <v>34</v>
      </c>
      <c r="D15" s="11">
        <f>SQRT((2*D20*D21)/D22)</f>
        <v>49.042109921837913</v>
      </c>
      <c r="E15" s="6" t="s">
        <v>50</v>
      </c>
      <c r="I15"/>
      <c r="J15" s="6">
        <v>2022</v>
      </c>
      <c r="K15">
        <f>SUM(O4:O6)</f>
        <v>126</v>
      </c>
      <c r="L15"/>
      <c r="M15"/>
      <c r="N15"/>
      <c r="O15"/>
      <c r="P15"/>
      <c r="Q15"/>
    </row>
    <row r="16" spans="2:21" s="6" customFormat="1" ht="51" x14ac:dyDescent="0.2">
      <c r="B16" s="6" t="s">
        <v>25</v>
      </c>
      <c r="C16" s="6" t="s">
        <v>38</v>
      </c>
      <c r="D16" s="37" t="s">
        <v>42</v>
      </c>
      <c r="E16" s="6" t="s">
        <v>43</v>
      </c>
      <c r="F16" s="6">
        <f>(7)/30</f>
        <v>0.23333333333333334</v>
      </c>
      <c r="G16" s="6" t="s">
        <v>61</v>
      </c>
      <c r="I16"/>
      <c r="J16" s="4" t="s">
        <v>23</v>
      </c>
      <c r="K16" s="3">
        <f>SUM(R4:R6)</f>
        <v>110.55458144796377</v>
      </c>
      <c r="L16" t="s">
        <v>48</v>
      </c>
      <c r="M16"/>
      <c r="N16"/>
      <c r="O16"/>
      <c r="P16"/>
      <c r="Q16"/>
    </row>
    <row r="17" spans="2:17" s="6" customFormat="1" ht="28" customHeight="1" x14ac:dyDescent="0.2">
      <c r="B17" s="6" t="s">
        <v>27</v>
      </c>
      <c r="C17" s="6" t="s">
        <v>32</v>
      </c>
      <c r="D17" s="9">
        <f>S9</f>
        <v>36.833333333333336</v>
      </c>
      <c r="I17"/>
      <c r="J17" s="4" t="s">
        <v>156</v>
      </c>
      <c r="K17" s="33">
        <f>U9</f>
        <v>77.388207013574643</v>
      </c>
      <c r="L17"/>
      <c r="M17"/>
      <c r="N17"/>
      <c r="O17"/>
      <c r="P17"/>
      <c r="Q17"/>
    </row>
    <row r="18" spans="2:17" s="6" customFormat="1" ht="28" customHeight="1" x14ac:dyDescent="0.2">
      <c r="B18" s="6" t="s">
        <v>29</v>
      </c>
      <c r="C18" s="6" t="s">
        <v>33</v>
      </c>
      <c r="D18" s="9">
        <f>STDEV(K4:O6)</f>
        <v>21.644750820816526</v>
      </c>
      <c r="I18"/>
      <c r="J18"/>
      <c r="K18"/>
    </row>
    <row r="19" spans="2:17" s="6" customFormat="1" ht="28" customHeight="1" x14ac:dyDescent="0.2">
      <c r="B19" s="6" t="s">
        <v>28</v>
      </c>
      <c r="C19" s="7" t="s">
        <v>36</v>
      </c>
      <c r="D19" s="6">
        <v>1.88</v>
      </c>
      <c r="I19"/>
      <c r="J19"/>
      <c r="K19" s="3"/>
      <c r="L19"/>
      <c r="M19"/>
      <c r="N19"/>
      <c r="O19"/>
      <c r="P19"/>
      <c r="Q19"/>
    </row>
    <row r="20" spans="2:17" s="6" customFormat="1" ht="28" customHeight="1" x14ac:dyDescent="0.2">
      <c r="B20" s="6" t="s">
        <v>30</v>
      </c>
      <c r="C20" s="6" t="s">
        <v>35</v>
      </c>
      <c r="D20" s="8">
        <f>'Inventory + Shipping Fees'!D28</f>
        <v>49.47</v>
      </c>
      <c r="E20" s="10"/>
      <c r="I20"/>
      <c r="J20"/>
      <c r="K20"/>
      <c r="L20"/>
      <c r="M20"/>
      <c r="N20"/>
      <c r="O20"/>
      <c r="P20"/>
      <c r="Q20"/>
    </row>
    <row r="21" spans="2:17" s="6" customFormat="1" ht="28" customHeight="1" x14ac:dyDescent="0.2">
      <c r="B21" s="6" t="s">
        <v>31</v>
      </c>
      <c r="C21" s="6" t="s">
        <v>60</v>
      </c>
      <c r="D21" s="9">
        <f>K17/3</f>
        <v>25.796069004524881</v>
      </c>
      <c r="J21"/>
      <c r="K21"/>
      <c r="L21"/>
      <c r="M21"/>
      <c r="N21"/>
      <c r="O21"/>
      <c r="P21"/>
      <c r="Q21"/>
    </row>
    <row r="22" spans="2:17" ht="17" x14ac:dyDescent="0.2">
      <c r="B22" s="6" t="s">
        <v>44</v>
      </c>
      <c r="C22" s="6" t="s">
        <v>45</v>
      </c>
      <c r="D22">
        <f>'Yearly Multi-echelon Model'!D22</f>
        <v>1.0611753255318139</v>
      </c>
      <c r="E22" t="s">
        <v>46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B7821-ECBA-FD40-834D-AA3226374E44}">
  <dimension ref="B3:S22"/>
  <sheetViews>
    <sheetView workbookViewId="0">
      <selection activeCell="D26" sqref="D26"/>
    </sheetView>
  </sheetViews>
  <sheetFormatPr baseColWidth="10" defaultRowHeight="16" x14ac:dyDescent="0.2"/>
  <cols>
    <col min="3" max="3" width="41.5" customWidth="1"/>
    <col min="4" max="5" width="12.1640625" customWidth="1"/>
    <col min="6" max="7" width="11.6640625" bestFit="1" customWidth="1"/>
    <col min="17" max="17" width="14" bestFit="1" customWidth="1"/>
    <col min="18" max="18" width="18.5" bestFit="1" customWidth="1"/>
  </cols>
  <sheetData>
    <row r="3" spans="2:19" x14ac:dyDescent="0.2">
      <c r="J3" s="12" t="s">
        <v>16</v>
      </c>
      <c r="K3" s="12" t="s">
        <v>17</v>
      </c>
      <c r="L3" s="12" t="s">
        <v>18</v>
      </c>
      <c r="M3" s="12">
        <v>2020</v>
      </c>
      <c r="N3" s="12">
        <v>2021</v>
      </c>
      <c r="O3" s="12">
        <v>2022</v>
      </c>
      <c r="P3" s="12"/>
      <c r="Q3" s="12" t="s">
        <v>19</v>
      </c>
      <c r="R3" s="12" t="s">
        <v>20</v>
      </c>
      <c r="S3" s="12" t="s">
        <v>155</v>
      </c>
    </row>
    <row r="4" spans="2:19" x14ac:dyDescent="0.2">
      <c r="J4" t="s">
        <v>7</v>
      </c>
      <c r="K4">
        <v>19</v>
      </c>
      <c r="L4">
        <v>10</v>
      </c>
      <c r="M4" s="3">
        <f>83/3</f>
        <v>27.666666666666668</v>
      </c>
      <c r="N4" s="3">
        <f>92/3</f>
        <v>30.666666666666668</v>
      </c>
      <c r="O4">
        <f>126/3</f>
        <v>42</v>
      </c>
      <c r="P4" s="3">
        <f>((2*K4)+(3*L4)+M4+N4+O4)/8</f>
        <v>21.041666666666668</v>
      </c>
      <c r="Q4">
        <f>P4/$Q$9</f>
        <v>0.93518518518518523</v>
      </c>
      <c r="R4" s="3">
        <f>P4*Q4</f>
        <v>19.677854938271608</v>
      </c>
      <c r="S4" s="3">
        <f>R4*70%</f>
        <v>13.774498456790125</v>
      </c>
    </row>
    <row r="5" spans="2:19" x14ac:dyDescent="0.2">
      <c r="J5" t="s">
        <v>8</v>
      </c>
      <c r="K5">
        <v>25</v>
      </c>
      <c r="L5">
        <v>11</v>
      </c>
      <c r="M5" s="3">
        <f t="shared" ref="M5:M6" si="0">83/3</f>
        <v>27.666666666666668</v>
      </c>
      <c r="N5" s="3">
        <f t="shared" ref="N5:N6" si="1">92/3</f>
        <v>30.666666666666668</v>
      </c>
      <c r="O5">
        <f t="shared" ref="O5:O6" si="2">126/3</f>
        <v>42</v>
      </c>
      <c r="P5" s="3">
        <f t="shared" ref="P5:P6" si="3">((2*K5)+(3*L5)+M5+N5+O5)/8</f>
        <v>22.916666666666668</v>
      </c>
      <c r="Q5">
        <f>P5/$Q$9</f>
        <v>1.0185185185185186</v>
      </c>
      <c r="R5" s="3">
        <f t="shared" ref="R5:R6" si="4">P5*Q5</f>
        <v>23.341049382716051</v>
      </c>
      <c r="S5" s="3">
        <f t="shared" ref="S5:S6" si="5">R5*70%</f>
        <v>16.338734567901234</v>
      </c>
    </row>
    <row r="6" spans="2:19" x14ac:dyDescent="0.2">
      <c r="J6" t="s">
        <v>9</v>
      </c>
      <c r="K6">
        <v>26</v>
      </c>
      <c r="L6">
        <v>12</v>
      </c>
      <c r="M6" s="3">
        <f t="shared" si="0"/>
        <v>27.666666666666668</v>
      </c>
      <c r="N6" s="3">
        <f t="shared" si="1"/>
        <v>30.666666666666668</v>
      </c>
      <c r="O6">
        <f t="shared" si="2"/>
        <v>42</v>
      </c>
      <c r="P6" s="3">
        <f t="shared" si="3"/>
        <v>23.541666666666668</v>
      </c>
      <c r="Q6">
        <f>P6/$Q$9</f>
        <v>1.0462962962962963</v>
      </c>
      <c r="R6" s="3">
        <f t="shared" si="4"/>
        <v>24.63155864197531</v>
      </c>
      <c r="S6" s="3">
        <f t="shared" si="5"/>
        <v>17.242091049382715</v>
      </c>
    </row>
    <row r="7" spans="2:19" x14ac:dyDescent="0.2">
      <c r="R7" s="3"/>
      <c r="S7" s="3"/>
    </row>
    <row r="8" spans="2:19" x14ac:dyDescent="0.2">
      <c r="I8" s="6"/>
    </row>
    <row r="9" spans="2:19" x14ac:dyDescent="0.2">
      <c r="I9" s="6"/>
      <c r="P9" t="s">
        <v>21</v>
      </c>
      <c r="Q9" s="3">
        <f>AVERAGE(P4:P6)</f>
        <v>22.5</v>
      </c>
      <c r="R9" t="s">
        <v>31</v>
      </c>
      <c r="S9" s="3">
        <f>SUM(S4:S6)</f>
        <v>47.355324074074076</v>
      </c>
    </row>
    <row r="10" spans="2:19" x14ac:dyDescent="0.2">
      <c r="I10" s="6"/>
      <c r="Q10" s="6"/>
    </row>
    <row r="11" spans="2:19" x14ac:dyDescent="0.2">
      <c r="I11" s="6"/>
      <c r="Q11" s="6"/>
    </row>
    <row r="12" spans="2:19" x14ac:dyDescent="0.2">
      <c r="I12" s="6"/>
      <c r="Q12" s="6"/>
    </row>
    <row r="13" spans="2:19" x14ac:dyDescent="0.2">
      <c r="I13" s="6"/>
      <c r="K13" t="s">
        <v>22</v>
      </c>
      <c r="Q13" s="6"/>
    </row>
    <row r="14" spans="2:19" s="6" customFormat="1" ht="28" customHeight="1" x14ac:dyDescent="0.2">
      <c r="B14" s="6" t="s">
        <v>24</v>
      </c>
      <c r="C14" s="6" t="s">
        <v>86</v>
      </c>
      <c r="D14" s="24">
        <f>(F16*D17)+(D19*D18*SQRT(F16))</f>
        <v>14.822628200586642</v>
      </c>
      <c r="I14"/>
      <c r="J14">
        <v>2023</v>
      </c>
      <c r="K14">
        <f>SUM(K4:K6)</f>
        <v>70</v>
      </c>
      <c r="L14"/>
      <c r="M14"/>
      <c r="N14"/>
      <c r="O14"/>
      <c r="P14"/>
      <c r="Q14"/>
    </row>
    <row r="15" spans="2:19" s="6" customFormat="1" ht="28" customHeight="1" x14ac:dyDescent="0.2">
      <c r="B15" s="6" t="s">
        <v>26</v>
      </c>
      <c r="C15" s="6" t="s">
        <v>34</v>
      </c>
      <c r="D15" s="11">
        <f>SQRT((2*D20*D21)/D22)</f>
        <v>38.363317894606027</v>
      </c>
      <c r="E15" s="6" t="s">
        <v>50</v>
      </c>
      <c r="I15"/>
      <c r="J15">
        <v>2024</v>
      </c>
      <c r="K15">
        <f>SUM(L4:L6)</f>
        <v>33</v>
      </c>
      <c r="L15"/>
      <c r="M15"/>
      <c r="N15"/>
      <c r="O15" t="s">
        <v>149</v>
      </c>
      <c r="P15"/>
      <c r="Q15"/>
    </row>
    <row r="16" spans="2:19" s="6" customFormat="1" ht="51" x14ac:dyDescent="0.2">
      <c r="B16" s="6" t="s">
        <v>25</v>
      </c>
      <c r="C16" s="6" t="s">
        <v>38</v>
      </c>
      <c r="D16" s="37" t="s">
        <v>42</v>
      </c>
      <c r="E16" s="6" t="s">
        <v>43</v>
      </c>
      <c r="F16" s="6">
        <f>(7)/30</f>
        <v>0.23333333333333334</v>
      </c>
      <c r="G16" s="6" t="s">
        <v>61</v>
      </c>
      <c r="I16"/>
      <c r="J16" s="6">
        <v>2020</v>
      </c>
      <c r="K16" s="9">
        <f>SUM(M4:M6)</f>
        <v>83</v>
      </c>
      <c r="M16"/>
      <c r="N16"/>
      <c r="O16"/>
      <c r="P16"/>
      <c r="Q16"/>
    </row>
    <row r="17" spans="2:17" s="6" customFormat="1" ht="28" customHeight="1" x14ac:dyDescent="0.2">
      <c r="B17" s="6" t="s">
        <v>27</v>
      </c>
      <c r="C17" s="6" t="s">
        <v>32</v>
      </c>
      <c r="D17" s="9">
        <f>Q9</f>
        <v>22.5</v>
      </c>
      <c r="I17"/>
      <c r="J17" s="6">
        <v>2021</v>
      </c>
      <c r="K17" s="9">
        <f>SUM(N4:N6)</f>
        <v>92</v>
      </c>
      <c r="M17"/>
      <c r="N17"/>
      <c r="O17"/>
      <c r="P17"/>
      <c r="Q17"/>
    </row>
    <row r="18" spans="2:17" s="6" customFormat="1" ht="28" customHeight="1" x14ac:dyDescent="0.2">
      <c r="B18" s="6" t="s">
        <v>29</v>
      </c>
      <c r="C18" s="6" t="s">
        <v>33</v>
      </c>
      <c r="D18" s="9">
        <f>STDEV(K4:O6)</f>
        <v>10.541076117469494</v>
      </c>
      <c r="I18"/>
      <c r="J18" s="6">
        <v>2022</v>
      </c>
      <c r="K18" s="6">
        <f>SUM(O4:O6)</f>
        <v>126</v>
      </c>
      <c r="M18"/>
      <c r="N18"/>
      <c r="O18"/>
      <c r="P18"/>
      <c r="Q18"/>
    </row>
    <row r="19" spans="2:17" s="6" customFormat="1" ht="28" customHeight="1" x14ac:dyDescent="0.2">
      <c r="B19" s="6" t="s">
        <v>28</v>
      </c>
      <c r="C19" s="7" t="s">
        <v>36</v>
      </c>
      <c r="D19" s="6">
        <v>1.88</v>
      </c>
      <c r="I19"/>
      <c r="J19" s="4" t="s">
        <v>23</v>
      </c>
      <c r="K19" s="3">
        <f>SUM(R4:R6)</f>
        <v>67.650462962962962</v>
      </c>
      <c r="L19"/>
      <c r="M19"/>
      <c r="N19"/>
      <c r="O19"/>
      <c r="P19"/>
      <c r="Q19"/>
    </row>
    <row r="20" spans="2:17" s="6" customFormat="1" ht="28" customHeight="1" x14ac:dyDescent="0.2">
      <c r="B20" s="6" t="s">
        <v>30</v>
      </c>
      <c r="C20" s="6" t="s">
        <v>35</v>
      </c>
      <c r="D20" s="8">
        <f>'Inventory + Shipping Fees'!D28</f>
        <v>49.47</v>
      </c>
      <c r="E20" s="10"/>
      <c r="I20"/>
      <c r="J20" s="4" t="s">
        <v>156</v>
      </c>
      <c r="K20" s="33">
        <f>S9</f>
        <v>47.355324074074076</v>
      </c>
      <c r="L20"/>
      <c r="M20"/>
      <c r="N20"/>
      <c r="O20"/>
      <c r="P20"/>
      <c r="Q20"/>
    </row>
    <row r="21" spans="2:17" s="6" customFormat="1" ht="28" customHeight="1" x14ac:dyDescent="0.2">
      <c r="B21" s="6" t="s">
        <v>31</v>
      </c>
      <c r="C21" s="6" t="s">
        <v>60</v>
      </c>
      <c r="D21" s="9">
        <f>K20/3</f>
        <v>15.785108024691359</v>
      </c>
      <c r="J21"/>
      <c r="K21"/>
      <c r="L21"/>
    </row>
    <row r="22" spans="2:17" ht="17" x14ac:dyDescent="0.2">
      <c r="B22" s="6" t="s">
        <v>44</v>
      </c>
      <c r="C22" s="6" t="s">
        <v>45</v>
      </c>
      <c r="D22">
        <f>'Yearly Multi-echelon Model'!D22</f>
        <v>1.0611753255318139</v>
      </c>
      <c r="E22" t="s">
        <v>46</v>
      </c>
      <c r="F22" t="s">
        <v>49</v>
      </c>
      <c r="K22" s="3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C1366-6BE1-2A4E-9BFE-18322320873E}">
  <dimension ref="B3:S22"/>
  <sheetViews>
    <sheetView topLeftCell="B1" workbookViewId="0">
      <selection activeCell="P5" sqref="P5"/>
    </sheetView>
  </sheetViews>
  <sheetFormatPr baseColWidth="10" defaultRowHeight="16" x14ac:dyDescent="0.2"/>
  <cols>
    <col min="3" max="3" width="41.5" customWidth="1"/>
    <col min="4" max="5" width="12.1640625" customWidth="1"/>
    <col min="6" max="7" width="11.6640625" bestFit="1" customWidth="1"/>
  </cols>
  <sheetData>
    <row r="3" spans="2:19" x14ac:dyDescent="0.2">
      <c r="J3" s="12" t="s">
        <v>16</v>
      </c>
      <c r="K3" s="12" t="s">
        <v>17</v>
      </c>
      <c r="L3" s="12" t="s">
        <v>18</v>
      </c>
      <c r="M3" s="12">
        <v>2020</v>
      </c>
      <c r="N3" s="12">
        <v>2021</v>
      </c>
      <c r="O3" s="12">
        <v>2022</v>
      </c>
      <c r="P3" s="12"/>
      <c r="Q3" s="12" t="s">
        <v>19</v>
      </c>
      <c r="R3" s="12" t="s">
        <v>20</v>
      </c>
      <c r="S3" s="12" t="s">
        <v>155</v>
      </c>
    </row>
    <row r="4" spans="2:19" x14ac:dyDescent="0.2">
      <c r="J4" t="s">
        <v>10</v>
      </c>
      <c r="K4">
        <v>24</v>
      </c>
      <c r="L4">
        <v>7</v>
      </c>
      <c r="M4" s="3">
        <f>157/3</f>
        <v>52.333333333333336</v>
      </c>
      <c r="N4">
        <v>0</v>
      </c>
      <c r="O4" s="3">
        <f>74/3</f>
        <v>24.666666666666668</v>
      </c>
      <c r="P4" s="3">
        <f>((2*K4)+(3*L4)+M4+N4+O4)/8</f>
        <v>18.25</v>
      </c>
      <c r="Q4">
        <f>P4/$Q$9</f>
        <v>0.87425149700598803</v>
      </c>
      <c r="R4" s="3">
        <f>P4*Q4</f>
        <v>15.955089820359282</v>
      </c>
      <c r="S4" s="3">
        <f>R4*70%</f>
        <v>11.168562874251498</v>
      </c>
    </row>
    <row r="5" spans="2:19" x14ac:dyDescent="0.2">
      <c r="J5" t="s">
        <v>11</v>
      </c>
      <c r="K5">
        <v>35</v>
      </c>
      <c r="L5">
        <v>7</v>
      </c>
      <c r="M5" s="3">
        <f t="shared" ref="M5:M6" si="0">157/3</f>
        <v>52.333333333333336</v>
      </c>
      <c r="N5">
        <v>0</v>
      </c>
      <c r="O5" s="3">
        <f t="shared" ref="O5:O6" si="1">74/3</f>
        <v>24.666666666666668</v>
      </c>
      <c r="P5" s="3">
        <f t="shared" ref="P5:P6" si="2">((2*K5)+(3*L5)+M5+N5+O5)/8</f>
        <v>21</v>
      </c>
      <c r="Q5">
        <f>P5/$Q$9</f>
        <v>1.0059880239520957</v>
      </c>
      <c r="R5" s="3">
        <f t="shared" ref="R5:R6" si="3">P5*Q5</f>
        <v>21.125748502994011</v>
      </c>
      <c r="S5" s="3">
        <f t="shared" ref="S5:S6" si="4">R5*70%</f>
        <v>14.788023952095806</v>
      </c>
    </row>
    <row r="6" spans="2:19" x14ac:dyDescent="0.2">
      <c r="J6" t="s">
        <v>12</v>
      </c>
      <c r="K6">
        <v>37</v>
      </c>
      <c r="L6">
        <v>12</v>
      </c>
      <c r="M6" s="3">
        <f t="shared" si="0"/>
        <v>52.333333333333336</v>
      </c>
      <c r="N6">
        <v>0</v>
      </c>
      <c r="O6" s="3">
        <f t="shared" si="1"/>
        <v>24.666666666666668</v>
      </c>
      <c r="P6" s="3">
        <f t="shared" si="2"/>
        <v>23.375</v>
      </c>
      <c r="Q6">
        <f>P6/$Q$9</f>
        <v>1.1197604790419162</v>
      </c>
      <c r="R6" s="3">
        <f t="shared" si="3"/>
        <v>26.174401197604791</v>
      </c>
      <c r="S6" s="3">
        <f t="shared" si="4"/>
        <v>18.322080838323352</v>
      </c>
    </row>
    <row r="7" spans="2:19" x14ac:dyDescent="0.2">
      <c r="R7" s="3"/>
      <c r="S7" s="3"/>
    </row>
    <row r="8" spans="2:19" x14ac:dyDescent="0.2">
      <c r="I8" s="6"/>
    </row>
    <row r="9" spans="2:19" x14ac:dyDescent="0.2">
      <c r="I9" s="6"/>
      <c r="M9" s="3"/>
      <c r="P9" t="s">
        <v>21</v>
      </c>
      <c r="Q9">
        <f>AVERAGE(P4:P6)</f>
        <v>20.875</v>
      </c>
      <c r="R9" t="s">
        <v>31</v>
      </c>
      <c r="S9" s="3">
        <f>SUM(S4:S6)</f>
        <v>44.278667664670657</v>
      </c>
    </row>
    <row r="10" spans="2:19" x14ac:dyDescent="0.2">
      <c r="I10" s="6"/>
      <c r="Q10" s="6"/>
    </row>
    <row r="11" spans="2:19" x14ac:dyDescent="0.2">
      <c r="I11" s="6"/>
      <c r="Q11" s="6"/>
    </row>
    <row r="12" spans="2:19" x14ac:dyDescent="0.2">
      <c r="I12" s="6"/>
      <c r="Q12" s="6"/>
    </row>
    <row r="13" spans="2:19" x14ac:dyDescent="0.2">
      <c r="I13" s="6"/>
      <c r="K13" t="s">
        <v>22</v>
      </c>
      <c r="Q13" s="6"/>
    </row>
    <row r="14" spans="2:19" s="6" customFormat="1" ht="28" customHeight="1" x14ac:dyDescent="0.2">
      <c r="B14" s="6" t="s">
        <v>24</v>
      </c>
      <c r="C14" s="6" t="s">
        <v>86</v>
      </c>
      <c r="D14" s="11">
        <f>(F16*D17)+(D19*D18*SQRT(F16))</f>
        <v>22.282245376396737</v>
      </c>
      <c r="I14"/>
      <c r="J14">
        <v>2023</v>
      </c>
      <c r="K14">
        <f>SUM(K4:K6)</f>
        <v>96</v>
      </c>
      <c r="L14"/>
      <c r="M14"/>
      <c r="N14"/>
      <c r="O14"/>
      <c r="P14"/>
      <c r="Q14"/>
    </row>
    <row r="15" spans="2:19" s="6" customFormat="1" ht="28" customHeight="1" x14ac:dyDescent="0.2">
      <c r="B15" s="6" t="s">
        <v>26</v>
      </c>
      <c r="C15" s="6" t="s">
        <v>34</v>
      </c>
      <c r="D15" s="11">
        <f>SQRT((2*D20*D21)/D22)</f>
        <v>37.096166003742944</v>
      </c>
      <c r="E15" s="6" t="s">
        <v>50</v>
      </c>
      <c r="I15"/>
      <c r="J15">
        <v>2024</v>
      </c>
      <c r="K15">
        <f>SUM(L4:L6)</f>
        <v>26</v>
      </c>
      <c r="L15"/>
      <c r="M15"/>
      <c r="N15"/>
      <c r="O15"/>
      <c r="P15" t="s">
        <v>149</v>
      </c>
      <c r="Q15"/>
    </row>
    <row r="16" spans="2:19" s="6" customFormat="1" ht="51" x14ac:dyDescent="0.2">
      <c r="B16" s="6" t="s">
        <v>25</v>
      </c>
      <c r="C16" s="6" t="s">
        <v>38</v>
      </c>
      <c r="D16" s="37" t="s">
        <v>42</v>
      </c>
      <c r="E16" s="6" t="s">
        <v>43</v>
      </c>
      <c r="F16" s="6">
        <f>(7)/30</f>
        <v>0.23333333333333334</v>
      </c>
      <c r="G16" s="6" t="s">
        <v>61</v>
      </c>
      <c r="I16"/>
      <c r="J16" s="6">
        <v>2020</v>
      </c>
      <c r="K16" s="9">
        <f>SUM(M4:M6)</f>
        <v>157</v>
      </c>
      <c r="M16"/>
      <c r="N16"/>
      <c r="O16"/>
      <c r="P16"/>
      <c r="Q16"/>
    </row>
    <row r="17" spans="2:17" s="6" customFormat="1" ht="28" customHeight="1" x14ac:dyDescent="0.2">
      <c r="B17" s="6" t="s">
        <v>27</v>
      </c>
      <c r="C17" s="6" t="s">
        <v>32</v>
      </c>
      <c r="D17" s="9">
        <f>Q9</f>
        <v>20.875</v>
      </c>
      <c r="I17"/>
      <c r="J17" s="6">
        <v>2021</v>
      </c>
      <c r="K17" s="6">
        <f>SUM(N4:N6)</f>
        <v>0</v>
      </c>
      <c r="M17"/>
      <c r="N17"/>
      <c r="O17"/>
      <c r="P17"/>
      <c r="Q17"/>
    </row>
    <row r="18" spans="2:17" s="6" customFormat="1" ht="28" customHeight="1" x14ac:dyDescent="0.2">
      <c r="B18" s="6" t="s">
        <v>29</v>
      </c>
      <c r="C18" s="6" t="s">
        <v>33</v>
      </c>
      <c r="D18" s="9">
        <f>STDEV(K4:O6)</f>
        <v>19.172897537930986</v>
      </c>
      <c r="I18"/>
      <c r="J18" s="6">
        <v>2022</v>
      </c>
      <c r="K18" s="9">
        <f>SUM(O4:O6)</f>
        <v>74</v>
      </c>
      <c r="M18"/>
      <c r="N18"/>
      <c r="O18"/>
      <c r="P18"/>
      <c r="Q18"/>
    </row>
    <row r="19" spans="2:17" s="6" customFormat="1" ht="28" customHeight="1" x14ac:dyDescent="0.2">
      <c r="B19" s="6" t="s">
        <v>28</v>
      </c>
      <c r="C19" s="7" t="s">
        <v>36</v>
      </c>
      <c r="D19" s="6">
        <v>1.88</v>
      </c>
      <c r="I19"/>
      <c r="J19" s="4" t="s">
        <v>23</v>
      </c>
      <c r="K19" s="3">
        <f>SUM(R4:R6)</f>
        <v>63.255239520958085</v>
      </c>
      <c r="L19"/>
      <c r="M19"/>
      <c r="N19"/>
      <c r="O19"/>
      <c r="P19"/>
      <c r="Q19"/>
    </row>
    <row r="20" spans="2:17" s="6" customFormat="1" ht="28" customHeight="1" x14ac:dyDescent="0.2">
      <c r="B20" s="6" t="s">
        <v>30</v>
      </c>
      <c r="C20" s="6" t="s">
        <v>35</v>
      </c>
      <c r="D20" s="8">
        <f>'Inventory + Shipping Fees'!D28</f>
        <v>49.47</v>
      </c>
      <c r="E20" s="10"/>
      <c r="I20"/>
      <c r="J20" s="4" t="s">
        <v>156</v>
      </c>
      <c r="K20" s="33">
        <f>S9</f>
        <v>44.278667664670657</v>
      </c>
      <c r="L20"/>
      <c r="M20"/>
      <c r="N20"/>
      <c r="O20"/>
      <c r="P20"/>
      <c r="Q20"/>
    </row>
    <row r="21" spans="2:17" s="6" customFormat="1" ht="28" customHeight="1" x14ac:dyDescent="0.2">
      <c r="B21" s="6" t="s">
        <v>31</v>
      </c>
      <c r="C21" s="19" t="s">
        <v>60</v>
      </c>
      <c r="D21" s="20">
        <f>K20/3</f>
        <v>14.759555888223552</v>
      </c>
      <c r="J21"/>
      <c r="K21"/>
      <c r="L21"/>
    </row>
    <row r="22" spans="2:17" ht="17" x14ac:dyDescent="0.2">
      <c r="B22" s="6" t="s">
        <v>44</v>
      </c>
      <c r="C22" s="6" t="s">
        <v>45</v>
      </c>
      <c r="D22" s="13">
        <f>'Yearly Multi-echelon Model'!D22</f>
        <v>1.0611753255318139</v>
      </c>
      <c r="E22" t="s">
        <v>46</v>
      </c>
      <c r="F22" t="s">
        <v>49</v>
      </c>
      <c r="K22" s="3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61517-E610-184B-BBB1-61193CA57635}">
  <dimension ref="B3:S22"/>
  <sheetViews>
    <sheetView zoomScale="110" zoomScaleNormal="110" workbookViewId="0">
      <selection activeCell="N21" sqref="N21"/>
    </sheetView>
  </sheetViews>
  <sheetFormatPr baseColWidth="10" defaultRowHeight="16" x14ac:dyDescent="0.2"/>
  <cols>
    <col min="3" max="3" width="41.5" customWidth="1"/>
    <col min="4" max="5" width="12.1640625" customWidth="1"/>
    <col min="6" max="7" width="11.6640625" bestFit="1" customWidth="1"/>
    <col min="15" max="15" width="10.5" customWidth="1"/>
    <col min="18" max="18" width="18.5" bestFit="1" customWidth="1"/>
    <col min="19" max="19" width="13" bestFit="1" customWidth="1"/>
  </cols>
  <sheetData>
    <row r="3" spans="2:19" x14ac:dyDescent="0.2">
      <c r="J3" s="12" t="s">
        <v>16</v>
      </c>
      <c r="K3" s="12" t="s">
        <v>17</v>
      </c>
      <c r="L3" s="12" t="s">
        <v>18</v>
      </c>
      <c r="M3" s="12">
        <v>2020</v>
      </c>
      <c r="N3" s="12">
        <v>2021</v>
      </c>
      <c r="O3" s="12">
        <v>2022</v>
      </c>
      <c r="P3" s="12"/>
      <c r="Q3" s="12" t="s">
        <v>19</v>
      </c>
      <c r="R3" s="12" t="s">
        <v>20</v>
      </c>
      <c r="S3" s="12" t="s">
        <v>155</v>
      </c>
    </row>
    <row r="4" spans="2:19" x14ac:dyDescent="0.2">
      <c r="J4" t="s">
        <v>13</v>
      </c>
      <c r="K4">
        <v>37</v>
      </c>
      <c r="L4">
        <v>9</v>
      </c>
      <c r="M4">
        <f>576/3</f>
        <v>192</v>
      </c>
      <c r="N4">
        <f>288/3</f>
        <v>96</v>
      </c>
      <c r="O4" s="3">
        <f>151/3</f>
        <v>50.333333333333336</v>
      </c>
      <c r="P4" s="3">
        <f>((2*K4)+(3*L4)+O4)/6</f>
        <v>25.222222222222225</v>
      </c>
      <c r="Q4">
        <f>P4/$Q$9</f>
        <v>0.5710691823899372</v>
      </c>
      <c r="R4" s="3">
        <f>P4*Q4</f>
        <v>14.403633822501751</v>
      </c>
      <c r="S4" s="3">
        <f>R4*70%</f>
        <v>10.082543675751225</v>
      </c>
    </row>
    <row r="5" spans="2:19" x14ac:dyDescent="0.2">
      <c r="J5" t="s">
        <v>14</v>
      </c>
      <c r="K5">
        <v>47</v>
      </c>
      <c r="L5">
        <v>38</v>
      </c>
      <c r="M5">
        <f t="shared" ref="M5:M6" si="0">576/3</f>
        <v>192</v>
      </c>
      <c r="N5">
        <f t="shared" ref="N5:N6" si="1">288/3</f>
        <v>96</v>
      </c>
      <c r="O5" s="3">
        <f t="shared" ref="O5:O6" si="2">151/3</f>
        <v>50.333333333333336</v>
      </c>
      <c r="P5" s="3">
        <f>((2*K5)+(3*L5)+O5)/6</f>
        <v>43.05555555555555</v>
      </c>
      <c r="Q5">
        <f>P5/$Q$9</f>
        <v>0.97484276729559738</v>
      </c>
      <c r="R5" s="3">
        <f t="shared" ref="R5" si="3">P5*Q5</f>
        <v>41.972396925227102</v>
      </c>
      <c r="S5" s="3">
        <f t="shared" ref="S5:S6" si="4">R5*70%</f>
        <v>29.380677847658969</v>
      </c>
    </row>
    <row r="6" spans="2:19" x14ac:dyDescent="0.2">
      <c r="J6" t="s">
        <v>15</v>
      </c>
      <c r="K6">
        <v>85</v>
      </c>
      <c r="L6">
        <v>55</v>
      </c>
      <c r="M6">
        <f t="shared" si="0"/>
        <v>192</v>
      </c>
      <c r="N6">
        <f t="shared" si="1"/>
        <v>96</v>
      </c>
      <c r="O6" s="3">
        <f t="shared" si="2"/>
        <v>50.333333333333336</v>
      </c>
      <c r="P6" s="3">
        <f t="shared" ref="P6" si="5">((2*K6)+(3*L6)+O6)/6</f>
        <v>64.222222222222214</v>
      </c>
      <c r="Q6">
        <f>P6/$Q$9</f>
        <v>1.4540880503144653</v>
      </c>
      <c r="R6" s="3">
        <f>P6*Q6</f>
        <v>93.384765897973423</v>
      </c>
      <c r="S6" s="3">
        <f t="shared" si="4"/>
        <v>65.369336128581395</v>
      </c>
    </row>
    <row r="7" spans="2:19" x14ac:dyDescent="0.2">
      <c r="R7" s="3"/>
      <c r="S7" s="3"/>
    </row>
    <row r="8" spans="2:19" x14ac:dyDescent="0.2">
      <c r="I8" s="6"/>
    </row>
    <row r="9" spans="2:19" x14ac:dyDescent="0.2">
      <c r="I9" s="6"/>
      <c r="P9" t="s">
        <v>21</v>
      </c>
      <c r="Q9" s="3">
        <f>AVERAGE(P4:P6)</f>
        <v>44.166666666666664</v>
      </c>
      <c r="R9" t="s">
        <v>31</v>
      </c>
      <c r="S9" s="3">
        <f>SUM(S4:S6)</f>
        <v>104.83255765199159</v>
      </c>
    </row>
    <row r="10" spans="2:19" x14ac:dyDescent="0.2">
      <c r="I10" s="6"/>
      <c r="Q10" s="6"/>
    </row>
    <row r="11" spans="2:19" x14ac:dyDescent="0.2">
      <c r="I11" s="6"/>
      <c r="Q11" s="6"/>
    </row>
    <row r="12" spans="2:19" x14ac:dyDescent="0.2">
      <c r="I12" s="6"/>
      <c r="Q12" s="6"/>
    </row>
    <row r="13" spans="2:19" x14ac:dyDescent="0.2">
      <c r="I13" s="6"/>
      <c r="K13" t="s">
        <v>22</v>
      </c>
      <c r="Q13" s="6"/>
    </row>
    <row r="14" spans="2:19" s="6" customFormat="1" ht="28" customHeight="1" x14ac:dyDescent="0.2">
      <c r="B14" s="6" t="s">
        <v>24</v>
      </c>
      <c r="C14" s="6" t="s">
        <v>86</v>
      </c>
      <c r="D14" s="11">
        <f>(F16*D17)+(D19*D18*SQRT(F16))</f>
        <v>32.96447387827245</v>
      </c>
      <c r="I14"/>
      <c r="J14">
        <v>2023</v>
      </c>
      <c r="K14">
        <f>SUM(K4:K6)</f>
        <v>169</v>
      </c>
      <c r="L14"/>
      <c r="M14"/>
      <c r="N14"/>
      <c r="O14"/>
      <c r="P14"/>
      <c r="Q14"/>
    </row>
    <row r="15" spans="2:19" s="6" customFormat="1" ht="28" customHeight="1" x14ac:dyDescent="0.2">
      <c r="B15" s="6" t="s">
        <v>26</v>
      </c>
      <c r="C15" s="6" t="s">
        <v>34</v>
      </c>
      <c r="D15" s="11">
        <f>SQRT((2*D20*D21)/D22)</f>
        <v>57.079458559945671</v>
      </c>
      <c r="E15" s="6" t="s">
        <v>50</v>
      </c>
      <c r="I15"/>
      <c r="J15">
        <v>2024</v>
      </c>
      <c r="K15">
        <f>SUM(L4:L6)</f>
        <v>102</v>
      </c>
      <c r="L15"/>
      <c r="M15"/>
      <c r="N15"/>
      <c r="O15"/>
      <c r="P15"/>
      <c r="Q15"/>
    </row>
    <row r="16" spans="2:19" s="6" customFormat="1" ht="51" x14ac:dyDescent="0.2">
      <c r="B16" s="6" t="s">
        <v>25</v>
      </c>
      <c r="C16" s="6" t="s">
        <v>38</v>
      </c>
      <c r="D16" s="37" t="s">
        <v>42</v>
      </c>
      <c r="E16" s="6" t="s">
        <v>43</v>
      </c>
      <c r="F16" s="6">
        <f>(7)/30</f>
        <v>0.23333333333333334</v>
      </c>
      <c r="G16" s="6" t="s">
        <v>61</v>
      </c>
      <c r="J16" s="6">
        <v>2020</v>
      </c>
      <c r="K16" s="6">
        <f>SUM(M4:M6)</f>
        <v>576</v>
      </c>
      <c r="M16"/>
      <c r="N16"/>
      <c r="O16"/>
      <c r="P16"/>
      <c r="Q16"/>
    </row>
    <row r="17" spans="2:17" s="6" customFormat="1" ht="28" customHeight="1" x14ac:dyDescent="0.2">
      <c r="B17" s="6" t="s">
        <v>27</v>
      </c>
      <c r="C17" s="6" t="s">
        <v>32</v>
      </c>
      <c r="D17" s="9">
        <f>Q9</f>
        <v>44.166666666666664</v>
      </c>
      <c r="J17" s="6">
        <v>2021</v>
      </c>
      <c r="K17" s="6">
        <f>SUM(N4:N6)</f>
        <v>288</v>
      </c>
      <c r="M17"/>
      <c r="N17"/>
      <c r="O17" s="29" t="s">
        <v>162</v>
      </c>
      <c r="P17" s="29"/>
      <c r="Q17"/>
    </row>
    <row r="18" spans="2:17" s="6" customFormat="1" ht="28" customHeight="1" x14ac:dyDescent="0.2">
      <c r="B18" s="6" t="s">
        <v>29</v>
      </c>
      <c r="C18" s="6" t="s">
        <v>33</v>
      </c>
      <c r="D18" s="21">
        <f>STDEV(K4:L6)</f>
        <v>24.951285872008015</v>
      </c>
      <c r="E18" s="6" t="s">
        <v>62</v>
      </c>
      <c r="J18" s="6">
        <v>2022</v>
      </c>
      <c r="K18" s="9">
        <f>SUM(O4:O6)</f>
        <v>151</v>
      </c>
      <c r="M18"/>
      <c r="N18"/>
      <c r="O18"/>
      <c r="P18"/>
      <c r="Q18"/>
    </row>
    <row r="19" spans="2:17" s="6" customFormat="1" ht="28" customHeight="1" x14ac:dyDescent="0.2">
      <c r="B19" s="6" t="s">
        <v>28</v>
      </c>
      <c r="C19" s="7" t="s">
        <v>36</v>
      </c>
      <c r="D19" s="6">
        <v>1.88</v>
      </c>
      <c r="I19"/>
      <c r="J19" s="4" t="s">
        <v>23</v>
      </c>
      <c r="K19" s="3">
        <f>SUM(R4:R6)</f>
        <v>149.76079664570227</v>
      </c>
      <c r="L19"/>
      <c r="M19"/>
      <c r="N19"/>
      <c r="O19"/>
      <c r="P19"/>
      <c r="Q19"/>
    </row>
    <row r="20" spans="2:17" s="6" customFormat="1" ht="28" customHeight="1" x14ac:dyDescent="0.2">
      <c r="B20" s="6" t="s">
        <v>30</v>
      </c>
      <c r="C20" s="6" t="s">
        <v>35</v>
      </c>
      <c r="D20" s="8">
        <f>'Inventory + Shipping Fees'!D28</f>
        <v>49.47</v>
      </c>
      <c r="E20" s="10"/>
      <c r="I20"/>
      <c r="J20" s="4" t="s">
        <v>156</v>
      </c>
      <c r="K20" s="33">
        <f>S9</f>
        <v>104.83255765199159</v>
      </c>
      <c r="L20"/>
      <c r="M20"/>
      <c r="N20"/>
      <c r="O20"/>
      <c r="P20"/>
      <c r="Q20"/>
    </row>
    <row r="21" spans="2:17" s="6" customFormat="1" ht="28" customHeight="1" x14ac:dyDescent="0.2">
      <c r="B21" s="6" t="s">
        <v>31</v>
      </c>
      <c r="C21" s="19" t="s">
        <v>60</v>
      </c>
      <c r="D21" s="20">
        <f>K20/3</f>
        <v>34.9441858839972</v>
      </c>
      <c r="I21"/>
      <c r="J21"/>
      <c r="K21"/>
      <c r="L21"/>
    </row>
    <row r="22" spans="2:17" ht="17" x14ac:dyDescent="0.2">
      <c r="B22" s="6" t="s">
        <v>44</v>
      </c>
      <c r="C22" s="6" t="s">
        <v>45</v>
      </c>
      <c r="D22" s="13">
        <f>'Yearly Multi-echelon Model'!D22</f>
        <v>1.0611753255318139</v>
      </c>
      <c r="E22" t="s">
        <v>46</v>
      </c>
      <c r="F22" t="s">
        <v>49</v>
      </c>
      <c r="K22" s="3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9042D-1A35-D648-A83C-58E997B5402F}">
  <dimension ref="A1:N29"/>
  <sheetViews>
    <sheetView workbookViewId="0">
      <selection activeCell="C29" sqref="C29"/>
    </sheetView>
  </sheetViews>
  <sheetFormatPr baseColWidth="10" defaultRowHeight="16" x14ac:dyDescent="0.2"/>
  <cols>
    <col min="1" max="1" width="21.6640625" bestFit="1" customWidth="1"/>
    <col min="8" max="8" width="18" bestFit="1" customWidth="1"/>
    <col min="9" max="9" width="15.6640625" bestFit="1" customWidth="1"/>
    <col min="10" max="10" width="11.33203125" bestFit="1" customWidth="1"/>
    <col min="11" max="11" width="17.83203125" bestFit="1" customWidth="1"/>
    <col min="12" max="12" width="13.1640625" bestFit="1" customWidth="1"/>
    <col min="13" max="13" width="9.5" bestFit="1" customWidth="1"/>
    <col min="14" max="14" width="14.5" bestFit="1" customWidth="1"/>
  </cols>
  <sheetData>
    <row r="1" spans="1:14" x14ac:dyDescent="0.2">
      <c r="A1" s="12" t="s">
        <v>64</v>
      </c>
      <c r="G1" s="22" t="s">
        <v>16</v>
      </c>
      <c r="H1" s="22" t="s">
        <v>69</v>
      </c>
      <c r="I1" s="22" t="s">
        <v>70</v>
      </c>
      <c r="J1" s="22" t="s">
        <v>64</v>
      </c>
      <c r="K1" s="22" t="s">
        <v>85</v>
      </c>
      <c r="L1" s="22" t="s">
        <v>71</v>
      </c>
      <c r="M1" s="22" t="s">
        <v>84</v>
      </c>
      <c r="N1" s="22" t="s">
        <v>72</v>
      </c>
    </row>
    <row r="2" spans="1:14" x14ac:dyDescent="0.2">
      <c r="A2" t="s">
        <v>65</v>
      </c>
      <c r="B2">
        <f>(7)/30</f>
        <v>0.23333333333333334</v>
      </c>
      <c r="C2" t="s">
        <v>61</v>
      </c>
      <c r="F2" s="22"/>
      <c r="G2" t="s">
        <v>73</v>
      </c>
      <c r="H2" s="3">
        <f>Forecasting!H7</f>
        <v>26.057268722466958</v>
      </c>
      <c r="I2">
        <v>0</v>
      </c>
      <c r="J2" s="3">
        <f>$B$6</f>
        <v>15.400606457302823</v>
      </c>
      <c r="K2" s="3">
        <f t="shared" ref="K2:K13" si="0">(AVERAGE(C11:D11)*M2)+J2</f>
        <v>22.983939790636157</v>
      </c>
      <c r="L2" s="3">
        <f>SQRT((2*$C$28*$C$27)/$C$29)</f>
        <v>410.42094244811631</v>
      </c>
      <c r="M2" s="23">
        <f>$B$2</f>
        <v>0.23333333333333334</v>
      </c>
      <c r="N2" s="3">
        <f>I2+L2-H2</f>
        <v>384.36367372564933</v>
      </c>
    </row>
    <row r="3" spans="1:14" x14ac:dyDescent="0.2">
      <c r="A3" t="s">
        <v>68</v>
      </c>
      <c r="B3">
        <v>1.645</v>
      </c>
      <c r="F3" s="22"/>
      <c r="G3" t="s">
        <v>74</v>
      </c>
      <c r="H3" s="3">
        <f>Forecasting!H8</f>
        <v>25.261674008810573</v>
      </c>
      <c r="I3">
        <v>0</v>
      </c>
      <c r="J3" s="3">
        <f t="shared" ref="J3:J13" si="1">$B$6</f>
        <v>15.400606457302823</v>
      </c>
      <c r="K3" s="3">
        <f t="shared" si="0"/>
        <v>22.86727312396949</v>
      </c>
      <c r="L3" s="3">
        <f t="shared" ref="L3:L12" si="2">SQRT((2*$C$28*$C$27)/$C$29)</f>
        <v>410.42094244811631</v>
      </c>
      <c r="M3" s="23">
        <f t="shared" ref="M3:M13" si="3">$B$2</f>
        <v>0.23333333333333334</v>
      </c>
      <c r="N3" s="3">
        <f t="shared" ref="N3:N13" si="4">I3+L3-H3</f>
        <v>385.15926843930572</v>
      </c>
    </row>
    <row r="4" spans="1:14" x14ac:dyDescent="0.2">
      <c r="A4" t="s">
        <v>66</v>
      </c>
      <c r="B4">
        <f>STDEV('23 v 24 Sales'!D9:D32)</f>
        <v>19.381327858668957</v>
      </c>
      <c r="F4" s="22"/>
      <c r="G4" t="s">
        <v>75</v>
      </c>
      <c r="H4" s="3">
        <f>Forecasting!H9</f>
        <v>19.340969162995595</v>
      </c>
      <c r="I4">
        <v>0</v>
      </c>
      <c r="J4" s="3">
        <f t="shared" si="1"/>
        <v>15.400606457302823</v>
      </c>
      <c r="K4" s="3">
        <f t="shared" si="0"/>
        <v>21.933939790636156</v>
      </c>
      <c r="L4" s="3">
        <f t="shared" si="2"/>
        <v>410.42094244811631</v>
      </c>
      <c r="M4" s="23">
        <f t="shared" si="3"/>
        <v>0.23333333333333334</v>
      </c>
      <c r="N4" s="3">
        <f t="shared" si="4"/>
        <v>391.07997328512073</v>
      </c>
    </row>
    <row r="5" spans="1:14" x14ac:dyDescent="0.2">
      <c r="F5" s="22"/>
      <c r="G5" t="s">
        <v>76</v>
      </c>
      <c r="H5" s="3">
        <f>Forecasting!H10</f>
        <v>5.186784140969162</v>
      </c>
      <c r="I5">
        <v>0</v>
      </c>
      <c r="J5" s="3">
        <f t="shared" si="1"/>
        <v>15.400606457302823</v>
      </c>
      <c r="K5" s="3">
        <f t="shared" si="0"/>
        <v>18.783939790636158</v>
      </c>
      <c r="L5" s="3">
        <f t="shared" si="2"/>
        <v>410.42094244811631</v>
      </c>
      <c r="M5" s="23">
        <f t="shared" si="3"/>
        <v>0.23333333333333334</v>
      </c>
      <c r="N5" s="3">
        <f t="shared" si="4"/>
        <v>405.23415830714714</v>
      </c>
    </row>
    <row r="6" spans="1:14" x14ac:dyDescent="0.2">
      <c r="A6" t="s">
        <v>67</v>
      </c>
      <c r="B6">
        <f>B3*B4*SQRT(B2)</f>
        <v>15.400606457302823</v>
      </c>
      <c r="C6" t="s">
        <v>50</v>
      </c>
      <c r="F6" s="22"/>
      <c r="G6" t="s">
        <v>8</v>
      </c>
      <c r="H6" s="3">
        <f>Forecasting!H11</f>
        <v>7.9929515418502195</v>
      </c>
      <c r="I6">
        <v>0</v>
      </c>
      <c r="J6" s="3">
        <f t="shared" si="1"/>
        <v>15.400606457302823</v>
      </c>
      <c r="K6" s="3">
        <f t="shared" si="0"/>
        <v>19.600606457302824</v>
      </c>
      <c r="L6" s="3">
        <f t="shared" si="2"/>
        <v>410.42094244811631</v>
      </c>
      <c r="M6" s="23">
        <f t="shared" si="3"/>
        <v>0.23333333333333334</v>
      </c>
      <c r="N6" s="3">
        <f t="shared" si="4"/>
        <v>402.42799090626607</v>
      </c>
    </row>
    <row r="7" spans="1:14" x14ac:dyDescent="0.2">
      <c r="F7" s="22"/>
      <c r="G7" t="s">
        <v>77</v>
      </c>
      <c r="H7" s="3">
        <f>Forecasting!H12</f>
        <v>8.9057268722466958</v>
      </c>
      <c r="I7">
        <v>0</v>
      </c>
      <c r="J7" s="3">
        <f t="shared" si="1"/>
        <v>15.400606457302823</v>
      </c>
      <c r="K7" s="3">
        <f t="shared" si="0"/>
        <v>19.833939790636158</v>
      </c>
      <c r="L7" s="3">
        <f t="shared" si="2"/>
        <v>410.42094244811631</v>
      </c>
      <c r="M7" s="23">
        <f t="shared" si="3"/>
        <v>0.23333333333333334</v>
      </c>
      <c r="N7" s="3">
        <f t="shared" si="4"/>
        <v>401.5152155758696</v>
      </c>
    </row>
    <row r="8" spans="1:14" x14ac:dyDescent="0.2">
      <c r="F8" s="22"/>
      <c r="G8" t="s">
        <v>78</v>
      </c>
      <c r="H8" s="3">
        <f>Forecasting!H13</f>
        <v>5.9268722466960346</v>
      </c>
      <c r="I8">
        <v>0</v>
      </c>
      <c r="J8" s="3">
        <f t="shared" si="1"/>
        <v>15.400606457302823</v>
      </c>
      <c r="K8" s="3">
        <f t="shared" si="0"/>
        <v>19.017273123969488</v>
      </c>
      <c r="L8" s="3">
        <f t="shared" si="2"/>
        <v>410.42094244811631</v>
      </c>
      <c r="M8" s="23">
        <f t="shared" si="3"/>
        <v>0.23333333333333334</v>
      </c>
      <c r="N8" s="3">
        <f t="shared" si="4"/>
        <v>404.4940702014203</v>
      </c>
    </row>
    <row r="9" spans="1:14" x14ac:dyDescent="0.2">
      <c r="F9" s="22"/>
      <c r="G9" t="s">
        <v>79</v>
      </c>
      <c r="H9" s="3">
        <f>Forecasting!H14</f>
        <v>10.879295154185021</v>
      </c>
      <c r="I9">
        <v>0</v>
      </c>
      <c r="J9" s="3">
        <f t="shared" si="1"/>
        <v>15.400606457302823</v>
      </c>
      <c r="K9" s="3">
        <f t="shared" si="0"/>
        <v>20.300606457302823</v>
      </c>
      <c r="L9" s="3">
        <f t="shared" si="2"/>
        <v>410.42094244811631</v>
      </c>
      <c r="M9" s="23">
        <f t="shared" si="3"/>
        <v>0.23333333333333334</v>
      </c>
      <c r="N9" s="3">
        <f t="shared" si="4"/>
        <v>399.54164729393131</v>
      </c>
    </row>
    <row r="10" spans="1:14" x14ac:dyDescent="0.2">
      <c r="C10">
        <v>2023</v>
      </c>
      <c r="D10">
        <v>2024</v>
      </c>
      <c r="G10" t="s">
        <v>80</v>
      </c>
      <c r="H10" s="3">
        <f>Forecasting!H15</f>
        <v>14.807929515418502</v>
      </c>
      <c r="I10">
        <v>0</v>
      </c>
      <c r="J10" s="3">
        <f t="shared" si="1"/>
        <v>15.400606457302823</v>
      </c>
      <c r="K10" s="3">
        <f t="shared" si="0"/>
        <v>21.11727312396949</v>
      </c>
      <c r="L10" s="3">
        <f t="shared" si="2"/>
        <v>410.42094244811631</v>
      </c>
      <c r="M10" s="23">
        <f t="shared" si="3"/>
        <v>0.23333333333333334</v>
      </c>
      <c r="N10" s="3">
        <f t="shared" si="4"/>
        <v>395.61301293269781</v>
      </c>
    </row>
    <row r="11" spans="1:14" x14ac:dyDescent="0.2">
      <c r="B11" t="s">
        <v>4</v>
      </c>
      <c r="C11">
        <v>48</v>
      </c>
      <c r="D11">
        <v>17</v>
      </c>
      <c r="G11" t="s">
        <v>81</v>
      </c>
      <c r="H11" s="3">
        <f>Forecasting!H16</f>
        <v>13.050220264317181</v>
      </c>
      <c r="I11">
        <v>0</v>
      </c>
      <c r="J11" s="3">
        <f t="shared" si="1"/>
        <v>15.400606457302823</v>
      </c>
      <c r="K11" s="3">
        <f t="shared" si="0"/>
        <v>20.767273123969488</v>
      </c>
      <c r="L11" s="3">
        <f t="shared" si="2"/>
        <v>410.42094244811631</v>
      </c>
      <c r="M11" s="23">
        <f t="shared" si="3"/>
        <v>0.23333333333333334</v>
      </c>
      <c r="N11" s="3">
        <f t="shared" si="4"/>
        <v>397.3707221837991</v>
      </c>
    </row>
    <row r="12" spans="1:14" x14ac:dyDescent="0.2">
      <c r="B12" t="s">
        <v>5</v>
      </c>
      <c r="C12">
        <v>52</v>
      </c>
      <c r="D12">
        <v>12</v>
      </c>
      <c r="G12" t="s">
        <v>82</v>
      </c>
      <c r="H12" s="3">
        <f>Forecasting!H17</f>
        <v>44.559471365638764</v>
      </c>
      <c r="I12">
        <v>0</v>
      </c>
      <c r="J12" s="3">
        <f t="shared" si="1"/>
        <v>15.400606457302823</v>
      </c>
      <c r="K12" s="3">
        <f t="shared" si="0"/>
        <v>25.317273123969489</v>
      </c>
      <c r="L12" s="3">
        <f t="shared" si="2"/>
        <v>410.42094244811631</v>
      </c>
      <c r="M12" s="23">
        <f t="shared" si="3"/>
        <v>0.23333333333333334</v>
      </c>
      <c r="N12" s="3">
        <f t="shared" si="4"/>
        <v>365.86147108247752</v>
      </c>
    </row>
    <row r="13" spans="1:14" x14ac:dyDescent="0.2">
      <c r="B13" t="s">
        <v>6</v>
      </c>
      <c r="C13">
        <v>37</v>
      </c>
      <c r="D13">
        <v>19</v>
      </c>
      <c r="G13" t="s">
        <v>83</v>
      </c>
      <c r="H13" s="3">
        <f>Forecasting!H18</f>
        <v>120.88105726872246</v>
      </c>
      <c r="I13">
        <v>0</v>
      </c>
      <c r="J13" s="3">
        <f t="shared" si="1"/>
        <v>15.400606457302823</v>
      </c>
      <c r="K13" s="3">
        <f t="shared" si="0"/>
        <v>31.733939790636157</v>
      </c>
      <c r="L13" s="3">
        <f>SQRT((2*$C$28*$C$27)/$C$29)</f>
        <v>410.42094244811631</v>
      </c>
      <c r="M13" s="23">
        <f t="shared" si="3"/>
        <v>0.23333333333333334</v>
      </c>
      <c r="N13" s="3">
        <f t="shared" si="4"/>
        <v>289.53988517939388</v>
      </c>
    </row>
    <row r="14" spans="1:14" x14ac:dyDescent="0.2">
      <c r="B14" t="s">
        <v>7</v>
      </c>
      <c r="C14">
        <v>19</v>
      </c>
      <c r="D14">
        <v>10</v>
      </c>
    </row>
    <row r="15" spans="1:14" x14ac:dyDescent="0.2">
      <c r="B15" t="s">
        <v>8</v>
      </c>
      <c r="C15">
        <v>25</v>
      </c>
      <c r="D15">
        <v>11</v>
      </c>
    </row>
    <row r="16" spans="1:14" x14ac:dyDescent="0.2">
      <c r="B16" t="s">
        <v>9</v>
      </c>
      <c r="C16">
        <v>26</v>
      </c>
      <c r="D16">
        <v>12</v>
      </c>
      <c r="J16" t="s">
        <v>163</v>
      </c>
    </row>
    <row r="17" spans="1:4" x14ac:dyDescent="0.2">
      <c r="B17" t="s">
        <v>10</v>
      </c>
      <c r="C17">
        <v>24</v>
      </c>
      <c r="D17">
        <v>7</v>
      </c>
    </row>
    <row r="18" spans="1:4" x14ac:dyDescent="0.2">
      <c r="B18" t="s">
        <v>11</v>
      </c>
      <c r="C18">
        <v>35</v>
      </c>
      <c r="D18">
        <v>7</v>
      </c>
    </row>
    <row r="19" spans="1:4" x14ac:dyDescent="0.2">
      <c r="B19" t="s">
        <v>12</v>
      </c>
      <c r="C19">
        <v>37</v>
      </c>
      <c r="D19">
        <v>12</v>
      </c>
    </row>
    <row r="20" spans="1:4" x14ac:dyDescent="0.2">
      <c r="B20" t="s">
        <v>13</v>
      </c>
      <c r="C20">
        <v>37</v>
      </c>
      <c r="D20">
        <v>9</v>
      </c>
    </row>
    <row r="21" spans="1:4" x14ac:dyDescent="0.2">
      <c r="B21" t="s">
        <v>14</v>
      </c>
      <c r="C21">
        <v>47</v>
      </c>
      <c r="D21">
        <v>38</v>
      </c>
    </row>
    <row r="22" spans="1:4" x14ac:dyDescent="0.2">
      <c r="B22" t="s">
        <v>15</v>
      </c>
      <c r="C22">
        <v>85</v>
      </c>
      <c r="D22">
        <v>55</v>
      </c>
    </row>
    <row r="27" spans="1:4" ht="51" x14ac:dyDescent="0.2">
      <c r="A27" s="6" t="s">
        <v>30</v>
      </c>
      <c r="B27" s="6" t="s">
        <v>35</v>
      </c>
      <c r="C27" s="8">
        <f>'Inventory + Shipping Fees'!D28</f>
        <v>49.47</v>
      </c>
    </row>
    <row r="28" spans="1:4" ht="34" x14ac:dyDescent="0.2">
      <c r="A28" s="6" t="s">
        <v>31</v>
      </c>
      <c r="B28" s="6" t="s">
        <v>37</v>
      </c>
      <c r="C28" s="9">
        <f>AVERAGE(C11:D22)*12</f>
        <v>340.5</v>
      </c>
    </row>
    <row r="29" spans="1:4" ht="17" x14ac:dyDescent="0.2">
      <c r="A29" s="6" t="s">
        <v>44</v>
      </c>
      <c r="B29" s="6" t="s">
        <v>45</v>
      </c>
      <c r="C29">
        <f>1*0.2</f>
        <v>0.2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5DBAB-EBB1-C84E-A67D-D121BA161A6A}">
  <dimension ref="A1:H32"/>
  <sheetViews>
    <sheetView tabSelected="1" zoomScale="160" zoomScaleNormal="160" workbookViewId="0">
      <selection activeCell="C16" sqref="C16"/>
    </sheetView>
  </sheetViews>
  <sheetFormatPr baseColWidth="10" defaultRowHeight="16" x14ac:dyDescent="0.2"/>
  <cols>
    <col min="2" max="2" width="18" bestFit="1" customWidth="1"/>
    <col min="3" max="3" width="15.6640625" bestFit="1" customWidth="1"/>
    <col min="4" max="4" width="11.33203125" bestFit="1" customWidth="1"/>
    <col min="5" max="5" width="12.33203125" bestFit="1" customWidth="1"/>
    <col min="6" max="6" width="13.1640625" bestFit="1" customWidth="1"/>
    <col min="7" max="7" width="9.5" bestFit="1" customWidth="1"/>
    <col min="8" max="8" width="14.5" bestFit="1" customWidth="1"/>
  </cols>
  <sheetData>
    <row r="1" spans="1:8" x14ac:dyDescent="0.2">
      <c r="A1" s="22" t="s">
        <v>16</v>
      </c>
      <c r="B1" s="22" t="s">
        <v>158</v>
      </c>
      <c r="C1" s="22" t="s">
        <v>70</v>
      </c>
      <c r="D1" s="22" t="s">
        <v>64</v>
      </c>
      <c r="E1" s="22" t="s">
        <v>87</v>
      </c>
      <c r="F1" s="22" t="s">
        <v>71</v>
      </c>
      <c r="G1" s="22" t="s">
        <v>84</v>
      </c>
      <c r="H1" s="22" t="s">
        <v>72</v>
      </c>
    </row>
    <row r="2" spans="1:8" x14ac:dyDescent="0.2">
      <c r="A2" t="s">
        <v>73</v>
      </c>
      <c r="B2" s="3">
        <f>ROUNDUP('Model Jan-Mar'!S4,1)</f>
        <v>27.200000000000003</v>
      </c>
      <c r="D2" s="3">
        <f>DRP!$B$6</f>
        <v>15.400606457302823</v>
      </c>
      <c r="E2" s="3">
        <f>'Model Jan-Mar'!D14</f>
        <v>28.250611404346756</v>
      </c>
      <c r="F2" s="3">
        <f>'Model Jan-Mar'!D15</f>
        <v>49.042109921837913</v>
      </c>
      <c r="G2" s="23">
        <f>DRP!$B$2</f>
        <v>0.23333333333333334</v>
      </c>
      <c r="H2" s="3">
        <f>C2+F2-B2</f>
        <v>21.84210992183791</v>
      </c>
    </row>
    <row r="3" spans="1:8" x14ac:dyDescent="0.2">
      <c r="A3" t="s">
        <v>74</v>
      </c>
      <c r="B3" s="3">
        <f>ROUNDUP('Model Jan-Mar'!S5,1)</f>
        <v>26</v>
      </c>
      <c r="D3" s="3">
        <f>DRP!$B$6</f>
        <v>15.400606457302823</v>
      </c>
      <c r="E3" s="3">
        <f>'Model Jan-Mar'!D14</f>
        <v>28.250611404346756</v>
      </c>
      <c r="F3" s="3">
        <f>'Model Jan-Mar'!D15</f>
        <v>49.042109921837913</v>
      </c>
      <c r="G3" s="23">
        <f>DRP!$B$2</f>
        <v>0.23333333333333334</v>
      </c>
      <c r="H3" s="3">
        <f>C3+F3-B3</f>
        <v>23.042109921837913</v>
      </c>
    </row>
    <row r="4" spans="1:8" x14ac:dyDescent="0.2">
      <c r="A4" t="s">
        <v>75</v>
      </c>
      <c r="B4" s="3">
        <f>ROUNDUP('Model Jan-Mar'!S6,1)</f>
        <v>24.400000000000002</v>
      </c>
      <c r="D4" s="3">
        <f>DRP!$B$6</f>
        <v>15.400606457302823</v>
      </c>
      <c r="E4" s="3">
        <f>'Model Jan-Mar'!D14</f>
        <v>28.250611404346756</v>
      </c>
      <c r="F4" s="3">
        <f>'Model Jan-Mar'!D15</f>
        <v>49.042109921837913</v>
      </c>
      <c r="G4" s="23">
        <f>DRP!$B$2</f>
        <v>0.23333333333333334</v>
      </c>
      <c r="H4" s="3">
        <f t="shared" ref="H4:H13" si="0">C4+F4-B4</f>
        <v>24.64210992183791</v>
      </c>
    </row>
    <row r="5" spans="1:8" x14ac:dyDescent="0.2">
      <c r="A5" t="s">
        <v>76</v>
      </c>
      <c r="B5" s="3">
        <f>ROUNDUP('Model April-June'!S4,1)</f>
        <v>13.799999999999999</v>
      </c>
      <c r="D5" s="3">
        <f>DRP!$B$6</f>
        <v>15.400606457302823</v>
      </c>
      <c r="E5" s="3">
        <f>'Model April-June'!D14</f>
        <v>14.822628200586642</v>
      </c>
      <c r="F5" s="3">
        <f>'Model April-June'!D15</f>
        <v>38.363317894606027</v>
      </c>
      <c r="G5" s="23">
        <f>DRP!$B$2</f>
        <v>0.23333333333333334</v>
      </c>
      <c r="H5" s="3">
        <f t="shared" si="0"/>
        <v>24.56331789460603</v>
      </c>
    </row>
    <row r="6" spans="1:8" x14ac:dyDescent="0.2">
      <c r="A6" t="s">
        <v>8</v>
      </c>
      <c r="B6" s="3">
        <f>ROUNDUP('Model April-June'!S5,1)</f>
        <v>16.400000000000002</v>
      </c>
      <c r="D6" s="3">
        <f>DRP!$B$6</f>
        <v>15.400606457302823</v>
      </c>
      <c r="E6" s="3">
        <f>'Model April-June'!D14</f>
        <v>14.822628200586642</v>
      </c>
      <c r="F6" s="3">
        <f>'Model April-June'!D15</f>
        <v>38.363317894606027</v>
      </c>
      <c r="G6" s="23">
        <f>DRP!$B$2</f>
        <v>0.23333333333333334</v>
      </c>
      <c r="H6" s="3">
        <f t="shared" si="0"/>
        <v>21.963317894606025</v>
      </c>
    </row>
    <row r="7" spans="1:8" x14ac:dyDescent="0.2">
      <c r="A7" t="s">
        <v>77</v>
      </c>
      <c r="B7" s="3">
        <f>ROUNDUP('Model April-June'!S6,1)</f>
        <v>17.3</v>
      </c>
      <c r="D7" s="3">
        <f>DRP!$B$6</f>
        <v>15.400606457302823</v>
      </c>
      <c r="E7" s="3">
        <f>'Model April-June'!D14</f>
        <v>14.822628200586642</v>
      </c>
      <c r="F7" s="3">
        <f>'Model April-June'!D15</f>
        <v>38.363317894606027</v>
      </c>
      <c r="G7" s="23">
        <f>DRP!$B$2</f>
        <v>0.23333333333333334</v>
      </c>
      <c r="H7" s="3">
        <f>C7+F7-B7</f>
        <v>21.063317894606026</v>
      </c>
    </row>
    <row r="8" spans="1:8" x14ac:dyDescent="0.2">
      <c r="A8" t="s">
        <v>78</v>
      </c>
      <c r="B8" s="3">
        <f>ROUNDUP('Model July-Sept'!S4,1)</f>
        <v>11.2</v>
      </c>
      <c r="D8" s="3">
        <f>DRP!$B$6</f>
        <v>15.400606457302823</v>
      </c>
      <c r="E8" s="3">
        <f>'Model July-Sept'!D14</f>
        <v>22.282245376396737</v>
      </c>
      <c r="F8" s="3">
        <f>'Model July-Sept'!D15</f>
        <v>37.096166003742944</v>
      </c>
      <c r="G8" s="23">
        <f>DRP!$B$2</f>
        <v>0.23333333333333334</v>
      </c>
      <c r="H8" s="3">
        <f t="shared" si="0"/>
        <v>25.896166003742945</v>
      </c>
    </row>
    <row r="9" spans="1:8" x14ac:dyDescent="0.2">
      <c r="A9" t="s">
        <v>79</v>
      </c>
      <c r="B9" s="3">
        <f>ROUNDUP('Model July-Sept'!S5,1)</f>
        <v>14.799999999999999</v>
      </c>
      <c r="D9" s="3">
        <f>DRP!$B$6</f>
        <v>15.400606457302823</v>
      </c>
      <c r="E9" s="3">
        <f>'Model July-Sept'!D14</f>
        <v>22.282245376396737</v>
      </c>
      <c r="F9" s="3">
        <f>'Model July-Sept'!D15</f>
        <v>37.096166003742944</v>
      </c>
      <c r="G9" s="23">
        <f>DRP!$B$2</f>
        <v>0.23333333333333334</v>
      </c>
      <c r="H9" s="3">
        <f t="shared" si="0"/>
        <v>22.296166003742947</v>
      </c>
    </row>
    <row r="10" spans="1:8" x14ac:dyDescent="0.2">
      <c r="A10" t="s">
        <v>80</v>
      </c>
      <c r="B10" s="3">
        <f>ROUNDUP('Model July-Sept'!S6,1)</f>
        <v>18.400000000000002</v>
      </c>
      <c r="D10" s="3">
        <f>DRP!$B$6</f>
        <v>15.400606457302823</v>
      </c>
      <c r="E10" s="3">
        <f>'Model July-Sept'!D14</f>
        <v>22.282245376396737</v>
      </c>
      <c r="F10" s="3">
        <f>'Model July-Sept'!D15</f>
        <v>37.096166003742944</v>
      </c>
      <c r="G10" s="23">
        <f>DRP!$B$2</f>
        <v>0.23333333333333334</v>
      </c>
      <c r="H10" s="3">
        <f t="shared" si="0"/>
        <v>18.696166003742942</v>
      </c>
    </row>
    <row r="11" spans="1:8" x14ac:dyDescent="0.2">
      <c r="A11" t="s">
        <v>81</v>
      </c>
      <c r="B11" s="3">
        <f>ROUNDUP('Model Oct-Dec'!S4,1)</f>
        <v>10.1</v>
      </c>
      <c r="D11" s="3">
        <f>DRP!$B$6</f>
        <v>15.400606457302823</v>
      </c>
      <c r="E11" s="3">
        <f>'Model Oct-Dec'!D14</f>
        <v>32.96447387827245</v>
      </c>
      <c r="F11" s="3">
        <f>'Model Oct-Dec'!D15</f>
        <v>57.079458559945671</v>
      </c>
      <c r="G11" s="23">
        <f>DRP!$B$2</f>
        <v>0.23333333333333334</v>
      </c>
      <c r="H11" s="3">
        <f t="shared" si="0"/>
        <v>46.97945855994567</v>
      </c>
    </row>
    <row r="12" spans="1:8" x14ac:dyDescent="0.2">
      <c r="A12" t="s">
        <v>82</v>
      </c>
      <c r="B12" s="3">
        <f>ROUNDUP('Model Oct-Dec'!S5,1)</f>
        <v>29.400000000000002</v>
      </c>
      <c r="D12" s="3">
        <f>DRP!$B$6</f>
        <v>15.400606457302823</v>
      </c>
      <c r="E12" s="3">
        <f>'Model Oct-Dec'!D14</f>
        <v>32.96447387827245</v>
      </c>
      <c r="F12" s="3">
        <f>'Model Oct-Dec'!D15</f>
        <v>57.079458559945671</v>
      </c>
      <c r="G12" s="23">
        <f>DRP!$B$2</f>
        <v>0.23333333333333334</v>
      </c>
      <c r="H12" s="3">
        <f>C12+F12-B12</f>
        <v>27.679458559945669</v>
      </c>
    </row>
    <row r="13" spans="1:8" x14ac:dyDescent="0.2">
      <c r="A13" t="s">
        <v>83</v>
      </c>
      <c r="B13" s="3">
        <f>ROUNDUP('Model Oct-Dec'!S6,1)</f>
        <v>65.399999999999991</v>
      </c>
      <c r="D13" s="3">
        <f>DRP!$B$6</f>
        <v>15.400606457302823</v>
      </c>
      <c r="E13" s="3">
        <f>'Model Oct-Dec'!D14</f>
        <v>32.96447387827245</v>
      </c>
      <c r="F13" s="3">
        <f>'Model Oct-Dec'!D15</f>
        <v>57.079458559945671</v>
      </c>
      <c r="G13" s="23">
        <f>DRP!$B$2</f>
        <v>0.23333333333333334</v>
      </c>
      <c r="H13" s="3">
        <f t="shared" si="0"/>
        <v>-8.3205414400543205</v>
      </c>
    </row>
    <row r="17" spans="4:5" x14ac:dyDescent="0.2">
      <c r="D17" s="3"/>
      <c r="E17" s="3"/>
    </row>
    <row r="18" spans="4:5" x14ac:dyDescent="0.2">
      <c r="D18" s="3"/>
      <c r="E18" s="3"/>
    </row>
    <row r="19" spans="4:5" x14ac:dyDescent="0.2">
      <c r="D19" s="3"/>
      <c r="E19" s="3"/>
    </row>
    <row r="20" spans="4:5" x14ac:dyDescent="0.2">
      <c r="D20" s="3"/>
      <c r="E20" s="3"/>
    </row>
    <row r="21" spans="4:5" x14ac:dyDescent="0.2">
      <c r="D21" s="3"/>
      <c r="E21" s="3"/>
    </row>
    <row r="22" spans="4:5" x14ac:dyDescent="0.2">
      <c r="D22" s="3"/>
      <c r="E22" s="3"/>
    </row>
    <row r="23" spans="4:5" x14ac:dyDescent="0.2">
      <c r="D23" s="3"/>
      <c r="E23" s="3"/>
    </row>
    <row r="24" spans="4:5" x14ac:dyDescent="0.2">
      <c r="D24" s="3"/>
      <c r="E24" s="3"/>
    </row>
    <row r="25" spans="4:5" x14ac:dyDescent="0.2">
      <c r="D25" s="3"/>
      <c r="E25" s="3"/>
    </row>
    <row r="26" spans="4:5" x14ac:dyDescent="0.2">
      <c r="D26" s="3"/>
      <c r="E26" s="3"/>
    </row>
    <row r="27" spans="4:5" x14ac:dyDescent="0.2">
      <c r="D27" s="3"/>
    </row>
    <row r="28" spans="4:5" x14ac:dyDescent="0.2">
      <c r="D28" s="3"/>
    </row>
    <row r="29" spans="4:5" x14ac:dyDescent="0.2">
      <c r="D29" s="3"/>
    </row>
    <row r="30" spans="4:5" x14ac:dyDescent="0.2">
      <c r="D30" s="3"/>
    </row>
    <row r="31" spans="4:5" x14ac:dyDescent="0.2">
      <c r="D31" s="3"/>
    </row>
    <row r="32" spans="4:5" x14ac:dyDescent="0.2">
      <c r="D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9FDA2-C4AD-2E4A-A78D-4A90AFEB43CA}">
  <dimension ref="B1:P32"/>
  <sheetViews>
    <sheetView topLeftCell="F5" zoomScale="140" zoomScaleNormal="140" workbookViewId="0">
      <selection activeCell="F13" sqref="F13"/>
    </sheetView>
  </sheetViews>
  <sheetFormatPr baseColWidth="10" defaultRowHeight="16" x14ac:dyDescent="0.2"/>
  <sheetData>
    <row r="1" spans="2:16" x14ac:dyDescent="0.2"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2" spans="2:16" x14ac:dyDescent="0.2">
      <c r="B2">
        <v>2023</v>
      </c>
      <c r="C2">
        <v>48</v>
      </c>
      <c r="D2">
        <v>52</v>
      </c>
      <c r="E2">
        <v>37</v>
      </c>
      <c r="F2">
        <v>19</v>
      </c>
      <c r="G2">
        <v>25</v>
      </c>
      <c r="H2">
        <v>26</v>
      </c>
      <c r="I2">
        <v>24</v>
      </c>
      <c r="J2">
        <v>35</v>
      </c>
      <c r="K2">
        <v>37</v>
      </c>
      <c r="L2">
        <v>37</v>
      </c>
      <c r="M2">
        <v>47</v>
      </c>
      <c r="N2">
        <v>85</v>
      </c>
    </row>
    <row r="3" spans="2:16" x14ac:dyDescent="0.2">
      <c r="B3">
        <v>2024</v>
      </c>
      <c r="C3">
        <v>17</v>
      </c>
      <c r="D3">
        <v>12</v>
      </c>
      <c r="E3">
        <v>19</v>
      </c>
      <c r="F3">
        <v>10</v>
      </c>
      <c r="G3">
        <v>11</v>
      </c>
      <c r="H3">
        <v>12</v>
      </c>
      <c r="I3">
        <v>7</v>
      </c>
      <c r="J3">
        <v>7</v>
      </c>
      <c r="K3">
        <v>12</v>
      </c>
      <c r="L3" s="5">
        <v>9</v>
      </c>
      <c r="M3" s="5">
        <v>38</v>
      </c>
      <c r="N3" s="5">
        <v>55</v>
      </c>
    </row>
    <row r="5" spans="2:16" x14ac:dyDescent="0.2">
      <c r="B5" t="s">
        <v>0</v>
      </c>
      <c r="C5" s="1">
        <f>(C2-C3)/C2</f>
        <v>0.64583333333333337</v>
      </c>
      <c r="D5" s="1">
        <f t="shared" ref="D5:N5" si="0">(D2-D3)/D2</f>
        <v>0.76923076923076927</v>
      </c>
      <c r="E5" s="1">
        <f t="shared" si="0"/>
        <v>0.48648648648648651</v>
      </c>
      <c r="F5" s="1">
        <f t="shared" si="0"/>
        <v>0.47368421052631576</v>
      </c>
      <c r="G5" s="1">
        <f t="shared" si="0"/>
        <v>0.56000000000000005</v>
      </c>
      <c r="H5" s="1">
        <f t="shared" si="0"/>
        <v>0.53846153846153844</v>
      </c>
      <c r="I5" s="1">
        <f t="shared" si="0"/>
        <v>0.70833333333333337</v>
      </c>
      <c r="J5" s="1">
        <f t="shared" si="0"/>
        <v>0.8</v>
      </c>
      <c r="K5" s="1">
        <f t="shared" si="0"/>
        <v>0.67567567567567566</v>
      </c>
      <c r="L5" s="1">
        <f t="shared" si="0"/>
        <v>0.7567567567567568</v>
      </c>
      <c r="M5" s="1">
        <f t="shared" si="0"/>
        <v>0.19148936170212766</v>
      </c>
      <c r="N5" s="1">
        <f t="shared" si="0"/>
        <v>0.35294117647058826</v>
      </c>
      <c r="P5" s="2">
        <f>AVERAGE(C5:N5)</f>
        <v>0.57990772016474368</v>
      </c>
    </row>
    <row r="7" spans="2:16" x14ac:dyDescent="0.2">
      <c r="K7" t="s">
        <v>1</v>
      </c>
      <c r="L7" t="s">
        <v>13</v>
      </c>
      <c r="M7" t="s">
        <v>14</v>
      </c>
      <c r="N7" t="s">
        <v>15</v>
      </c>
      <c r="O7" t="s">
        <v>3</v>
      </c>
    </row>
    <row r="8" spans="2:16" x14ac:dyDescent="0.2">
      <c r="B8" t="s">
        <v>16</v>
      </c>
      <c r="C8" t="s">
        <v>40</v>
      </c>
      <c r="D8" t="s">
        <v>41</v>
      </c>
      <c r="J8" t="s">
        <v>2</v>
      </c>
      <c r="K8" s="2">
        <f>AVERAGE(C5:K5)</f>
        <v>0.62863392744971691</v>
      </c>
      <c r="L8" s="3">
        <f>(L2*(1-$K$8))</f>
        <v>13.740544684360474</v>
      </c>
      <c r="M8" s="3">
        <f t="shared" ref="M8:N8" si="1">(M2*(1-$K$8))</f>
        <v>17.454205409863306</v>
      </c>
      <c r="N8" s="3">
        <f t="shared" si="1"/>
        <v>31.566116166774062</v>
      </c>
      <c r="O8" s="3">
        <f>SUM(L8:N8)</f>
        <v>62.760866260997844</v>
      </c>
    </row>
    <row r="9" spans="2:16" x14ac:dyDescent="0.2">
      <c r="B9" t="s">
        <v>4</v>
      </c>
      <c r="C9">
        <v>2023</v>
      </c>
      <c r="D9">
        <v>48</v>
      </c>
      <c r="K9" s="2">
        <f>MIN(C5:K5)</f>
        <v>0.47368421052631576</v>
      </c>
      <c r="L9" s="3">
        <f>(L2*(1-$K$9))</f>
        <v>19.473684210526319</v>
      </c>
      <c r="M9" s="3">
        <f t="shared" ref="M9:N9" si="2">(M2*(1-$K$9))</f>
        <v>24.736842105263161</v>
      </c>
      <c r="N9" s="3">
        <f t="shared" si="2"/>
        <v>44.736842105263165</v>
      </c>
      <c r="O9" s="3">
        <f t="shared" ref="O9:O11" si="3">SUM(L9:N9)</f>
        <v>88.947368421052644</v>
      </c>
    </row>
    <row r="10" spans="2:16" x14ac:dyDescent="0.2">
      <c r="B10" t="s">
        <v>5</v>
      </c>
      <c r="C10">
        <v>2023</v>
      </c>
      <c r="D10">
        <v>52</v>
      </c>
      <c r="K10" s="2">
        <f>MAX(C5:K5)</f>
        <v>0.8</v>
      </c>
      <c r="L10" s="3">
        <f>(L2*(1-$K$10))</f>
        <v>7.3999999999999986</v>
      </c>
      <c r="M10" s="3">
        <f t="shared" ref="M10:N10" si="4">(M2*(1-$K$10))</f>
        <v>9.3999999999999986</v>
      </c>
      <c r="N10" s="3">
        <f t="shared" si="4"/>
        <v>16.999999999999996</v>
      </c>
      <c r="O10" s="3">
        <f t="shared" si="3"/>
        <v>33.799999999999997</v>
      </c>
    </row>
    <row r="11" spans="2:16" x14ac:dyDescent="0.2">
      <c r="B11" t="s">
        <v>6</v>
      </c>
      <c r="C11">
        <v>2023</v>
      </c>
      <c r="D11">
        <v>37</v>
      </c>
      <c r="K11" s="2">
        <v>0.5</v>
      </c>
      <c r="L11" s="3">
        <f>(L2*(1-$K$11))</f>
        <v>18.5</v>
      </c>
      <c r="M11" s="3">
        <f t="shared" ref="M11:N11" si="5">(M2*(1-$K$11))</f>
        <v>23.5</v>
      </c>
      <c r="N11" s="3">
        <f t="shared" si="5"/>
        <v>42.5</v>
      </c>
      <c r="O11" s="3">
        <f t="shared" si="3"/>
        <v>84.5</v>
      </c>
    </row>
    <row r="12" spans="2:16" x14ac:dyDescent="0.2">
      <c r="B12" t="s">
        <v>7</v>
      </c>
      <c r="C12">
        <v>2023</v>
      </c>
      <c r="D12">
        <v>19</v>
      </c>
    </row>
    <row r="13" spans="2:16" x14ac:dyDescent="0.2">
      <c r="B13" t="s">
        <v>8</v>
      </c>
      <c r="C13">
        <v>2023</v>
      </c>
      <c r="D13">
        <v>25</v>
      </c>
      <c r="L13" s="3">
        <f>AVERAGE(L8:L11)</f>
        <v>14.778557223721698</v>
      </c>
      <c r="M13" s="3">
        <f t="shared" ref="M13:N13" si="6">AVERAGE(M8:M11)</f>
        <v>18.772761878781616</v>
      </c>
      <c r="N13" s="3">
        <f t="shared" si="6"/>
        <v>33.950739568009311</v>
      </c>
      <c r="O13" s="3">
        <f>SUM(L13:N13)</f>
        <v>67.502058670512625</v>
      </c>
    </row>
    <row r="14" spans="2:16" x14ac:dyDescent="0.2">
      <c r="B14" t="s">
        <v>9</v>
      </c>
      <c r="C14">
        <v>2023</v>
      </c>
      <c r="D14">
        <v>26</v>
      </c>
    </row>
    <row r="15" spans="2:16" x14ac:dyDescent="0.2">
      <c r="B15" t="s">
        <v>10</v>
      </c>
      <c r="C15">
        <v>2023</v>
      </c>
      <c r="D15">
        <v>24</v>
      </c>
    </row>
    <row r="16" spans="2:16" x14ac:dyDescent="0.2">
      <c r="B16" t="s">
        <v>11</v>
      </c>
      <c r="C16">
        <v>2023</v>
      </c>
      <c r="D16">
        <v>35</v>
      </c>
    </row>
    <row r="17" spans="2:4" x14ac:dyDescent="0.2">
      <c r="B17" t="s">
        <v>12</v>
      </c>
      <c r="C17">
        <v>2023</v>
      </c>
      <c r="D17">
        <v>37</v>
      </c>
    </row>
    <row r="18" spans="2:4" x14ac:dyDescent="0.2">
      <c r="B18" t="s">
        <v>13</v>
      </c>
      <c r="C18">
        <v>2023</v>
      </c>
      <c r="D18">
        <v>37</v>
      </c>
    </row>
    <row r="19" spans="2:4" x14ac:dyDescent="0.2">
      <c r="B19" t="s">
        <v>14</v>
      </c>
      <c r="C19">
        <v>2023</v>
      </c>
      <c r="D19">
        <v>47</v>
      </c>
    </row>
    <row r="20" spans="2:4" x14ac:dyDescent="0.2">
      <c r="B20" t="s">
        <v>15</v>
      </c>
      <c r="C20">
        <v>2023</v>
      </c>
      <c r="D20">
        <v>85</v>
      </c>
    </row>
    <row r="21" spans="2:4" x14ac:dyDescent="0.2">
      <c r="B21" t="s">
        <v>4</v>
      </c>
      <c r="C21">
        <v>2024</v>
      </c>
      <c r="D21">
        <v>17</v>
      </c>
    </row>
    <row r="22" spans="2:4" x14ac:dyDescent="0.2">
      <c r="B22" t="s">
        <v>5</v>
      </c>
      <c r="C22">
        <v>2024</v>
      </c>
      <c r="D22">
        <v>12</v>
      </c>
    </row>
    <row r="23" spans="2:4" x14ac:dyDescent="0.2">
      <c r="B23" t="s">
        <v>6</v>
      </c>
      <c r="C23">
        <v>2024</v>
      </c>
      <c r="D23">
        <v>19</v>
      </c>
    </row>
    <row r="24" spans="2:4" x14ac:dyDescent="0.2">
      <c r="B24" t="s">
        <v>7</v>
      </c>
      <c r="C24">
        <v>2024</v>
      </c>
      <c r="D24">
        <v>10</v>
      </c>
    </row>
    <row r="25" spans="2:4" x14ac:dyDescent="0.2">
      <c r="B25" t="s">
        <v>8</v>
      </c>
      <c r="C25">
        <v>2024</v>
      </c>
      <c r="D25">
        <v>11</v>
      </c>
    </row>
    <row r="26" spans="2:4" x14ac:dyDescent="0.2">
      <c r="B26" t="s">
        <v>9</v>
      </c>
      <c r="C26">
        <v>2024</v>
      </c>
      <c r="D26">
        <v>12</v>
      </c>
    </row>
    <row r="27" spans="2:4" x14ac:dyDescent="0.2">
      <c r="B27" t="s">
        <v>10</v>
      </c>
      <c r="C27">
        <v>2024</v>
      </c>
      <c r="D27">
        <v>7</v>
      </c>
    </row>
    <row r="28" spans="2:4" x14ac:dyDescent="0.2">
      <c r="B28" t="s">
        <v>11</v>
      </c>
      <c r="C28">
        <v>2024</v>
      </c>
      <c r="D28">
        <v>7</v>
      </c>
    </row>
    <row r="29" spans="2:4" x14ac:dyDescent="0.2">
      <c r="B29" t="s">
        <v>12</v>
      </c>
      <c r="C29">
        <v>2024</v>
      </c>
      <c r="D29">
        <v>12</v>
      </c>
    </row>
    <row r="30" spans="2:4" x14ac:dyDescent="0.2">
      <c r="B30" t="s">
        <v>13</v>
      </c>
      <c r="C30">
        <v>2024</v>
      </c>
      <c r="D30">
        <v>9</v>
      </c>
    </row>
    <row r="31" spans="2:4" x14ac:dyDescent="0.2">
      <c r="B31" t="s">
        <v>14</v>
      </c>
      <c r="C31">
        <v>2024</v>
      </c>
      <c r="D31">
        <v>38</v>
      </c>
    </row>
    <row r="32" spans="2:4" x14ac:dyDescent="0.2">
      <c r="B32" t="s">
        <v>15</v>
      </c>
      <c r="C32">
        <v>2024</v>
      </c>
      <c r="D32">
        <v>55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BBB0C-3E45-2946-AE88-C4B4DC6793FF}">
  <dimension ref="A1"/>
  <sheetViews>
    <sheetView workbookViewId="0">
      <selection activeCell="M39" sqref="M3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098ED-E71A-D144-BA9B-D14B9C4A319E}">
  <dimension ref="A1:O32"/>
  <sheetViews>
    <sheetView topLeftCell="A11" zoomScale="170" zoomScaleNormal="170" workbookViewId="0">
      <selection activeCell="C26" sqref="C26"/>
    </sheetView>
  </sheetViews>
  <sheetFormatPr baseColWidth="10" defaultRowHeight="16" x14ac:dyDescent="0.2"/>
  <cols>
    <col min="2" max="2" width="20" bestFit="1" customWidth="1"/>
    <col min="3" max="3" width="17.1640625" bestFit="1" customWidth="1"/>
    <col min="5" max="5" width="11.83203125" bestFit="1" customWidth="1"/>
  </cols>
  <sheetData>
    <row r="1" spans="1:15" ht="41" customHeight="1" x14ac:dyDescent="0.2">
      <c r="A1" s="14"/>
      <c r="B1" s="17" t="s">
        <v>52</v>
      </c>
      <c r="C1" s="17" t="s">
        <v>53</v>
      </c>
      <c r="D1" s="17" t="s">
        <v>56</v>
      </c>
      <c r="E1" s="17" t="s">
        <v>55</v>
      </c>
      <c r="F1" s="18" t="s">
        <v>54</v>
      </c>
      <c r="G1" s="35" t="s">
        <v>58</v>
      </c>
      <c r="H1" s="35" t="s">
        <v>57</v>
      </c>
      <c r="J1" t="s">
        <v>63</v>
      </c>
    </row>
    <row r="2" spans="1:15" x14ac:dyDescent="0.2">
      <c r="A2" s="15">
        <v>45627</v>
      </c>
      <c r="B2" s="16">
        <v>10.96</v>
      </c>
      <c r="C2" s="16">
        <v>25.19</v>
      </c>
      <c r="D2" s="14">
        <v>66</v>
      </c>
      <c r="E2" s="14">
        <v>5</v>
      </c>
      <c r="F2" s="14">
        <v>5</v>
      </c>
      <c r="G2" s="36">
        <f>C2/E2</f>
        <v>5.0380000000000003</v>
      </c>
      <c r="H2" s="36">
        <f>B2/F2</f>
        <v>2.1920000000000002</v>
      </c>
      <c r="I2" s="13">
        <f>(B2+C2)/D2</f>
        <v>0.54772727272727284</v>
      </c>
      <c r="J2" s="13">
        <f>(B2+C2)/(E2+F2)</f>
        <v>3.6150000000000007</v>
      </c>
      <c r="K2" s="13"/>
    </row>
    <row r="3" spans="1:15" x14ac:dyDescent="0.2">
      <c r="A3" s="15">
        <v>45597</v>
      </c>
      <c r="B3" s="16">
        <v>28.77</v>
      </c>
      <c r="C3" s="16">
        <v>76.56</v>
      </c>
      <c r="D3" s="14">
        <v>99</v>
      </c>
      <c r="E3" s="14">
        <v>60</v>
      </c>
      <c r="F3" s="14">
        <v>3</v>
      </c>
      <c r="G3" s="36">
        <f t="shared" ref="G3:G12" si="0">C3/E3</f>
        <v>1.276</v>
      </c>
      <c r="H3" s="36">
        <f>B3/F3</f>
        <v>9.59</v>
      </c>
      <c r="I3" s="13">
        <f t="shared" ref="I3:I11" si="1">(B3+C3)/D3</f>
        <v>1.063939393939394</v>
      </c>
      <c r="J3" s="13">
        <f t="shared" ref="J3:J12" si="2">(B3+C3)/(E3+F3)</f>
        <v>1.6719047619047618</v>
      </c>
    </row>
    <row r="4" spans="1:15" x14ac:dyDescent="0.2">
      <c r="A4" s="15">
        <v>45566</v>
      </c>
      <c r="B4" s="16">
        <v>35.6</v>
      </c>
      <c r="C4" s="16">
        <v>96.53</v>
      </c>
      <c r="D4" s="14">
        <v>107</v>
      </c>
      <c r="E4" s="14">
        <v>97</v>
      </c>
      <c r="F4" s="14">
        <v>2</v>
      </c>
      <c r="G4" s="36">
        <f t="shared" si="0"/>
        <v>0.9951546391752577</v>
      </c>
      <c r="H4" s="36">
        <f t="shared" ref="H4:H11" si="3">B4/F4</f>
        <v>17.8</v>
      </c>
      <c r="I4" s="13">
        <f t="shared" si="1"/>
        <v>1.2348598130841122</v>
      </c>
      <c r="J4" s="13">
        <f t="shared" si="2"/>
        <v>1.3346464646464646</v>
      </c>
    </row>
    <row r="5" spans="1:15" x14ac:dyDescent="0.2">
      <c r="A5" s="15">
        <v>45536</v>
      </c>
      <c r="B5" s="16">
        <v>12.66</v>
      </c>
      <c r="C5" s="16">
        <v>105.02</v>
      </c>
      <c r="D5" s="14">
        <v>120</v>
      </c>
      <c r="E5" s="14">
        <v>105</v>
      </c>
      <c r="F5" s="14">
        <v>3</v>
      </c>
      <c r="G5" s="36">
        <f t="shared" si="0"/>
        <v>1.0001904761904761</v>
      </c>
      <c r="H5" s="36">
        <f t="shared" si="3"/>
        <v>4.22</v>
      </c>
      <c r="I5" s="13">
        <f t="shared" si="1"/>
        <v>0.98066666666666658</v>
      </c>
      <c r="J5" s="13">
        <f t="shared" si="2"/>
        <v>1.0896296296296295</v>
      </c>
    </row>
    <row r="6" spans="1:15" x14ac:dyDescent="0.2">
      <c r="A6" s="15">
        <v>45505</v>
      </c>
      <c r="B6" s="16">
        <v>14.17</v>
      </c>
      <c r="C6" s="16">
        <v>112.96</v>
      </c>
      <c r="D6" s="14">
        <v>128</v>
      </c>
      <c r="E6" s="14">
        <v>236</v>
      </c>
      <c r="F6" s="14">
        <v>4</v>
      </c>
      <c r="G6" s="36">
        <f t="shared" si="0"/>
        <v>0.47864406779661012</v>
      </c>
      <c r="H6" s="36">
        <f t="shared" si="3"/>
        <v>3.5425</v>
      </c>
      <c r="I6" s="13">
        <f t="shared" si="1"/>
        <v>0.99320312499999996</v>
      </c>
      <c r="J6" s="13">
        <f t="shared" si="2"/>
        <v>0.52970833333333334</v>
      </c>
    </row>
    <row r="7" spans="1:15" x14ac:dyDescent="0.2">
      <c r="A7" s="15">
        <v>45474</v>
      </c>
      <c r="B7" s="16">
        <v>14.94</v>
      </c>
      <c r="C7" s="16">
        <v>120.15</v>
      </c>
      <c r="D7" s="14">
        <v>133</v>
      </c>
      <c r="E7" s="14">
        <v>246</v>
      </c>
      <c r="F7" s="14">
        <v>8</v>
      </c>
      <c r="G7" s="36">
        <f t="shared" si="0"/>
        <v>0.48841463414634151</v>
      </c>
      <c r="H7" s="36">
        <f t="shared" si="3"/>
        <v>1.8674999999999999</v>
      </c>
      <c r="I7" s="13">
        <f t="shared" si="1"/>
        <v>1.0157142857142858</v>
      </c>
      <c r="J7" s="13">
        <f t="shared" si="2"/>
        <v>0.53185039370078746</v>
      </c>
    </row>
    <row r="8" spans="1:15" x14ac:dyDescent="0.2">
      <c r="A8" s="15">
        <v>45444</v>
      </c>
      <c r="B8" s="16">
        <v>15.74</v>
      </c>
      <c r="C8" s="16">
        <v>125.22</v>
      </c>
      <c r="D8" s="14">
        <v>145</v>
      </c>
      <c r="E8" s="14">
        <v>256</v>
      </c>
      <c r="F8" s="14">
        <v>10</v>
      </c>
      <c r="G8" s="36">
        <f t="shared" si="0"/>
        <v>0.489140625</v>
      </c>
      <c r="H8" s="36">
        <f t="shared" si="3"/>
        <v>1.5740000000000001</v>
      </c>
      <c r="I8" s="13">
        <f t="shared" si="1"/>
        <v>0.97213793103448276</v>
      </c>
      <c r="J8" s="13">
        <f>(B8+C8)/(E8+F8)</f>
        <v>0.52992481203007524</v>
      </c>
    </row>
    <row r="9" spans="1:15" x14ac:dyDescent="0.2">
      <c r="A9" s="15">
        <v>45413</v>
      </c>
      <c r="B9" s="16">
        <v>17.14</v>
      </c>
      <c r="C9" s="16">
        <v>135.55000000000001</v>
      </c>
      <c r="D9" s="14">
        <v>157</v>
      </c>
      <c r="E9" s="14">
        <v>270</v>
      </c>
      <c r="F9" s="14">
        <v>20</v>
      </c>
      <c r="G9" s="36">
        <f t="shared" si="0"/>
        <v>0.50203703703703706</v>
      </c>
      <c r="H9" s="36">
        <f t="shared" si="3"/>
        <v>0.85699999999999998</v>
      </c>
      <c r="I9" s="13">
        <f t="shared" si="1"/>
        <v>0.97254777070063692</v>
      </c>
      <c r="J9" s="13">
        <f t="shared" si="2"/>
        <v>0.52651724137931033</v>
      </c>
    </row>
    <row r="10" spans="1:15" x14ac:dyDescent="0.2">
      <c r="A10" s="15">
        <v>45383</v>
      </c>
      <c r="B10" s="16">
        <v>63.12</v>
      </c>
      <c r="C10" s="16">
        <v>145.93</v>
      </c>
      <c r="D10" s="14">
        <v>165</v>
      </c>
      <c r="E10" s="14">
        <v>290</v>
      </c>
      <c r="F10" s="14">
        <v>24</v>
      </c>
      <c r="G10" s="36">
        <f t="shared" si="0"/>
        <v>0.50320689655172413</v>
      </c>
      <c r="H10" s="36">
        <f t="shared" si="3"/>
        <v>2.63</v>
      </c>
      <c r="I10" s="13">
        <f t="shared" si="1"/>
        <v>1.2669696969696971</v>
      </c>
      <c r="J10" s="13">
        <f t="shared" si="2"/>
        <v>0.66576433121019107</v>
      </c>
      <c r="M10" s="13"/>
      <c r="N10" s="13"/>
      <c r="O10" s="13"/>
    </row>
    <row r="11" spans="1:15" x14ac:dyDescent="0.2">
      <c r="A11" s="15">
        <v>45352</v>
      </c>
      <c r="B11" s="16">
        <v>46.79</v>
      </c>
      <c r="C11" s="16">
        <v>163.05000000000001</v>
      </c>
      <c r="D11" s="14">
        <v>183</v>
      </c>
      <c r="E11" s="14">
        <v>304</v>
      </c>
      <c r="F11" s="14">
        <v>26</v>
      </c>
      <c r="G11" s="36">
        <f t="shared" si="0"/>
        <v>0.53634868421052639</v>
      </c>
      <c r="H11" s="36">
        <f t="shared" si="3"/>
        <v>1.7996153846153846</v>
      </c>
      <c r="I11" s="13">
        <f t="shared" si="1"/>
        <v>1.1466666666666667</v>
      </c>
      <c r="J11" s="13">
        <f t="shared" si="2"/>
        <v>0.63587878787878793</v>
      </c>
    </row>
    <row r="12" spans="1:15" x14ac:dyDescent="0.2">
      <c r="A12" s="15">
        <v>45323</v>
      </c>
      <c r="B12" s="16">
        <v>24.2</v>
      </c>
      <c r="C12" s="16">
        <v>174.21</v>
      </c>
      <c r="D12" s="14">
        <v>195</v>
      </c>
      <c r="E12" s="14">
        <v>340</v>
      </c>
      <c r="F12" s="14">
        <v>26</v>
      </c>
      <c r="G12" s="36">
        <f t="shared" si="0"/>
        <v>0.51238235294117651</v>
      </c>
      <c r="H12" s="36">
        <f>B12/F12</f>
        <v>0.93076923076923079</v>
      </c>
      <c r="I12" s="13">
        <f>(B12+C12)/D12</f>
        <v>1.0174871794871794</v>
      </c>
      <c r="J12" s="13">
        <f t="shared" si="2"/>
        <v>0.54210382513661204</v>
      </c>
    </row>
    <row r="13" spans="1:15" x14ac:dyDescent="0.2">
      <c r="A13" s="15"/>
      <c r="B13" s="14"/>
      <c r="C13" s="14"/>
      <c r="D13" s="14"/>
      <c r="E13" s="14"/>
      <c r="F13" s="14"/>
    </row>
    <row r="14" spans="1:15" x14ac:dyDescent="0.2">
      <c r="A14" s="14"/>
      <c r="B14" s="16">
        <f>AVERAGE(B2:B12)</f>
        <v>25.826363636363638</v>
      </c>
      <c r="C14" s="16">
        <f>AVERAGE(C2:C12)</f>
        <v>116.39727272727274</v>
      </c>
      <c r="D14" s="14"/>
      <c r="E14" s="14"/>
      <c r="F14" s="14"/>
      <c r="G14" s="13">
        <f>AVERAGE(G2:G12)</f>
        <v>1.07450176482265</v>
      </c>
      <c r="H14" s="13">
        <f>AVERAGE(H2:H12)</f>
        <v>4.2730349650349648</v>
      </c>
      <c r="I14" s="13">
        <f>AVERAGE(I2:I12)</f>
        <v>1.0192654365445812</v>
      </c>
      <c r="J14" s="13">
        <f>AVERAGE(J2:J12)</f>
        <v>1.0611753255318139</v>
      </c>
    </row>
    <row r="17" spans="2:6" x14ac:dyDescent="0.2">
      <c r="D17" t="s">
        <v>59</v>
      </c>
      <c r="F17" s="34">
        <f>J14</f>
        <v>1.0611753255318139</v>
      </c>
    </row>
    <row r="21" spans="2:6" x14ac:dyDescent="0.2">
      <c r="B21" s="12" t="s">
        <v>153</v>
      </c>
    </row>
    <row r="22" spans="2:6" x14ac:dyDescent="0.2">
      <c r="B22" t="s">
        <v>150</v>
      </c>
      <c r="C22" s="30">
        <v>9.0500000000000007</v>
      </c>
      <c r="F22" s="31"/>
    </row>
    <row r="23" spans="2:6" x14ac:dyDescent="0.2">
      <c r="B23" t="s">
        <v>151</v>
      </c>
      <c r="C23" s="30">
        <f>1.5+2.5</f>
        <v>4</v>
      </c>
      <c r="F23" s="30"/>
    </row>
    <row r="24" spans="2:6" x14ac:dyDescent="0.2">
      <c r="B24" t="s">
        <v>152</v>
      </c>
      <c r="C24" s="30">
        <f>182.1/5</f>
        <v>36.42</v>
      </c>
      <c r="F24" s="30"/>
    </row>
    <row r="25" spans="2:6" x14ac:dyDescent="0.2">
      <c r="F25" s="31"/>
    </row>
    <row r="26" spans="2:6" x14ac:dyDescent="0.2">
      <c r="B26" t="s">
        <v>3</v>
      </c>
      <c r="C26" s="31">
        <f>SUM(C22:C24)</f>
        <v>49.47</v>
      </c>
      <c r="F26" s="31"/>
    </row>
    <row r="28" spans="2:6" x14ac:dyDescent="0.2">
      <c r="D28" s="32">
        <f>C26</f>
        <v>49.47</v>
      </c>
    </row>
    <row r="32" spans="2:6" x14ac:dyDescent="0.2">
      <c r="D32" t="s">
        <v>154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DF8F-752F-AB45-9A22-AC37CAFF2C38}">
  <dimension ref="J2:AD42"/>
  <sheetViews>
    <sheetView topLeftCell="L14" zoomScale="119" workbookViewId="0">
      <selection activeCell="Z40" sqref="Z40"/>
    </sheetView>
  </sheetViews>
  <sheetFormatPr baseColWidth="10" defaultRowHeight="16" x14ac:dyDescent="0.2"/>
  <cols>
    <col min="25" max="25" width="16" customWidth="1"/>
  </cols>
  <sheetData>
    <row r="2" spans="10:21" x14ac:dyDescent="0.2">
      <c r="L2" t="s">
        <v>169</v>
      </c>
    </row>
    <row r="3" spans="10:21" x14ac:dyDescent="0.2">
      <c r="L3" t="s">
        <v>168</v>
      </c>
    </row>
    <row r="5" spans="10:21" x14ac:dyDescent="0.2">
      <c r="L5" t="s">
        <v>160</v>
      </c>
      <c r="R5" t="s">
        <v>164</v>
      </c>
    </row>
    <row r="6" spans="10:21" x14ac:dyDescent="0.2">
      <c r="L6" t="s">
        <v>159</v>
      </c>
      <c r="O6" s="38">
        <f>40.5*0.48</f>
        <v>19.439999999999998</v>
      </c>
      <c r="R6" t="s">
        <v>159</v>
      </c>
      <c r="U6" s="38">
        <v>26.75</v>
      </c>
    </row>
    <row r="7" spans="10:21" x14ac:dyDescent="0.2">
      <c r="L7" t="s">
        <v>161</v>
      </c>
      <c r="O7" s="38">
        <f>1.15*40.5</f>
        <v>46.574999999999996</v>
      </c>
      <c r="R7" t="s">
        <v>165</v>
      </c>
      <c r="U7" s="38">
        <v>9.0500000000000007</v>
      </c>
    </row>
    <row r="8" spans="10:21" x14ac:dyDescent="0.2">
      <c r="L8" t="s">
        <v>171</v>
      </c>
      <c r="O8" s="38">
        <f>324*1.35</f>
        <v>437.40000000000003</v>
      </c>
      <c r="R8" t="s">
        <v>166</v>
      </c>
      <c r="U8" s="38">
        <f>182.1</f>
        <v>182.1</v>
      </c>
    </row>
    <row r="9" spans="10:21" x14ac:dyDescent="0.2">
      <c r="L9" t="s">
        <v>172</v>
      </c>
      <c r="O9" s="38">
        <f>1.35*324</f>
        <v>437.40000000000003</v>
      </c>
      <c r="R9" t="s">
        <v>167</v>
      </c>
      <c r="U9" s="38">
        <f>39</f>
        <v>39</v>
      </c>
    </row>
    <row r="11" spans="10:21" x14ac:dyDescent="0.2">
      <c r="Q11" s="42" t="s">
        <v>226</v>
      </c>
    </row>
    <row r="13" spans="10:21" x14ac:dyDescent="0.2">
      <c r="M13" t="s">
        <v>170</v>
      </c>
      <c r="N13" t="s">
        <v>164</v>
      </c>
      <c r="U13">
        <f>1.1+(2.5*15)</f>
        <v>38.6</v>
      </c>
    </row>
    <row r="14" spans="10:21" x14ac:dyDescent="0.2">
      <c r="M14" s="39">
        <f>O6/324</f>
        <v>5.9999999999999991E-2</v>
      </c>
      <c r="N14" s="39">
        <f>U6/54</f>
        <v>0.49537037037037035</v>
      </c>
    </row>
    <row r="15" spans="10:21" x14ac:dyDescent="0.2">
      <c r="J15" t="s">
        <v>215</v>
      </c>
      <c r="M15" s="39">
        <f>O7/324</f>
        <v>0.14374999999999999</v>
      </c>
      <c r="N15" s="39">
        <f>U7</f>
        <v>9.0500000000000007</v>
      </c>
      <c r="O15" s="39"/>
    </row>
    <row r="16" spans="10:21" x14ac:dyDescent="0.2">
      <c r="J16" t="s">
        <v>216</v>
      </c>
      <c r="M16" s="39">
        <f>O8/54</f>
        <v>8.1000000000000014</v>
      </c>
      <c r="N16" s="39">
        <f>U8/15/5</f>
        <v>2.4279999999999999</v>
      </c>
      <c r="O16" t="s">
        <v>178</v>
      </c>
    </row>
    <row r="17" spans="12:29" x14ac:dyDescent="0.2">
      <c r="M17" s="39">
        <f>O9/54</f>
        <v>8.1000000000000014</v>
      </c>
      <c r="N17" s="39">
        <f>U9/15</f>
        <v>2.6</v>
      </c>
      <c r="O17" t="s">
        <v>175</v>
      </c>
      <c r="S17" s="39"/>
    </row>
    <row r="20" spans="12:29" x14ac:dyDescent="0.2">
      <c r="M20" t="s">
        <v>173</v>
      </c>
      <c r="Y20" t="s">
        <v>179</v>
      </c>
    </row>
    <row r="21" spans="12:29" x14ac:dyDescent="0.2">
      <c r="M21" t="s">
        <v>174</v>
      </c>
      <c r="Y21" t="s">
        <v>180</v>
      </c>
    </row>
    <row r="23" spans="12:29" x14ac:dyDescent="0.2">
      <c r="M23" t="s">
        <v>177</v>
      </c>
      <c r="Z23" t="s">
        <v>187</v>
      </c>
      <c r="AA23" t="s">
        <v>188</v>
      </c>
      <c r="AB23" t="s">
        <v>189</v>
      </c>
      <c r="AC23" t="s">
        <v>190</v>
      </c>
    </row>
    <row r="24" spans="12:29" x14ac:dyDescent="0.2">
      <c r="W24" t="s">
        <v>186</v>
      </c>
      <c r="Z24" s="40">
        <v>324</v>
      </c>
      <c r="AA24" s="23">
        <f>Z24/6/54</f>
        <v>1</v>
      </c>
      <c r="AB24" s="23">
        <f>AA24*40.5</f>
        <v>40.5</v>
      </c>
      <c r="AC24" s="3">
        <f>ROUNDUP(Z24/6,0)</f>
        <v>54</v>
      </c>
    </row>
    <row r="25" spans="12:29" x14ac:dyDescent="0.2">
      <c r="W25" t="s">
        <v>181</v>
      </c>
      <c r="Z25" s="40">
        <v>50</v>
      </c>
      <c r="AA25" s="23">
        <f>Z25/6/54</f>
        <v>0.15432098765432101</v>
      </c>
      <c r="AB25" s="23">
        <f>AA25*40.5</f>
        <v>6.2500000000000009</v>
      </c>
      <c r="AC25" s="3">
        <f>ROUNDUP(Z25/6,0)</f>
        <v>9</v>
      </c>
    </row>
    <row r="27" spans="12:29" x14ac:dyDescent="0.2">
      <c r="X27" t="s">
        <v>193</v>
      </c>
    </row>
    <row r="28" spans="12:29" x14ac:dyDescent="0.2">
      <c r="Y28" t="s">
        <v>182</v>
      </c>
      <c r="Z28" s="38">
        <f>AB24*0.43</f>
        <v>17.414999999999999</v>
      </c>
    </row>
    <row r="29" spans="12:29" x14ac:dyDescent="0.2">
      <c r="L29" t="s">
        <v>176</v>
      </c>
      <c r="Y29" t="s">
        <v>183</v>
      </c>
      <c r="Z29" s="38">
        <f>AC24*1.35</f>
        <v>72.900000000000006</v>
      </c>
    </row>
    <row r="30" spans="12:29" x14ac:dyDescent="0.2">
      <c r="L30" t="s">
        <v>191</v>
      </c>
      <c r="Y30" t="s">
        <v>184</v>
      </c>
      <c r="Z30" s="38">
        <f>AC25*1.35</f>
        <v>12.15</v>
      </c>
    </row>
    <row r="31" spans="12:29" x14ac:dyDescent="0.2">
      <c r="Y31" t="s">
        <v>185</v>
      </c>
      <c r="Z31" s="38">
        <f>AB25*1.15</f>
        <v>7.1875000000000009</v>
      </c>
    </row>
    <row r="33" spans="24:30" x14ac:dyDescent="0.2">
      <c r="Y33" t="s">
        <v>192</v>
      </c>
      <c r="AB33" s="39">
        <f>SUM(Z28:Z31)</f>
        <v>109.6525</v>
      </c>
    </row>
    <row r="36" spans="24:30" x14ac:dyDescent="0.2">
      <c r="X36" t="s">
        <v>164</v>
      </c>
      <c r="AD36" s="39">
        <f>AB33-AB42</f>
        <v>28.000500000000002</v>
      </c>
    </row>
    <row r="37" spans="24:30" x14ac:dyDescent="0.2">
      <c r="Y37" t="s">
        <v>182</v>
      </c>
      <c r="Z37" s="38">
        <f>26.75*AA24</f>
        <v>26.75</v>
      </c>
    </row>
    <row r="38" spans="24:30" x14ac:dyDescent="0.2">
      <c r="Y38" t="s">
        <v>150</v>
      </c>
      <c r="Z38" s="38">
        <v>9.0500000000000007</v>
      </c>
    </row>
    <row r="39" spans="24:30" x14ac:dyDescent="0.2">
      <c r="Y39" t="s">
        <v>152</v>
      </c>
      <c r="Z39" s="38">
        <f>(182.1/5/15)*AC25</f>
        <v>21.852</v>
      </c>
      <c r="AA39" s="41" t="s">
        <v>175</v>
      </c>
    </row>
    <row r="40" spans="24:30" x14ac:dyDescent="0.2">
      <c r="Y40" t="s">
        <v>194</v>
      </c>
      <c r="Z40" s="38">
        <f>1.5+(AC25*2.5)</f>
        <v>24</v>
      </c>
      <c r="AA40" s="41"/>
    </row>
    <row r="42" spans="24:30" x14ac:dyDescent="0.2">
      <c r="Y42" t="s">
        <v>192</v>
      </c>
      <c r="AB42" s="39">
        <f>SUM(Z37:Z40)</f>
        <v>81.652000000000001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0CC00-A845-DD43-A9AB-F8B1424EC510}">
  <dimension ref="A2:M117"/>
  <sheetViews>
    <sheetView zoomScale="150" zoomScaleNormal="150" workbookViewId="0">
      <selection activeCell="E5" sqref="E5"/>
    </sheetView>
  </sheetViews>
  <sheetFormatPr baseColWidth="10" defaultRowHeight="16" x14ac:dyDescent="0.2"/>
  <cols>
    <col min="2" max="2" width="24.1640625" bestFit="1" customWidth="1"/>
    <col min="3" max="3" width="16.5" bestFit="1" customWidth="1"/>
    <col min="4" max="4" width="18.1640625" customWidth="1"/>
    <col min="6" max="6" width="11.5" bestFit="1" customWidth="1"/>
  </cols>
  <sheetData>
    <row r="2" spans="1:10" ht="24" x14ac:dyDescent="0.3">
      <c r="A2" s="43" t="s">
        <v>193</v>
      </c>
    </row>
    <row r="4" spans="1:10" x14ac:dyDescent="0.2">
      <c r="E4" t="s">
        <v>187</v>
      </c>
      <c r="F4" t="s">
        <v>188</v>
      </c>
      <c r="G4" t="s">
        <v>189</v>
      </c>
      <c r="H4" t="s">
        <v>190</v>
      </c>
    </row>
    <row r="5" spans="1:10" x14ac:dyDescent="0.2">
      <c r="B5" t="s">
        <v>186</v>
      </c>
      <c r="E5" s="40">
        <f>324*11</f>
        <v>3564</v>
      </c>
      <c r="F5" s="23">
        <f>E5/6/54</f>
        <v>11</v>
      </c>
      <c r="G5" s="23">
        <f>F5*40.5</f>
        <v>445.5</v>
      </c>
      <c r="H5" s="3">
        <f>ROUNDUP(E5/6,0)</f>
        <v>594</v>
      </c>
    </row>
    <row r="6" spans="1:10" x14ac:dyDescent="0.2">
      <c r="B6" t="s">
        <v>181</v>
      </c>
      <c r="E6" s="40">
        <v>65</v>
      </c>
      <c r="F6" s="23">
        <f>E6/6/54</f>
        <v>0.20061728395061729</v>
      </c>
      <c r="G6" s="23">
        <f>F6*40.5</f>
        <v>8.125</v>
      </c>
      <c r="H6" s="3">
        <f>ROUNDUP(E6/6,0)</f>
        <v>11</v>
      </c>
    </row>
    <row r="8" spans="1:10" x14ac:dyDescent="0.2">
      <c r="C8" t="s">
        <v>193</v>
      </c>
    </row>
    <row r="9" spans="1:10" x14ac:dyDescent="0.2">
      <c r="D9" t="s">
        <v>182</v>
      </c>
      <c r="E9" s="38">
        <f>G5*0.43</f>
        <v>191.565</v>
      </c>
    </row>
    <row r="10" spans="1:10" x14ac:dyDescent="0.2">
      <c r="D10" t="s">
        <v>183</v>
      </c>
      <c r="E10" s="38">
        <f>H5*1.35</f>
        <v>801.90000000000009</v>
      </c>
    </row>
    <row r="11" spans="1:10" x14ac:dyDescent="0.2">
      <c r="D11" t="s">
        <v>184</v>
      </c>
      <c r="E11" s="38">
        <f>H6*1.35</f>
        <v>14.850000000000001</v>
      </c>
    </row>
    <row r="12" spans="1:10" x14ac:dyDescent="0.2">
      <c r="D12" t="s">
        <v>185</v>
      </c>
      <c r="E12" s="38">
        <f>G6*1.15</f>
        <v>9.34375</v>
      </c>
    </row>
    <row r="14" spans="1:10" x14ac:dyDescent="0.2">
      <c r="D14" t="s">
        <v>192</v>
      </c>
      <c r="G14" s="39">
        <f>SUM(E9:E12)</f>
        <v>1017.6587500000002</v>
      </c>
    </row>
    <row r="15" spans="1:10" x14ac:dyDescent="0.2">
      <c r="J15" t="s">
        <v>215</v>
      </c>
    </row>
    <row r="16" spans="1:10" x14ac:dyDescent="0.2">
      <c r="J16" t="s">
        <v>216</v>
      </c>
    </row>
    <row r="17" spans="1:13" x14ac:dyDescent="0.2">
      <c r="I17" s="39"/>
    </row>
    <row r="24" spans="1:13" x14ac:dyDescent="0.2">
      <c r="E24" t="s">
        <v>3</v>
      </c>
      <c r="F24" t="s">
        <v>198</v>
      </c>
      <c r="G24" t="s">
        <v>197</v>
      </c>
      <c r="L24" s="61" t="s">
        <v>201</v>
      </c>
      <c r="M24" s="61"/>
    </row>
    <row r="25" spans="1:13" x14ac:dyDescent="0.2">
      <c r="A25" s="12" t="s">
        <v>73</v>
      </c>
      <c r="B25" s="44" t="s">
        <v>195</v>
      </c>
      <c r="C25" t="s">
        <v>183</v>
      </c>
      <c r="D25" s="38">
        <v>801.9</v>
      </c>
      <c r="F25">
        <v>3564</v>
      </c>
      <c r="G25" s="3">
        <f>F25-M25</f>
        <v>3536.8575461915534</v>
      </c>
      <c r="L25" t="s">
        <v>73</v>
      </c>
      <c r="M25" s="3">
        <v>27.142453808446451</v>
      </c>
    </row>
    <row r="26" spans="1:13" x14ac:dyDescent="0.2">
      <c r="B26" t="s">
        <v>196</v>
      </c>
      <c r="C26" t="s">
        <v>182</v>
      </c>
      <c r="D26" s="38">
        <v>191.57</v>
      </c>
      <c r="L26" t="s">
        <v>74</v>
      </c>
      <c r="M26" s="3">
        <v>25.900131975867261</v>
      </c>
    </row>
    <row r="27" spans="1:13" x14ac:dyDescent="0.2">
      <c r="B27" s="62" t="s">
        <v>199</v>
      </c>
      <c r="C27" t="s">
        <v>184</v>
      </c>
      <c r="D27" s="38">
        <v>6.75</v>
      </c>
      <c r="L27" t="s">
        <v>75</v>
      </c>
      <c r="M27" s="3">
        <v>24.345621229260928</v>
      </c>
    </row>
    <row r="28" spans="1:13" x14ac:dyDescent="0.2">
      <c r="B28" s="62"/>
      <c r="C28" t="s">
        <v>185</v>
      </c>
      <c r="D28" s="38">
        <v>3.88</v>
      </c>
      <c r="E28" s="39">
        <f>SUM(D25:D28)</f>
        <v>1004.1</v>
      </c>
      <c r="L28" t="s">
        <v>76</v>
      </c>
      <c r="M28" s="3">
        <v>13.774498456790125</v>
      </c>
    </row>
    <row r="29" spans="1:13" x14ac:dyDescent="0.2">
      <c r="D29" s="38"/>
      <c r="L29" t="s">
        <v>8</v>
      </c>
      <c r="M29" s="3">
        <v>16.338734567901234</v>
      </c>
    </row>
    <row r="30" spans="1:13" x14ac:dyDescent="0.2">
      <c r="A30" s="12" t="s">
        <v>74</v>
      </c>
      <c r="B30" t="s">
        <v>196</v>
      </c>
      <c r="C30" t="s">
        <v>182</v>
      </c>
      <c r="D30" s="38">
        <v>190.11</v>
      </c>
      <c r="F30" s="3">
        <f>G25</f>
        <v>3536.8575461915534</v>
      </c>
      <c r="G30" s="3">
        <f>F30-M26</f>
        <v>3510.9574142156862</v>
      </c>
      <c r="L30" t="s">
        <v>77</v>
      </c>
      <c r="M30" s="3">
        <v>17.242091049382715</v>
      </c>
    </row>
    <row r="31" spans="1:13" x14ac:dyDescent="0.2">
      <c r="B31" s="62" t="s">
        <v>200</v>
      </c>
      <c r="C31" t="s">
        <v>184</v>
      </c>
      <c r="D31" s="38">
        <v>6.75</v>
      </c>
      <c r="L31" t="s">
        <v>78</v>
      </c>
      <c r="M31" s="3">
        <v>11.168562874251498</v>
      </c>
    </row>
    <row r="32" spans="1:13" x14ac:dyDescent="0.2">
      <c r="B32" s="62"/>
      <c r="C32" t="s">
        <v>185</v>
      </c>
      <c r="D32" s="38">
        <v>3.74</v>
      </c>
      <c r="E32" s="39">
        <f>SUM(D30:D32)</f>
        <v>200.60000000000002</v>
      </c>
      <c r="L32" t="s">
        <v>79</v>
      </c>
      <c r="M32" s="3">
        <v>14.788023952095806</v>
      </c>
    </row>
    <row r="33" spans="1:13" x14ac:dyDescent="0.2">
      <c r="D33" s="38"/>
      <c r="L33" t="s">
        <v>80</v>
      </c>
      <c r="M33" s="3">
        <v>18.322080838323352</v>
      </c>
    </row>
    <row r="34" spans="1:13" x14ac:dyDescent="0.2">
      <c r="A34" s="12" t="s">
        <v>75</v>
      </c>
      <c r="B34" s="45" t="s">
        <v>196</v>
      </c>
      <c r="C34" s="45" t="s">
        <v>182</v>
      </c>
      <c r="D34" s="38">
        <v>188.72</v>
      </c>
      <c r="F34" s="3">
        <f>G30</f>
        <v>3510.9574142156862</v>
      </c>
      <c r="G34" s="3">
        <f>F34-M27</f>
        <v>3486.6117929864254</v>
      </c>
      <c r="L34" t="s">
        <v>81</v>
      </c>
      <c r="M34" s="3">
        <v>10.082543675751225</v>
      </c>
    </row>
    <row r="35" spans="1:13" x14ac:dyDescent="0.2">
      <c r="B35" s="60" t="s">
        <v>202</v>
      </c>
      <c r="C35" s="45" t="s">
        <v>184</v>
      </c>
      <c r="D35" s="38">
        <v>5.4</v>
      </c>
      <c r="L35" t="s">
        <v>82</v>
      </c>
      <c r="M35" s="3">
        <v>29.380677847658969</v>
      </c>
    </row>
    <row r="36" spans="1:13" x14ac:dyDescent="0.2">
      <c r="A36" s="12"/>
      <c r="B36" s="60"/>
      <c r="C36" s="45" t="s">
        <v>185</v>
      </c>
      <c r="D36" s="38">
        <v>3.45</v>
      </c>
      <c r="E36" s="39">
        <f>SUM(D34:D36)</f>
        <v>197.57</v>
      </c>
      <c r="L36" t="s">
        <v>83</v>
      </c>
      <c r="M36" s="3">
        <v>65.369336128581395</v>
      </c>
    </row>
    <row r="37" spans="1:13" x14ac:dyDescent="0.2">
      <c r="D37" s="38"/>
    </row>
    <row r="38" spans="1:13" ht="16" customHeight="1" x14ac:dyDescent="0.2">
      <c r="A38" s="12" t="s">
        <v>76</v>
      </c>
      <c r="B38" s="45" t="s">
        <v>196</v>
      </c>
      <c r="C38" s="45" t="s">
        <v>182</v>
      </c>
      <c r="D38" s="38">
        <v>187.43</v>
      </c>
      <c r="F38" s="3">
        <f>G34</f>
        <v>3486.6117929864254</v>
      </c>
      <c r="G38" s="3">
        <f>F38-M28</f>
        <v>3472.8372945296351</v>
      </c>
    </row>
    <row r="39" spans="1:13" x14ac:dyDescent="0.2">
      <c r="B39" s="60" t="s">
        <v>203</v>
      </c>
      <c r="C39" s="45" t="s">
        <v>184</v>
      </c>
      <c r="D39" s="38">
        <v>4.05</v>
      </c>
    </row>
    <row r="40" spans="1:13" x14ac:dyDescent="0.2">
      <c r="A40" s="12"/>
      <c r="B40" s="60"/>
      <c r="C40" s="45" t="s">
        <v>185</v>
      </c>
      <c r="D40" s="38">
        <v>2.0099999999999998</v>
      </c>
      <c r="E40" s="39">
        <f>SUM(D38:D40)</f>
        <v>193.49</v>
      </c>
    </row>
    <row r="41" spans="1:13" x14ac:dyDescent="0.2">
      <c r="D41" s="38"/>
    </row>
    <row r="42" spans="1:13" ht="16" customHeight="1" x14ac:dyDescent="0.2">
      <c r="A42" s="12" t="s">
        <v>8</v>
      </c>
      <c r="B42" s="45" t="s">
        <v>196</v>
      </c>
      <c r="C42" s="45" t="s">
        <v>182</v>
      </c>
      <c r="D42" s="38">
        <v>186.67</v>
      </c>
      <c r="F42" s="3">
        <f>G38</f>
        <v>3472.8372945296351</v>
      </c>
      <c r="G42" s="3">
        <f>F42-M29</f>
        <v>3456.4985599617339</v>
      </c>
    </row>
    <row r="43" spans="1:13" x14ac:dyDescent="0.2">
      <c r="B43" s="60" t="s">
        <v>204</v>
      </c>
      <c r="C43" s="45" t="s">
        <v>184</v>
      </c>
      <c r="D43" s="38">
        <v>4.05</v>
      </c>
    </row>
    <row r="44" spans="1:13" x14ac:dyDescent="0.2">
      <c r="A44" s="12"/>
      <c r="B44" s="60"/>
      <c r="C44" s="45" t="s">
        <v>185</v>
      </c>
      <c r="D44" s="38">
        <v>2.2999999999999998</v>
      </c>
      <c r="E44" s="39">
        <f>SUM(D42:D44)</f>
        <v>193.02</v>
      </c>
    </row>
    <row r="45" spans="1:13" ht="16" customHeight="1" x14ac:dyDescent="0.2">
      <c r="D45" s="38"/>
    </row>
    <row r="46" spans="1:13" x14ac:dyDescent="0.2">
      <c r="A46" s="12" t="s">
        <v>77</v>
      </c>
      <c r="B46" s="45" t="s">
        <v>196</v>
      </c>
      <c r="C46" s="45" t="s">
        <v>182</v>
      </c>
      <c r="D46" s="38">
        <v>185.76</v>
      </c>
      <c r="F46" s="3">
        <f>G42</f>
        <v>3456.4985599617339</v>
      </c>
      <c r="G46" s="3">
        <f>F46-M30</f>
        <v>3439.256468912351</v>
      </c>
    </row>
    <row r="47" spans="1:13" x14ac:dyDescent="0.2">
      <c r="B47" s="60" t="s">
        <v>205</v>
      </c>
      <c r="C47" s="45" t="s">
        <v>184</v>
      </c>
      <c r="D47" s="38">
        <v>4.05</v>
      </c>
    </row>
    <row r="48" spans="1:13" x14ac:dyDescent="0.2">
      <c r="A48" s="12"/>
      <c r="B48" s="60"/>
      <c r="C48" s="45" t="s">
        <v>185</v>
      </c>
      <c r="D48" s="38">
        <v>2.44</v>
      </c>
      <c r="E48" s="39">
        <f>SUM(D46:D48)</f>
        <v>192.25</v>
      </c>
    </row>
    <row r="49" spans="1:7" ht="16" customHeight="1" x14ac:dyDescent="0.2">
      <c r="D49" s="38"/>
    </row>
    <row r="50" spans="1:7" x14ac:dyDescent="0.2">
      <c r="A50" s="12" t="s">
        <v>78</v>
      </c>
      <c r="B50" s="45" t="s">
        <v>196</v>
      </c>
      <c r="C50" s="45" t="s">
        <v>182</v>
      </c>
      <c r="D50" s="38">
        <v>184.85</v>
      </c>
      <c r="F50" s="3">
        <f>G46</f>
        <v>3439.256468912351</v>
      </c>
      <c r="G50" s="3">
        <f>F50-M31</f>
        <v>3428.0879060380994</v>
      </c>
    </row>
    <row r="51" spans="1:7" x14ac:dyDescent="0.2">
      <c r="B51" s="60" t="s">
        <v>206</v>
      </c>
      <c r="C51" s="45" t="s">
        <v>184</v>
      </c>
      <c r="D51" s="38">
        <v>2.7</v>
      </c>
    </row>
    <row r="52" spans="1:7" x14ac:dyDescent="0.2">
      <c r="A52" s="12"/>
      <c r="B52" s="60"/>
      <c r="C52" s="45" t="s">
        <v>185</v>
      </c>
      <c r="D52" s="38">
        <v>1.58</v>
      </c>
      <c r="E52" s="39">
        <f>SUM(D50:D52)</f>
        <v>189.13</v>
      </c>
    </row>
    <row r="53" spans="1:7" x14ac:dyDescent="0.2">
      <c r="A53" s="12"/>
      <c r="D53" s="38"/>
    </row>
    <row r="54" spans="1:7" x14ac:dyDescent="0.2">
      <c r="A54" s="12" t="s">
        <v>79</v>
      </c>
      <c r="B54" s="45" t="s">
        <v>196</v>
      </c>
      <c r="C54" s="45" t="s">
        <v>182</v>
      </c>
      <c r="D54" s="38">
        <v>184.26</v>
      </c>
      <c r="F54" s="3">
        <f>G50</f>
        <v>3428.0879060380994</v>
      </c>
      <c r="G54" s="3">
        <f>F54-M32</f>
        <v>3413.2998820860034</v>
      </c>
    </row>
    <row r="55" spans="1:7" x14ac:dyDescent="0.2">
      <c r="B55" s="60" t="s">
        <v>207</v>
      </c>
      <c r="C55" s="45" t="s">
        <v>184</v>
      </c>
      <c r="D55" s="38">
        <v>4.05</v>
      </c>
    </row>
    <row r="56" spans="1:7" x14ac:dyDescent="0.2">
      <c r="A56" s="12"/>
      <c r="B56" s="60"/>
      <c r="C56" s="45" t="s">
        <v>185</v>
      </c>
      <c r="D56" s="38">
        <v>2.16</v>
      </c>
      <c r="E56" s="39">
        <f>SUM(D54:D56)</f>
        <v>190.47</v>
      </c>
    </row>
    <row r="57" spans="1:7" x14ac:dyDescent="0.2">
      <c r="A57" s="12"/>
      <c r="D57" s="38"/>
    </row>
    <row r="58" spans="1:7" x14ac:dyDescent="0.2">
      <c r="A58" s="12" t="s">
        <v>80</v>
      </c>
      <c r="B58" s="45" t="s">
        <v>196</v>
      </c>
      <c r="C58" s="45" t="s">
        <v>182</v>
      </c>
      <c r="D58" s="38">
        <v>183.45</v>
      </c>
      <c r="F58" s="3">
        <f>G54</f>
        <v>3413.2998820860034</v>
      </c>
      <c r="G58" s="3">
        <f>F58-M33</f>
        <v>3394.97780124768</v>
      </c>
    </row>
    <row r="59" spans="1:7" x14ac:dyDescent="0.2">
      <c r="B59" s="60" t="s">
        <v>208</v>
      </c>
      <c r="C59" s="45" t="s">
        <v>184</v>
      </c>
      <c r="D59" s="38">
        <v>4.05</v>
      </c>
    </row>
    <row r="60" spans="1:7" x14ac:dyDescent="0.2">
      <c r="A60" s="12"/>
      <c r="B60" s="60"/>
      <c r="C60" s="45" t="s">
        <v>185</v>
      </c>
      <c r="D60" s="38">
        <v>2.59</v>
      </c>
      <c r="E60" s="39">
        <f>SUM(D58:D60)</f>
        <v>190.09</v>
      </c>
    </row>
    <row r="61" spans="1:7" x14ac:dyDescent="0.2">
      <c r="D61" s="38"/>
    </row>
    <row r="62" spans="1:7" x14ac:dyDescent="0.2">
      <c r="A62" s="12" t="s">
        <v>81</v>
      </c>
      <c r="B62" s="45" t="s">
        <v>196</v>
      </c>
      <c r="C62" s="45" t="s">
        <v>182</v>
      </c>
      <c r="D62" s="38">
        <v>182.48</v>
      </c>
      <c r="F62" s="3">
        <f>G58</f>
        <v>3394.97780124768</v>
      </c>
      <c r="G62" s="3">
        <f>F62-M34</f>
        <v>3384.8952575719286</v>
      </c>
    </row>
    <row r="63" spans="1:7" x14ac:dyDescent="0.2">
      <c r="B63" s="60" t="s">
        <v>209</v>
      </c>
      <c r="C63" s="45" t="s">
        <v>184</v>
      </c>
      <c r="D63" s="38">
        <v>2.7</v>
      </c>
    </row>
    <row r="64" spans="1:7" x14ac:dyDescent="0.2">
      <c r="A64" s="12"/>
      <c r="B64" s="60"/>
      <c r="C64" s="45" t="s">
        <v>185</v>
      </c>
      <c r="D64" s="38">
        <v>1.44</v>
      </c>
      <c r="E64" s="39">
        <f>SUM(D62:D64)</f>
        <v>186.61999999999998</v>
      </c>
    </row>
    <row r="65" spans="1:7" x14ac:dyDescent="0.2">
      <c r="D65" s="38"/>
    </row>
    <row r="66" spans="1:7" x14ac:dyDescent="0.2">
      <c r="A66" s="12" t="s">
        <v>82</v>
      </c>
      <c r="B66" s="45" t="s">
        <v>196</v>
      </c>
      <c r="C66" s="45" t="s">
        <v>182</v>
      </c>
      <c r="D66" s="38">
        <v>181.94</v>
      </c>
      <c r="F66" s="3">
        <f>G62</f>
        <v>3384.8952575719286</v>
      </c>
      <c r="G66" s="3">
        <f>F66-M35</f>
        <v>3355.5145797242694</v>
      </c>
    </row>
    <row r="67" spans="1:7" x14ac:dyDescent="0.2">
      <c r="B67" s="60" t="s">
        <v>210</v>
      </c>
      <c r="C67" s="45" t="s">
        <v>184</v>
      </c>
      <c r="D67" s="38">
        <v>6.75</v>
      </c>
    </row>
    <row r="68" spans="1:7" x14ac:dyDescent="0.2">
      <c r="A68" s="12"/>
      <c r="B68" s="60"/>
      <c r="C68" s="45" t="s">
        <v>185</v>
      </c>
      <c r="D68" s="38">
        <v>4.17</v>
      </c>
      <c r="E68" s="39">
        <f>SUM(D66:D68)</f>
        <v>192.85999999999999</v>
      </c>
    </row>
    <row r="69" spans="1:7" x14ac:dyDescent="0.2">
      <c r="D69" s="38"/>
    </row>
    <row r="70" spans="1:7" x14ac:dyDescent="0.2">
      <c r="A70" s="12" t="s">
        <v>83</v>
      </c>
      <c r="B70" s="45" t="s">
        <v>196</v>
      </c>
      <c r="C70" s="45" t="s">
        <v>182</v>
      </c>
      <c r="D70" s="38">
        <v>180.39</v>
      </c>
      <c r="F70" s="3">
        <f>G66</f>
        <v>3355.5145797242694</v>
      </c>
      <c r="G70" s="3">
        <f>F70-M36</f>
        <v>3290.145243595688</v>
      </c>
    </row>
    <row r="71" spans="1:7" x14ac:dyDescent="0.2">
      <c r="B71" s="60" t="s">
        <v>211</v>
      </c>
      <c r="C71" s="45" t="s">
        <v>184</v>
      </c>
      <c r="D71" s="38">
        <v>14.85</v>
      </c>
    </row>
    <row r="72" spans="1:7" x14ac:dyDescent="0.2">
      <c r="A72" s="12"/>
      <c r="B72" s="60"/>
      <c r="C72" s="45" t="s">
        <v>185</v>
      </c>
      <c r="D72" s="38">
        <v>9.34</v>
      </c>
      <c r="E72" s="39">
        <f>SUM(D70:D72)</f>
        <v>204.57999999999998</v>
      </c>
    </row>
    <row r="73" spans="1:7" x14ac:dyDescent="0.2">
      <c r="D73" s="38"/>
    </row>
    <row r="74" spans="1:7" x14ac:dyDescent="0.2">
      <c r="D74" s="38"/>
    </row>
    <row r="75" spans="1:7" x14ac:dyDescent="0.2">
      <c r="D75" s="48" t="s">
        <v>212</v>
      </c>
      <c r="E75" s="49">
        <f>SUM(E28:E72)</f>
        <v>3134.7799999999997</v>
      </c>
    </row>
    <row r="76" spans="1:7" x14ac:dyDescent="0.2">
      <c r="D76" s="48" t="s">
        <v>213</v>
      </c>
      <c r="E76" s="48">
        <f>E75-D25</f>
        <v>2332.8799999999997</v>
      </c>
      <c r="F76" s="39">
        <f>E76/12</f>
        <v>194.40666666666664</v>
      </c>
    </row>
    <row r="77" spans="1:7" x14ac:dyDescent="0.2">
      <c r="D77" s="46"/>
      <c r="E77" s="47"/>
    </row>
    <row r="78" spans="1:7" x14ac:dyDescent="0.2">
      <c r="D78" s="59" t="s">
        <v>214</v>
      </c>
      <c r="E78" s="59"/>
    </row>
    <row r="79" spans="1:7" x14ac:dyDescent="0.2">
      <c r="D79" s="38"/>
    </row>
    <row r="80" spans="1:7" x14ac:dyDescent="0.2">
      <c r="D80" s="38"/>
    </row>
    <row r="81" spans="4:4" x14ac:dyDescent="0.2">
      <c r="D81" s="38"/>
    </row>
    <row r="82" spans="4:4" x14ac:dyDescent="0.2">
      <c r="D82" s="38"/>
    </row>
    <row r="83" spans="4:4" x14ac:dyDescent="0.2">
      <c r="D83" s="38"/>
    </row>
    <row r="84" spans="4:4" x14ac:dyDescent="0.2">
      <c r="D84" s="38"/>
    </row>
    <row r="85" spans="4:4" x14ac:dyDescent="0.2">
      <c r="D85" s="38"/>
    </row>
    <row r="86" spans="4:4" x14ac:dyDescent="0.2">
      <c r="D86" s="38"/>
    </row>
    <row r="87" spans="4:4" x14ac:dyDescent="0.2">
      <c r="D87" s="38"/>
    </row>
    <row r="88" spans="4:4" x14ac:dyDescent="0.2">
      <c r="D88" s="38"/>
    </row>
    <row r="89" spans="4:4" x14ac:dyDescent="0.2">
      <c r="D89" s="38"/>
    </row>
    <row r="90" spans="4:4" x14ac:dyDescent="0.2">
      <c r="D90" s="38"/>
    </row>
    <row r="91" spans="4:4" x14ac:dyDescent="0.2">
      <c r="D91" s="38"/>
    </row>
    <row r="92" spans="4:4" x14ac:dyDescent="0.2">
      <c r="D92" s="38"/>
    </row>
    <row r="93" spans="4:4" x14ac:dyDescent="0.2">
      <c r="D93" s="38"/>
    </row>
    <row r="94" spans="4:4" x14ac:dyDescent="0.2">
      <c r="D94" s="38"/>
    </row>
    <row r="95" spans="4:4" x14ac:dyDescent="0.2">
      <c r="D95" s="38"/>
    </row>
    <row r="96" spans="4:4" x14ac:dyDescent="0.2">
      <c r="D96" s="38"/>
    </row>
    <row r="97" spans="4:4" x14ac:dyDescent="0.2">
      <c r="D97" s="38"/>
    </row>
    <row r="98" spans="4:4" x14ac:dyDescent="0.2">
      <c r="D98" s="38"/>
    </row>
    <row r="99" spans="4:4" x14ac:dyDescent="0.2">
      <c r="D99" s="38"/>
    </row>
    <row r="100" spans="4:4" x14ac:dyDescent="0.2">
      <c r="D100" s="38"/>
    </row>
    <row r="101" spans="4:4" x14ac:dyDescent="0.2">
      <c r="D101" s="38"/>
    </row>
    <row r="102" spans="4:4" x14ac:dyDescent="0.2">
      <c r="D102" s="38"/>
    </row>
    <row r="103" spans="4:4" x14ac:dyDescent="0.2">
      <c r="D103" s="38"/>
    </row>
    <row r="104" spans="4:4" x14ac:dyDescent="0.2">
      <c r="D104" s="38"/>
    </row>
    <row r="105" spans="4:4" x14ac:dyDescent="0.2">
      <c r="D105" s="38"/>
    </row>
    <row r="106" spans="4:4" x14ac:dyDescent="0.2">
      <c r="D106" s="38"/>
    </row>
    <row r="107" spans="4:4" x14ac:dyDescent="0.2">
      <c r="D107" s="38"/>
    </row>
    <row r="108" spans="4:4" x14ac:dyDescent="0.2">
      <c r="D108" s="38"/>
    </row>
    <row r="109" spans="4:4" x14ac:dyDescent="0.2">
      <c r="D109" s="38"/>
    </row>
    <row r="110" spans="4:4" x14ac:dyDescent="0.2">
      <c r="D110" s="38"/>
    </row>
    <row r="111" spans="4:4" x14ac:dyDescent="0.2">
      <c r="D111" s="38"/>
    </row>
    <row r="112" spans="4:4" x14ac:dyDescent="0.2">
      <c r="D112" s="38"/>
    </row>
    <row r="113" spans="4:4" x14ac:dyDescent="0.2">
      <c r="D113" s="38"/>
    </row>
    <row r="114" spans="4:4" x14ac:dyDescent="0.2">
      <c r="D114" s="38"/>
    </row>
    <row r="115" spans="4:4" x14ac:dyDescent="0.2">
      <c r="D115" s="38"/>
    </row>
    <row r="116" spans="4:4" x14ac:dyDescent="0.2">
      <c r="D116" s="38"/>
    </row>
    <row r="117" spans="4:4" x14ac:dyDescent="0.2">
      <c r="D117" s="38"/>
    </row>
  </sheetData>
  <mergeCells count="14">
    <mergeCell ref="D78:E78"/>
    <mergeCell ref="B39:B40"/>
    <mergeCell ref="L24:M24"/>
    <mergeCell ref="B43:B44"/>
    <mergeCell ref="B47:B48"/>
    <mergeCell ref="B51:B52"/>
    <mergeCell ref="B27:B28"/>
    <mergeCell ref="B31:B32"/>
    <mergeCell ref="B35:B36"/>
    <mergeCell ref="B55:B56"/>
    <mergeCell ref="B59:B60"/>
    <mergeCell ref="B63:B64"/>
    <mergeCell ref="B67:B68"/>
    <mergeCell ref="B71:B7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41909-728A-1047-A9EC-17D00656ADBB}">
  <dimension ref="A2:M119"/>
  <sheetViews>
    <sheetView zoomScale="110" zoomScaleNormal="110" workbookViewId="0">
      <selection activeCell="D19" sqref="D19"/>
    </sheetView>
  </sheetViews>
  <sheetFormatPr baseColWidth="10" defaultRowHeight="16" x14ac:dyDescent="0.2"/>
  <cols>
    <col min="2" max="2" width="24.1640625" bestFit="1" customWidth="1"/>
    <col min="3" max="3" width="16.5" bestFit="1" customWidth="1"/>
    <col min="4" max="4" width="23.33203125" customWidth="1"/>
    <col min="6" max="6" width="11.5" bestFit="1" customWidth="1"/>
  </cols>
  <sheetData>
    <row r="2" spans="1:10" ht="24" x14ac:dyDescent="0.3">
      <c r="A2" s="43" t="s">
        <v>193</v>
      </c>
    </row>
    <row r="4" spans="1:10" s="51" customFormat="1" x14ac:dyDescent="0.2">
      <c r="E4" s="51" t="s">
        <v>187</v>
      </c>
      <c r="F4" s="51" t="s">
        <v>188</v>
      </c>
      <c r="G4" s="51" t="s">
        <v>189</v>
      </c>
      <c r="H4" s="51" t="s">
        <v>190</v>
      </c>
    </row>
    <row r="5" spans="1:10" s="51" customFormat="1" x14ac:dyDescent="0.2">
      <c r="B5" s="51" t="s">
        <v>186</v>
      </c>
      <c r="E5" s="52">
        <v>116</v>
      </c>
      <c r="F5" s="53">
        <f>E5/6/54</f>
        <v>0.35802469135802467</v>
      </c>
      <c r="G5" s="53">
        <f>F5*40.5</f>
        <v>14.5</v>
      </c>
      <c r="H5" s="54">
        <f>ROUNDUP(E5/6,0)</f>
        <v>20</v>
      </c>
    </row>
    <row r="6" spans="1:10" s="51" customFormat="1" x14ac:dyDescent="0.2">
      <c r="B6" s="51" t="s">
        <v>181</v>
      </c>
      <c r="E6" s="52">
        <v>27</v>
      </c>
      <c r="F6" s="53">
        <f>E6/6/54</f>
        <v>8.3333333333333329E-2</v>
      </c>
      <c r="G6" s="53">
        <f>F6*40.5</f>
        <v>3.375</v>
      </c>
      <c r="H6" s="54">
        <f>ROUNDUP(E6/6,0)</f>
        <v>5</v>
      </c>
    </row>
    <row r="7" spans="1:10" s="51" customFormat="1" x14ac:dyDescent="0.2"/>
    <row r="8" spans="1:10" s="51" customFormat="1" x14ac:dyDescent="0.2">
      <c r="C8" s="51" t="s">
        <v>193</v>
      </c>
    </row>
    <row r="9" spans="1:10" s="51" customFormat="1" x14ac:dyDescent="0.2">
      <c r="D9" s="51" t="s">
        <v>182</v>
      </c>
      <c r="E9" s="55">
        <f>G5*0.43</f>
        <v>6.2350000000000003</v>
      </c>
    </row>
    <row r="10" spans="1:10" s="51" customFormat="1" x14ac:dyDescent="0.2">
      <c r="D10" s="51" t="s">
        <v>183</v>
      </c>
      <c r="E10" s="55">
        <f>H5*1.35</f>
        <v>27</v>
      </c>
    </row>
    <row r="11" spans="1:10" s="51" customFormat="1" x14ac:dyDescent="0.2">
      <c r="D11" s="51" t="s">
        <v>184</v>
      </c>
      <c r="E11" s="55">
        <f>H6*1.35</f>
        <v>6.75</v>
      </c>
    </row>
    <row r="12" spans="1:10" s="51" customFormat="1" x14ac:dyDescent="0.2">
      <c r="D12" s="51" t="s">
        <v>185</v>
      </c>
      <c r="E12" s="55">
        <f>G6*1.15</f>
        <v>3.8812499999999996</v>
      </c>
    </row>
    <row r="13" spans="1:10" s="51" customFormat="1" x14ac:dyDescent="0.2"/>
    <row r="14" spans="1:10" s="51" customFormat="1" x14ac:dyDescent="0.2">
      <c r="D14" s="51" t="s">
        <v>192</v>
      </c>
      <c r="G14" s="56">
        <f>SUM(E9:E12)</f>
        <v>43.866250000000001</v>
      </c>
    </row>
    <row r="15" spans="1:10" x14ac:dyDescent="0.2">
      <c r="J15" t="s">
        <v>215</v>
      </c>
    </row>
    <row r="16" spans="1:10" x14ac:dyDescent="0.2">
      <c r="J16" t="s">
        <v>216</v>
      </c>
    </row>
    <row r="17" spans="1:13" x14ac:dyDescent="0.2">
      <c r="I17" s="39"/>
    </row>
    <row r="20" spans="1:13" x14ac:dyDescent="0.2">
      <c r="J20">
        <f>54*6</f>
        <v>324</v>
      </c>
    </row>
    <row r="23" spans="1:13" x14ac:dyDescent="0.2">
      <c r="B23" t="s">
        <v>219</v>
      </c>
    </row>
    <row r="24" spans="1:13" x14ac:dyDescent="0.2">
      <c r="E24" t="s">
        <v>3</v>
      </c>
      <c r="F24" t="s">
        <v>198</v>
      </c>
      <c r="G24" t="s">
        <v>197</v>
      </c>
      <c r="L24" s="61" t="s">
        <v>201</v>
      </c>
      <c r="M24" s="61"/>
    </row>
    <row r="25" spans="1:13" x14ac:dyDescent="0.2">
      <c r="A25" s="12" t="s">
        <v>73</v>
      </c>
      <c r="B25" s="63" t="s">
        <v>217</v>
      </c>
      <c r="C25" t="s">
        <v>218</v>
      </c>
      <c r="D25" s="38">
        <v>473.33</v>
      </c>
      <c r="F25">
        <v>324</v>
      </c>
      <c r="G25" s="3">
        <f>F25-27</f>
        <v>297</v>
      </c>
      <c r="L25" t="s">
        <v>73</v>
      </c>
      <c r="M25" s="3">
        <v>27.142453808446451</v>
      </c>
    </row>
    <row r="26" spans="1:13" x14ac:dyDescent="0.2">
      <c r="A26" s="12"/>
      <c r="B26" s="63"/>
      <c r="C26" t="s">
        <v>183</v>
      </c>
      <c r="D26" s="38">
        <v>72.900000000000006</v>
      </c>
      <c r="G26" s="3"/>
      <c r="L26" t="s">
        <v>74</v>
      </c>
      <c r="M26" s="3">
        <v>25.900131975867261</v>
      </c>
    </row>
    <row r="27" spans="1:13" x14ac:dyDescent="0.2">
      <c r="A27" s="12"/>
      <c r="B27" s="50" t="s">
        <v>220</v>
      </c>
      <c r="C27" t="s">
        <v>221</v>
      </c>
      <c r="D27" s="38">
        <f>1.5+(2.5*54)</f>
        <v>136.5</v>
      </c>
      <c r="G27" s="3"/>
      <c r="L27" t="s">
        <v>75</v>
      </c>
      <c r="M27" s="3">
        <v>24.345621229260928</v>
      </c>
    </row>
    <row r="28" spans="1:13" x14ac:dyDescent="0.2">
      <c r="B28" t="s">
        <v>196</v>
      </c>
      <c r="C28" t="s">
        <v>182</v>
      </c>
      <c r="D28" s="38">
        <v>17.420000000000002</v>
      </c>
      <c r="L28" t="s">
        <v>76</v>
      </c>
      <c r="M28" s="3">
        <v>13.774498456790125</v>
      </c>
    </row>
    <row r="29" spans="1:13" x14ac:dyDescent="0.2">
      <c r="B29" s="62" t="s">
        <v>199</v>
      </c>
      <c r="C29" t="s">
        <v>184</v>
      </c>
      <c r="D29" s="38">
        <v>6.75</v>
      </c>
      <c r="L29" t="s">
        <v>8</v>
      </c>
      <c r="M29" s="3">
        <v>16.338734567901234</v>
      </c>
    </row>
    <row r="30" spans="1:13" x14ac:dyDescent="0.2">
      <c r="B30" s="62"/>
      <c r="C30" t="s">
        <v>185</v>
      </c>
      <c r="D30" s="38">
        <v>3.88</v>
      </c>
      <c r="E30" s="13">
        <f>SUM(D25:D30)</f>
        <v>710.78</v>
      </c>
      <c r="L30" t="s">
        <v>77</v>
      </c>
      <c r="M30" s="3">
        <v>17.242091049382715</v>
      </c>
    </row>
    <row r="31" spans="1:13" x14ac:dyDescent="0.2">
      <c r="D31" s="38"/>
      <c r="L31" t="s">
        <v>78</v>
      </c>
      <c r="M31" s="3">
        <v>11.168562874251498</v>
      </c>
    </row>
    <row r="32" spans="1:13" x14ac:dyDescent="0.2">
      <c r="A32" s="12" t="s">
        <v>74</v>
      </c>
      <c r="B32" t="s">
        <v>196</v>
      </c>
      <c r="C32" t="s">
        <v>182</v>
      </c>
      <c r="D32" s="38">
        <v>15.96</v>
      </c>
      <c r="F32" s="3">
        <f>G25</f>
        <v>297</v>
      </c>
      <c r="G32" s="3">
        <f>F32-M26</f>
        <v>271.09986802413272</v>
      </c>
      <c r="L32" t="s">
        <v>79</v>
      </c>
      <c r="M32" s="3">
        <v>14.788023952095806</v>
      </c>
    </row>
    <row r="33" spans="1:13" x14ac:dyDescent="0.2">
      <c r="B33" s="62" t="s">
        <v>200</v>
      </c>
      <c r="C33" t="s">
        <v>184</v>
      </c>
      <c r="D33" s="38">
        <v>6.75</v>
      </c>
      <c r="L33" t="s">
        <v>80</v>
      </c>
      <c r="M33" s="3">
        <v>18.322080838323352</v>
      </c>
    </row>
    <row r="34" spans="1:13" x14ac:dyDescent="0.2">
      <c r="B34" s="62"/>
      <c r="C34" t="s">
        <v>185</v>
      </c>
      <c r="D34" s="38">
        <v>3.74</v>
      </c>
      <c r="E34" s="39">
        <f>SUM(D32:D34)</f>
        <v>26.450000000000003</v>
      </c>
      <c r="L34" t="s">
        <v>81</v>
      </c>
      <c r="M34" s="3">
        <v>10.082543675751225</v>
      </c>
    </row>
    <row r="35" spans="1:13" x14ac:dyDescent="0.2">
      <c r="D35" s="38"/>
      <c r="L35" t="s">
        <v>82</v>
      </c>
      <c r="M35" s="3">
        <v>29.380677847658969</v>
      </c>
    </row>
    <row r="36" spans="1:13" x14ac:dyDescent="0.2">
      <c r="A36" s="12" t="s">
        <v>75</v>
      </c>
      <c r="B36" s="45" t="s">
        <v>196</v>
      </c>
      <c r="C36" s="45" t="s">
        <v>182</v>
      </c>
      <c r="D36" s="38">
        <v>14.57</v>
      </c>
      <c r="F36" s="3">
        <f>G32</f>
        <v>271.09986802413272</v>
      </c>
      <c r="G36" s="3">
        <f>F36-M27</f>
        <v>246.75424679487179</v>
      </c>
      <c r="L36" t="s">
        <v>83</v>
      </c>
      <c r="M36" s="3">
        <v>65.369336128581395</v>
      </c>
    </row>
    <row r="37" spans="1:13" x14ac:dyDescent="0.2">
      <c r="B37" s="60" t="s">
        <v>202</v>
      </c>
      <c r="C37" s="45" t="s">
        <v>184</v>
      </c>
      <c r="D37" s="38">
        <v>5.4</v>
      </c>
    </row>
    <row r="38" spans="1:13" x14ac:dyDescent="0.2">
      <c r="A38" s="12"/>
      <c r="B38" s="60"/>
      <c r="C38" s="45" t="s">
        <v>185</v>
      </c>
      <c r="D38" s="38">
        <v>3.45</v>
      </c>
      <c r="E38" s="39">
        <f>SUM(D36:D38)</f>
        <v>23.419999999999998</v>
      </c>
    </row>
    <row r="39" spans="1:13" x14ac:dyDescent="0.2">
      <c r="D39" s="38"/>
    </row>
    <row r="40" spans="1:13" ht="16" customHeight="1" x14ac:dyDescent="0.2">
      <c r="A40" s="12" t="s">
        <v>76</v>
      </c>
      <c r="B40" s="45" t="s">
        <v>196</v>
      </c>
      <c r="C40" s="45" t="s">
        <v>182</v>
      </c>
      <c r="D40" s="38">
        <v>13.28</v>
      </c>
      <c r="F40" s="3">
        <f>G36</f>
        <v>246.75424679487179</v>
      </c>
      <c r="G40" s="3">
        <f>F40-M28</f>
        <v>232.97974833808166</v>
      </c>
    </row>
    <row r="41" spans="1:13" x14ac:dyDescent="0.2">
      <c r="B41" s="60" t="s">
        <v>203</v>
      </c>
      <c r="C41" s="45" t="s">
        <v>184</v>
      </c>
      <c r="D41" s="38">
        <v>4.05</v>
      </c>
    </row>
    <row r="42" spans="1:13" x14ac:dyDescent="0.2">
      <c r="A42" s="12"/>
      <c r="B42" s="60"/>
      <c r="C42" s="45" t="s">
        <v>185</v>
      </c>
      <c r="D42" s="38">
        <v>2.0099999999999998</v>
      </c>
      <c r="E42" s="39">
        <f>SUM(D40:D42)</f>
        <v>19.339999999999996</v>
      </c>
    </row>
    <row r="43" spans="1:13" x14ac:dyDescent="0.2">
      <c r="D43" s="38"/>
    </row>
    <row r="44" spans="1:13" ht="16" customHeight="1" x14ac:dyDescent="0.2">
      <c r="A44" s="12" t="s">
        <v>8</v>
      </c>
      <c r="B44" s="45" t="s">
        <v>196</v>
      </c>
      <c r="C44" s="45" t="s">
        <v>182</v>
      </c>
      <c r="D44" s="38">
        <v>12.52</v>
      </c>
      <c r="F44" s="3">
        <f>G40</f>
        <v>232.97974833808166</v>
      </c>
      <c r="G44" s="3">
        <f>F44-M29</f>
        <v>216.64101377018042</v>
      </c>
    </row>
    <row r="45" spans="1:13" x14ac:dyDescent="0.2">
      <c r="B45" s="60" t="s">
        <v>204</v>
      </c>
      <c r="C45" s="45" t="s">
        <v>184</v>
      </c>
      <c r="D45" s="38">
        <v>4.05</v>
      </c>
    </row>
    <row r="46" spans="1:13" x14ac:dyDescent="0.2">
      <c r="A46" s="12"/>
      <c r="B46" s="60"/>
      <c r="C46" s="45" t="s">
        <v>185</v>
      </c>
      <c r="D46" s="38">
        <v>2.2999999999999998</v>
      </c>
      <c r="E46" s="39">
        <f>SUM(D44:D46)</f>
        <v>18.87</v>
      </c>
    </row>
    <row r="47" spans="1:13" ht="16" customHeight="1" x14ac:dyDescent="0.2">
      <c r="D47" s="38"/>
    </row>
    <row r="48" spans="1:13" x14ac:dyDescent="0.2">
      <c r="A48" s="12" t="s">
        <v>77</v>
      </c>
      <c r="B48" s="45" t="s">
        <v>196</v>
      </c>
      <c r="C48" s="45" t="s">
        <v>182</v>
      </c>
      <c r="D48" s="38">
        <v>11.66</v>
      </c>
      <c r="F48" s="3">
        <f>G44</f>
        <v>216.64101377018042</v>
      </c>
      <c r="G48" s="3">
        <f>F48-M30</f>
        <v>199.39892272079771</v>
      </c>
    </row>
    <row r="49" spans="1:7" x14ac:dyDescent="0.2">
      <c r="B49" s="60" t="s">
        <v>205</v>
      </c>
      <c r="C49" s="45" t="s">
        <v>184</v>
      </c>
      <c r="D49" s="38">
        <v>4.05</v>
      </c>
    </row>
    <row r="50" spans="1:7" x14ac:dyDescent="0.2">
      <c r="A50" s="12"/>
      <c r="B50" s="60"/>
      <c r="C50" s="45" t="s">
        <v>185</v>
      </c>
      <c r="D50" s="38">
        <v>2.44</v>
      </c>
      <c r="E50" s="39">
        <f>SUM(D48:D50)</f>
        <v>18.150000000000002</v>
      </c>
    </row>
    <row r="51" spans="1:7" ht="16" customHeight="1" x14ac:dyDescent="0.2">
      <c r="D51" s="38"/>
    </row>
    <row r="52" spans="1:7" x14ac:dyDescent="0.2">
      <c r="A52" s="12" t="s">
        <v>78</v>
      </c>
      <c r="B52" s="45" t="s">
        <v>196</v>
      </c>
      <c r="C52" s="45" t="s">
        <v>182</v>
      </c>
      <c r="D52" s="38">
        <v>10.7</v>
      </c>
      <c r="F52" s="3">
        <f>G48</f>
        <v>199.39892272079771</v>
      </c>
      <c r="G52" s="3">
        <f>F52-M31</f>
        <v>188.23035984654621</v>
      </c>
    </row>
    <row r="53" spans="1:7" x14ac:dyDescent="0.2">
      <c r="B53" s="60" t="s">
        <v>206</v>
      </c>
      <c r="C53" s="45" t="s">
        <v>184</v>
      </c>
      <c r="D53" s="38">
        <v>2.7</v>
      </c>
    </row>
    <row r="54" spans="1:7" x14ac:dyDescent="0.2">
      <c r="A54" s="12"/>
      <c r="B54" s="60"/>
      <c r="C54" s="45" t="s">
        <v>185</v>
      </c>
      <c r="D54" s="38">
        <v>1.58</v>
      </c>
      <c r="E54" s="39">
        <f>SUM(D52:D54)</f>
        <v>14.979999999999999</v>
      </c>
    </row>
    <row r="55" spans="1:7" x14ac:dyDescent="0.2">
      <c r="A55" s="12"/>
      <c r="D55" s="38"/>
    </row>
    <row r="56" spans="1:7" x14ac:dyDescent="0.2">
      <c r="A56" s="12" t="s">
        <v>79</v>
      </c>
      <c r="B56" s="45" t="s">
        <v>196</v>
      </c>
      <c r="C56" s="45" t="s">
        <v>182</v>
      </c>
      <c r="D56" s="38">
        <v>10.11</v>
      </c>
      <c r="F56" s="3">
        <f>G52</f>
        <v>188.23035984654621</v>
      </c>
      <c r="G56" s="3">
        <f>F56-M32</f>
        <v>173.44233589445039</v>
      </c>
    </row>
    <row r="57" spans="1:7" x14ac:dyDescent="0.2">
      <c r="B57" s="60" t="s">
        <v>207</v>
      </c>
      <c r="C57" s="45" t="s">
        <v>184</v>
      </c>
      <c r="D57" s="38">
        <v>4.05</v>
      </c>
    </row>
    <row r="58" spans="1:7" x14ac:dyDescent="0.2">
      <c r="A58" s="12"/>
      <c r="B58" s="60"/>
      <c r="C58" s="45" t="s">
        <v>185</v>
      </c>
      <c r="D58" s="38">
        <v>2.16</v>
      </c>
      <c r="E58" s="39">
        <f>SUM(D56:D58)</f>
        <v>16.32</v>
      </c>
    </row>
    <row r="59" spans="1:7" x14ac:dyDescent="0.2">
      <c r="A59" s="12"/>
      <c r="D59" s="38"/>
    </row>
    <row r="60" spans="1:7" x14ac:dyDescent="0.2">
      <c r="A60" s="12" t="s">
        <v>80</v>
      </c>
      <c r="B60" s="45" t="s">
        <v>196</v>
      </c>
      <c r="C60" s="45" t="s">
        <v>182</v>
      </c>
      <c r="D60" s="38">
        <v>9.3000000000000007</v>
      </c>
      <c r="F60" s="3">
        <f>G56</f>
        <v>173.44233589445039</v>
      </c>
      <c r="G60" s="3">
        <f>F60-M33</f>
        <v>155.12025505612704</v>
      </c>
    </row>
    <row r="61" spans="1:7" x14ac:dyDescent="0.2">
      <c r="B61" s="60" t="s">
        <v>208</v>
      </c>
      <c r="C61" s="45" t="s">
        <v>184</v>
      </c>
      <c r="D61" s="38">
        <v>4.05</v>
      </c>
    </row>
    <row r="62" spans="1:7" x14ac:dyDescent="0.2">
      <c r="A62" s="12"/>
      <c r="B62" s="60"/>
      <c r="C62" s="45" t="s">
        <v>185</v>
      </c>
      <c r="D62" s="38">
        <v>2.59</v>
      </c>
      <c r="E62" s="39">
        <f>SUM(D60:D62)</f>
        <v>15.940000000000001</v>
      </c>
    </row>
    <row r="63" spans="1:7" x14ac:dyDescent="0.2">
      <c r="D63" s="38"/>
    </row>
    <row r="64" spans="1:7" x14ac:dyDescent="0.2">
      <c r="A64" s="12" t="s">
        <v>81</v>
      </c>
      <c r="B64" s="45" t="s">
        <v>196</v>
      </c>
      <c r="C64" s="45" t="s">
        <v>182</v>
      </c>
      <c r="D64" s="38">
        <v>8.33</v>
      </c>
      <c r="F64" s="3">
        <f>G60</f>
        <v>155.12025505612704</v>
      </c>
      <c r="G64" s="3">
        <f>F64-M34</f>
        <v>145.03771138037581</v>
      </c>
    </row>
    <row r="65" spans="1:7" x14ac:dyDescent="0.2">
      <c r="B65" s="60" t="s">
        <v>209</v>
      </c>
      <c r="C65" s="45" t="s">
        <v>184</v>
      </c>
      <c r="D65" s="38">
        <v>2.7</v>
      </c>
    </row>
    <row r="66" spans="1:7" x14ac:dyDescent="0.2">
      <c r="A66" s="12"/>
      <c r="B66" s="60"/>
      <c r="C66" s="45" t="s">
        <v>185</v>
      </c>
      <c r="D66" s="38">
        <v>1.44</v>
      </c>
      <c r="E66" s="39">
        <f>SUM(D64:D66)</f>
        <v>12.47</v>
      </c>
    </row>
    <row r="67" spans="1:7" x14ac:dyDescent="0.2">
      <c r="D67" s="38"/>
    </row>
    <row r="68" spans="1:7" x14ac:dyDescent="0.2">
      <c r="A68" s="12" t="s">
        <v>82</v>
      </c>
      <c r="B68" s="45" t="s">
        <v>196</v>
      </c>
      <c r="C68" s="45" t="s">
        <v>182</v>
      </c>
      <c r="D68" s="38">
        <v>7.79</v>
      </c>
      <c r="F68" s="3">
        <f>G64</f>
        <v>145.03771138037581</v>
      </c>
      <c r="G68" s="3">
        <f>F68-M35</f>
        <v>115.65703353271684</v>
      </c>
    </row>
    <row r="69" spans="1:7" x14ac:dyDescent="0.2">
      <c r="B69" s="60" t="s">
        <v>210</v>
      </c>
      <c r="C69" s="45" t="s">
        <v>184</v>
      </c>
      <c r="D69" s="38">
        <v>6.75</v>
      </c>
    </row>
    <row r="70" spans="1:7" x14ac:dyDescent="0.2">
      <c r="A70" s="12"/>
      <c r="B70" s="60"/>
      <c r="C70" s="45" t="s">
        <v>185</v>
      </c>
      <c r="D70" s="38">
        <v>4.17</v>
      </c>
      <c r="E70" s="39">
        <f>SUM(D68:D70)</f>
        <v>18.71</v>
      </c>
    </row>
    <row r="71" spans="1:7" x14ac:dyDescent="0.2">
      <c r="D71" s="38"/>
    </row>
    <row r="72" spans="1:7" x14ac:dyDescent="0.2">
      <c r="A72" s="12" t="s">
        <v>83</v>
      </c>
      <c r="B72" s="45" t="s">
        <v>196</v>
      </c>
      <c r="C72" s="45" t="s">
        <v>182</v>
      </c>
      <c r="D72" s="38">
        <v>6.24</v>
      </c>
      <c r="F72" s="3">
        <f>G68</f>
        <v>115.65703353271684</v>
      </c>
      <c r="G72" s="3">
        <f>F72-M36</f>
        <v>50.287697404135443</v>
      </c>
    </row>
    <row r="73" spans="1:7" x14ac:dyDescent="0.2">
      <c r="B73" s="60" t="s">
        <v>211</v>
      </c>
      <c r="C73" s="45" t="s">
        <v>184</v>
      </c>
      <c r="D73" s="38">
        <v>14.85</v>
      </c>
    </row>
    <row r="74" spans="1:7" x14ac:dyDescent="0.2">
      <c r="A74" s="12"/>
      <c r="B74" s="60"/>
      <c r="C74" s="45" t="s">
        <v>185</v>
      </c>
      <c r="D74" s="38">
        <v>9.34</v>
      </c>
      <c r="E74" s="39">
        <f>SUM(D72:D74)</f>
        <v>30.43</v>
      </c>
    </row>
    <row r="75" spans="1:7" x14ac:dyDescent="0.2">
      <c r="D75" s="38"/>
    </row>
    <row r="76" spans="1:7" x14ac:dyDescent="0.2">
      <c r="D76" s="38"/>
    </row>
    <row r="77" spans="1:7" x14ac:dyDescent="0.2">
      <c r="D77" s="48" t="s">
        <v>222</v>
      </c>
      <c r="E77" s="49">
        <f>SUM(E30:E74)</f>
        <v>925.86000000000013</v>
      </c>
    </row>
    <row r="78" spans="1:7" x14ac:dyDescent="0.2">
      <c r="D78" s="57"/>
      <c r="E78" s="57"/>
      <c r="F78" s="39"/>
    </row>
    <row r="79" spans="1:7" x14ac:dyDescent="0.2">
      <c r="D79" s="58" t="s">
        <v>225</v>
      </c>
      <c r="F79" s="58">
        <f>26.75*10*12</f>
        <v>3210</v>
      </c>
    </row>
    <row r="80" spans="1:7" x14ac:dyDescent="0.2">
      <c r="D80" s="64"/>
      <c r="E80" s="64"/>
    </row>
    <row r="81" spans="4:7" x14ac:dyDescent="0.2">
      <c r="D81" s="38" t="s">
        <v>223</v>
      </c>
      <c r="G81" s="39">
        <f>F79+E77</f>
        <v>4135.8600000000006</v>
      </c>
    </row>
    <row r="82" spans="4:7" x14ac:dyDescent="0.2">
      <c r="D82" s="38" t="s">
        <v>224</v>
      </c>
      <c r="G82" s="38">
        <f>26.75*11*12</f>
        <v>3531</v>
      </c>
    </row>
    <row r="83" spans="4:7" x14ac:dyDescent="0.2">
      <c r="D83" s="38"/>
    </row>
    <row r="84" spans="4:7" x14ac:dyDescent="0.2">
      <c r="D84" s="38"/>
    </row>
    <row r="85" spans="4:7" x14ac:dyDescent="0.2">
      <c r="D85" s="38"/>
      <c r="G85" s="39">
        <f>G81-G82</f>
        <v>604.86000000000058</v>
      </c>
    </row>
    <row r="86" spans="4:7" x14ac:dyDescent="0.2">
      <c r="D86" s="38"/>
    </row>
    <row r="87" spans="4:7" x14ac:dyDescent="0.2">
      <c r="D87" s="38"/>
    </row>
    <row r="88" spans="4:7" x14ac:dyDescent="0.2">
      <c r="D88" s="38"/>
    </row>
    <row r="89" spans="4:7" x14ac:dyDescent="0.2">
      <c r="D89" s="38"/>
    </row>
    <row r="90" spans="4:7" x14ac:dyDescent="0.2">
      <c r="D90" s="38"/>
    </row>
    <row r="91" spans="4:7" x14ac:dyDescent="0.2">
      <c r="D91" s="38"/>
    </row>
    <row r="92" spans="4:7" x14ac:dyDescent="0.2">
      <c r="D92" s="38"/>
    </row>
    <row r="93" spans="4:7" x14ac:dyDescent="0.2">
      <c r="D93" s="38"/>
    </row>
    <row r="94" spans="4:7" x14ac:dyDescent="0.2">
      <c r="D94" s="38"/>
    </row>
    <row r="95" spans="4:7" x14ac:dyDescent="0.2">
      <c r="D95" s="38"/>
    </row>
    <row r="96" spans="4:7" x14ac:dyDescent="0.2">
      <c r="D96" s="38"/>
    </row>
    <row r="97" spans="4:4" x14ac:dyDescent="0.2">
      <c r="D97" s="38"/>
    </row>
    <row r="98" spans="4:4" x14ac:dyDescent="0.2">
      <c r="D98" s="38"/>
    </row>
    <row r="99" spans="4:4" x14ac:dyDescent="0.2">
      <c r="D99" s="38"/>
    </row>
    <row r="100" spans="4:4" x14ac:dyDescent="0.2">
      <c r="D100" s="38"/>
    </row>
    <row r="101" spans="4:4" x14ac:dyDescent="0.2">
      <c r="D101" s="38"/>
    </row>
    <row r="102" spans="4:4" x14ac:dyDescent="0.2">
      <c r="D102" s="38"/>
    </row>
    <row r="103" spans="4:4" x14ac:dyDescent="0.2">
      <c r="D103" s="38"/>
    </row>
    <row r="104" spans="4:4" x14ac:dyDescent="0.2">
      <c r="D104" s="38"/>
    </row>
    <row r="105" spans="4:4" x14ac:dyDescent="0.2">
      <c r="D105" s="38"/>
    </row>
    <row r="106" spans="4:4" x14ac:dyDescent="0.2">
      <c r="D106" s="38"/>
    </row>
    <row r="107" spans="4:4" x14ac:dyDescent="0.2">
      <c r="D107" s="38"/>
    </row>
    <row r="108" spans="4:4" x14ac:dyDescent="0.2">
      <c r="D108" s="38"/>
    </row>
    <row r="109" spans="4:4" x14ac:dyDescent="0.2">
      <c r="D109" s="38"/>
    </row>
    <row r="110" spans="4:4" x14ac:dyDescent="0.2">
      <c r="D110" s="38"/>
    </row>
    <row r="111" spans="4:4" x14ac:dyDescent="0.2">
      <c r="D111" s="38"/>
    </row>
    <row r="112" spans="4:4" x14ac:dyDescent="0.2">
      <c r="D112" s="38"/>
    </row>
    <row r="113" spans="4:4" x14ac:dyDescent="0.2">
      <c r="D113" s="38"/>
    </row>
    <row r="114" spans="4:4" x14ac:dyDescent="0.2">
      <c r="D114" s="38"/>
    </row>
    <row r="115" spans="4:4" x14ac:dyDescent="0.2">
      <c r="D115" s="38"/>
    </row>
    <row r="116" spans="4:4" x14ac:dyDescent="0.2">
      <c r="D116" s="38"/>
    </row>
    <row r="117" spans="4:4" x14ac:dyDescent="0.2">
      <c r="D117" s="38"/>
    </row>
    <row r="118" spans="4:4" x14ac:dyDescent="0.2">
      <c r="D118" s="38"/>
    </row>
    <row r="119" spans="4:4" x14ac:dyDescent="0.2">
      <c r="D119" s="38"/>
    </row>
  </sheetData>
  <mergeCells count="15">
    <mergeCell ref="B69:B70"/>
    <mergeCell ref="B73:B74"/>
    <mergeCell ref="D80:E80"/>
    <mergeCell ref="B45:B46"/>
    <mergeCell ref="B49:B50"/>
    <mergeCell ref="B53:B54"/>
    <mergeCell ref="B57:B58"/>
    <mergeCell ref="B61:B62"/>
    <mergeCell ref="B65:B66"/>
    <mergeCell ref="B41:B42"/>
    <mergeCell ref="L24:M24"/>
    <mergeCell ref="B25:B26"/>
    <mergeCell ref="B29:B30"/>
    <mergeCell ref="B33:B34"/>
    <mergeCell ref="B37:B3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1503D-819B-AA46-90CA-263050EA6B0D}">
  <dimension ref="B1:U30"/>
  <sheetViews>
    <sheetView topLeftCell="B1" zoomScale="120" zoomScaleNormal="120" workbookViewId="0">
      <selection activeCell="F30" sqref="F30"/>
    </sheetView>
  </sheetViews>
  <sheetFormatPr baseColWidth="10" defaultRowHeight="16" x14ac:dyDescent="0.2"/>
  <cols>
    <col min="2" max="2" width="22.6640625" bestFit="1" customWidth="1"/>
    <col min="6" max="6" width="13.6640625" bestFit="1" customWidth="1"/>
    <col min="7" max="7" width="18.1640625" bestFit="1" customWidth="1"/>
    <col min="8" max="8" width="12.83203125" bestFit="1" customWidth="1"/>
    <col min="14" max="14" width="13.6640625" bestFit="1" customWidth="1"/>
    <col min="15" max="15" width="18.1640625" bestFit="1" customWidth="1"/>
  </cols>
  <sheetData>
    <row r="1" spans="2:21" x14ac:dyDescent="0.2"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2" spans="2:21" x14ac:dyDescent="0.2">
      <c r="B2">
        <v>2023</v>
      </c>
      <c r="C2">
        <v>48</v>
      </c>
      <c r="D2">
        <v>52</v>
      </c>
      <c r="E2">
        <v>37</v>
      </c>
      <c r="F2">
        <v>19</v>
      </c>
      <c r="G2">
        <v>25</v>
      </c>
      <c r="H2">
        <v>26</v>
      </c>
      <c r="I2">
        <v>24</v>
      </c>
      <c r="J2">
        <v>35</v>
      </c>
      <c r="K2">
        <v>37</v>
      </c>
      <c r="L2">
        <v>37</v>
      </c>
      <c r="M2">
        <v>47</v>
      </c>
      <c r="N2">
        <v>85</v>
      </c>
    </row>
    <row r="3" spans="2:21" x14ac:dyDescent="0.2">
      <c r="B3">
        <v>2024</v>
      </c>
      <c r="C3">
        <v>17</v>
      </c>
      <c r="D3">
        <v>12</v>
      </c>
      <c r="E3">
        <v>19</v>
      </c>
      <c r="F3">
        <v>10</v>
      </c>
      <c r="G3">
        <v>11</v>
      </c>
      <c r="H3">
        <v>12</v>
      </c>
      <c r="I3">
        <v>7</v>
      </c>
      <c r="J3">
        <v>7</v>
      </c>
      <c r="K3">
        <v>12</v>
      </c>
    </row>
    <row r="6" spans="2:21" x14ac:dyDescent="0.2">
      <c r="B6" s="12" t="s">
        <v>16</v>
      </c>
      <c r="C6" s="12" t="s">
        <v>17</v>
      </c>
      <c r="D6" s="12" t="s">
        <v>18</v>
      </c>
      <c r="E6" s="12"/>
      <c r="F6" s="12" t="s">
        <v>19</v>
      </c>
      <c r="G6" s="12" t="s">
        <v>20</v>
      </c>
      <c r="H6" s="12" t="s">
        <v>155</v>
      </c>
    </row>
    <row r="7" spans="2:21" x14ac:dyDescent="0.2">
      <c r="B7" t="s">
        <v>4</v>
      </c>
      <c r="C7">
        <v>48</v>
      </c>
      <c r="D7">
        <v>17</v>
      </c>
      <c r="E7">
        <f>AVERAGE(C7:D7)</f>
        <v>32.5</v>
      </c>
      <c r="F7">
        <f>E7/$E$20</f>
        <v>1.1453744493392071</v>
      </c>
      <c r="G7" s="3">
        <f>E7*F7</f>
        <v>37.224669603524227</v>
      </c>
      <c r="H7" s="3">
        <f>G7*70%</f>
        <v>26.057268722466958</v>
      </c>
    </row>
    <row r="8" spans="2:21" x14ac:dyDescent="0.2">
      <c r="B8" t="s">
        <v>5</v>
      </c>
      <c r="C8">
        <v>52</v>
      </c>
      <c r="D8">
        <v>12</v>
      </c>
      <c r="E8">
        <f t="shared" ref="E8:E18" si="0">AVERAGE(C8:D8)</f>
        <v>32</v>
      </c>
      <c r="F8">
        <f t="shared" ref="F8:F17" si="1">E8/$E$20</f>
        <v>1.1277533039647578</v>
      </c>
      <c r="G8" s="3">
        <f t="shared" ref="G8:G16" si="2">E8*F8</f>
        <v>36.08810572687225</v>
      </c>
      <c r="H8" s="3">
        <f t="shared" ref="H8:H17" si="3">G8*70%</f>
        <v>25.261674008810573</v>
      </c>
      <c r="P8" t="s">
        <v>39</v>
      </c>
    </row>
    <row r="9" spans="2:21" x14ac:dyDescent="0.2">
      <c r="B9" t="s">
        <v>6</v>
      </c>
      <c r="C9">
        <v>37</v>
      </c>
      <c r="D9">
        <v>19</v>
      </c>
      <c r="E9">
        <f t="shared" si="0"/>
        <v>28</v>
      </c>
      <c r="F9">
        <f t="shared" si="1"/>
        <v>0.986784140969163</v>
      </c>
      <c r="G9" s="3">
        <f t="shared" si="2"/>
        <v>27.629955947136565</v>
      </c>
      <c r="H9" s="3">
        <f t="shared" si="3"/>
        <v>19.340969162995595</v>
      </c>
      <c r="P9" t="s">
        <v>16</v>
      </c>
      <c r="Q9" t="s">
        <v>17</v>
      </c>
      <c r="R9" t="s">
        <v>18</v>
      </c>
      <c r="T9" t="s">
        <v>19</v>
      </c>
      <c r="U9" t="s">
        <v>20</v>
      </c>
    </row>
    <row r="10" spans="2:21" x14ac:dyDescent="0.2">
      <c r="B10" t="s">
        <v>7</v>
      </c>
      <c r="C10">
        <v>19</v>
      </c>
      <c r="D10">
        <v>10</v>
      </c>
      <c r="E10">
        <f t="shared" si="0"/>
        <v>14.5</v>
      </c>
      <c r="F10">
        <f t="shared" si="1"/>
        <v>0.51101321585903081</v>
      </c>
      <c r="G10" s="3">
        <f t="shared" si="2"/>
        <v>7.4096916299559465</v>
      </c>
      <c r="H10" s="3">
        <f t="shared" si="3"/>
        <v>5.186784140969162</v>
      </c>
      <c r="P10" t="s">
        <v>4</v>
      </c>
      <c r="Q10">
        <v>48</v>
      </c>
      <c r="R10">
        <v>17</v>
      </c>
      <c r="S10">
        <f>AVERAGE(Q10:R10)</f>
        <v>32.5</v>
      </c>
      <c r="T10">
        <f t="shared" ref="T10:T15" si="4">S10/$S$17</f>
        <v>1.3541666666666667</v>
      </c>
      <c r="U10" s="3">
        <f>S10*T10</f>
        <v>44.010416666666671</v>
      </c>
    </row>
    <row r="11" spans="2:21" x14ac:dyDescent="0.2">
      <c r="B11" t="s">
        <v>8</v>
      </c>
      <c r="C11">
        <v>25</v>
      </c>
      <c r="D11">
        <v>11</v>
      </c>
      <c r="E11">
        <f t="shared" si="0"/>
        <v>18</v>
      </c>
      <c r="F11">
        <f t="shared" si="1"/>
        <v>0.63436123348017626</v>
      </c>
      <c r="G11" s="3">
        <f t="shared" si="2"/>
        <v>11.418502202643172</v>
      </c>
      <c r="H11" s="3">
        <f t="shared" si="3"/>
        <v>7.9929515418502195</v>
      </c>
      <c r="P11" t="s">
        <v>5</v>
      </c>
      <c r="Q11">
        <v>52</v>
      </c>
      <c r="R11">
        <v>12</v>
      </c>
      <c r="S11">
        <f t="shared" ref="S11:S15" si="5">AVERAGE(Q11:R11)</f>
        <v>32</v>
      </c>
      <c r="T11">
        <f t="shared" si="4"/>
        <v>1.3333333333333333</v>
      </c>
      <c r="U11" s="3">
        <f t="shared" ref="U11:U15" si="6">S11*T11</f>
        <v>42.666666666666664</v>
      </c>
    </row>
    <row r="12" spans="2:21" x14ac:dyDescent="0.2">
      <c r="B12" t="s">
        <v>9</v>
      </c>
      <c r="C12">
        <v>26</v>
      </c>
      <c r="D12">
        <v>12</v>
      </c>
      <c r="E12">
        <f t="shared" si="0"/>
        <v>19</v>
      </c>
      <c r="F12">
        <f t="shared" si="1"/>
        <v>0.66960352422907488</v>
      </c>
      <c r="G12" s="3">
        <f t="shared" si="2"/>
        <v>12.722466960352422</v>
      </c>
      <c r="H12" s="3">
        <f t="shared" si="3"/>
        <v>8.9057268722466958</v>
      </c>
      <c r="P12" t="s">
        <v>6</v>
      </c>
      <c r="Q12">
        <v>37</v>
      </c>
      <c r="R12">
        <v>19</v>
      </c>
      <c r="S12">
        <f t="shared" si="5"/>
        <v>28</v>
      </c>
      <c r="T12">
        <f t="shared" si="4"/>
        <v>1.1666666666666667</v>
      </c>
      <c r="U12" s="3">
        <f t="shared" si="6"/>
        <v>32.666666666666671</v>
      </c>
    </row>
    <row r="13" spans="2:21" x14ac:dyDescent="0.2">
      <c r="B13" t="s">
        <v>10</v>
      </c>
      <c r="C13">
        <v>24</v>
      </c>
      <c r="D13">
        <v>7</v>
      </c>
      <c r="E13">
        <f t="shared" si="0"/>
        <v>15.5</v>
      </c>
      <c r="F13">
        <f t="shared" si="1"/>
        <v>0.54625550660792954</v>
      </c>
      <c r="G13" s="3">
        <f t="shared" si="2"/>
        <v>8.4669603524229071</v>
      </c>
      <c r="H13" s="3">
        <f t="shared" si="3"/>
        <v>5.9268722466960346</v>
      </c>
      <c r="P13" t="s">
        <v>7</v>
      </c>
      <c r="Q13">
        <v>19</v>
      </c>
      <c r="R13">
        <v>10</v>
      </c>
      <c r="S13">
        <f t="shared" si="5"/>
        <v>14.5</v>
      </c>
      <c r="T13">
        <f t="shared" si="4"/>
        <v>0.60416666666666663</v>
      </c>
      <c r="U13" s="3">
        <f t="shared" si="6"/>
        <v>8.7604166666666661</v>
      </c>
    </row>
    <row r="14" spans="2:21" x14ac:dyDescent="0.2">
      <c r="B14" t="s">
        <v>11</v>
      </c>
      <c r="C14">
        <v>35</v>
      </c>
      <c r="D14">
        <v>7</v>
      </c>
      <c r="E14">
        <f t="shared" si="0"/>
        <v>21</v>
      </c>
      <c r="F14">
        <f t="shared" si="1"/>
        <v>0.74008810572687223</v>
      </c>
      <c r="G14" s="3">
        <f t="shared" si="2"/>
        <v>15.541850220264317</v>
      </c>
      <c r="H14" s="3">
        <f t="shared" si="3"/>
        <v>10.879295154185021</v>
      </c>
      <c r="P14" t="s">
        <v>8</v>
      </c>
      <c r="Q14">
        <v>25</v>
      </c>
      <c r="R14">
        <v>11</v>
      </c>
      <c r="S14">
        <f t="shared" si="5"/>
        <v>18</v>
      </c>
      <c r="T14">
        <f t="shared" si="4"/>
        <v>0.75</v>
      </c>
      <c r="U14" s="3">
        <f t="shared" si="6"/>
        <v>13.5</v>
      </c>
    </row>
    <row r="15" spans="2:21" x14ac:dyDescent="0.2">
      <c r="B15" t="s">
        <v>12</v>
      </c>
      <c r="C15">
        <v>37</v>
      </c>
      <c r="D15">
        <v>12</v>
      </c>
      <c r="E15">
        <f t="shared" si="0"/>
        <v>24.5</v>
      </c>
      <c r="F15">
        <f t="shared" si="1"/>
        <v>0.86343612334801767</v>
      </c>
      <c r="G15" s="3">
        <f t="shared" si="2"/>
        <v>21.154185022026432</v>
      </c>
      <c r="H15" s="3">
        <f t="shared" si="3"/>
        <v>14.807929515418502</v>
      </c>
      <c r="P15" t="s">
        <v>9</v>
      </c>
      <c r="Q15">
        <v>26</v>
      </c>
      <c r="R15">
        <v>12</v>
      </c>
      <c r="S15">
        <f t="shared" si="5"/>
        <v>19</v>
      </c>
      <c r="T15">
        <f t="shared" si="4"/>
        <v>0.79166666666666663</v>
      </c>
      <c r="U15" s="3">
        <f t="shared" si="6"/>
        <v>15.041666666666666</v>
      </c>
    </row>
    <row r="16" spans="2:21" x14ac:dyDescent="0.2">
      <c r="B16" t="s">
        <v>13</v>
      </c>
      <c r="C16">
        <v>37</v>
      </c>
      <c r="D16">
        <v>9</v>
      </c>
      <c r="E16">
        <f t="shared" si="0"/>
        <v>23</v>
      </c>
      <c r="F16">
        <f t="shared" si="1"/>
        <v>0.81057268722466957</v>
      </c>
      <c r="G16" s="3">
        <f t="shared" si="2"/>
        <v>18.643171806167402</v>
      </c>
      <c r="H16" s="3">
        <f t="shared" si="3"/>
        <v>13.050220264317181</v>
      </c>
    </row>
    <row r="17" spans="2:21" x14ac:dyDescent="0.2">
      <c r="B17" t="s">
        <v>14</v>
      </c>
      <c r="C17">
        <v>47</v>
      </c>
      <c r="D17">
        <v>38</v>
      </c>
      <c r="E17">
        <f>AVERAGE(C17:D17)</f>
        <v>42.5</v>
      </c>
      <c r="F17">
        <f t="shared" si="1"/>
        <v>1.4977973568281939</v>
      </c>
      <c r="G17" s="3">
        <f>E17*F17</f>
        <v>63.656387665198238</v>
      </c>
      <c r="H17" s="3">
        <f t="shared" si="3"/>
        <v>44.559471365638764</v>
      </c>
      <c r="R17" t="s">
        <v>21</v>
      </c>
      <c r="S17">
        <f>AVERAGE(S10:S15)</f>
        <v>24</v>
      </c>
      <c r="U17" s="3">
        <f>SUM(U10:U15)</f>
        <v>156.64583333333334</v>
      </c>
    </row>
    <row r="18" spans="2:21" x14ac:dyDescent="0.2">
      <c r="B18" t="s">
        <v>15</v>
      </c>
      <c r="C18">
        <v>85</v>
      </c>
      <c r="D18">
        <v>55</v>
      </c>
      <c r="E18">
        <f t="shared" si="0"/>
        <v>70</v>
      </c>
      <c r="F18">
        <f>E18/$E$20</f>
        <v>2.4669603524229076</v>
      </c>
      <c r="G18" s="3">
        <f>E18*F18</f>
        <v>172.68722466960352</v>
      </c>
      <c r="H18" s="3">
        <f>G18*70%</f>
        <v>120.88105726872246</v>
      </c>
    </row>
    <row r="20" spans="2:21" x14ac:dyDescent="0.2">
      <c r="D20" t="s">
        <v>21</v>
      </c>
      <c r="E20">
        <f>AVERAGE(E7:E18)</f>
        <v>28.375</v>
      </c>
      <c r="G20" t="s">
        <v>31</v>
      </c>
      <c r="H20" s="3">
        <f>SUM(H7:H18)</f>
        <v>302.85022026431716</v>
      </c>
    </row>
    <row r="24" spans="2:21" x14ac:dyDescent="0.2">
      <c r="C24" t="s">
        <v>22</v>
      </c>
    </row>
    <row r="25" spans="2:21" x14ac:dyDescent="0.2">
      <c r="B25">
        <v>2023</v>
      </c>
      <c r="C25">
        <f>SUM(C7:C18)</f>
        <v>472</v>
      </c>
    </row>
    <row r="26" spans="2:21" x14ac:dyDescent="0.2">
      <c r="B26">
        <v>2024</v>
      </c>
      <c r="C26">
        <f>SUM(D7:D18)</f>
        <v>209</v>
      </c>
    </row>
    <row r="27" spans="2:21" x14ac:dyDescent="0.2">
      <c r="B27" s="4" t="s">
        <v>23</v>
      </c>
      <c r="C27" s="3">
        <f>SUM(G7:G18)</f>
        <v>432.6431718061674</v>
      </c>
    </row>
    <row r="28" spans="2:21" x14ac:dyDescent="0.2">
      <c r="B28" s="4" t="s">
        <v>156</v>
      </c>
      <c r="C28" s="3">
        <f>H20</f>
        <v>302.85022026431716</v>
      </c>
    </row>
    <row r="30" spans="2:21" x14ac:dyDescent="0.2">
      <c r="C30" s="3">
        <f>AVERAGE(C28,C26,C25)</f>
        <v>327.95007342143907</v>
      </c>
      <c r="D30" t="s">
        <v>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F3DE1-27CA-6240-8DBF-D6914DDAE509}">
  <dimension ref="B14:G27"/>
  <sheetViews>
    <sheetView zoomScaleNormal="100" workbookViewId="0">
      <selection activeCell="K28" sqref="K28"/>
    </sheetView>
  </sheetViews>
  <sheetFormatPr baseColWidth="10" defaultRowHeight="16" x14ac:dyDescent="0.2"/>
  <cols>
    <col min="3" max="3" width="41.5" customWidth="1"/>
    <col min="4" max="5" width="12.1640625" customWidth="1"/>
    <col min="6" max="7" width="11.6640625" bestFit="1" customWidth="1"/>
  </cols>
  <sheetData>
    <row r="14" spans="2:7" s="6" customFormat="1" ht="28" customHeight="1" x14ac:dyDescent="0.2">
      <c r="B14" s="6" t="s">
        <v>24</v>
      </c>
      <c r="C14" s="6" t="s">
        <v>86</v>
      </c>
      <c r="D14" s="11">
        <f>(F16*D17)+(D19*D18*SQRT(F16))</f>
        <v>14.477380027281605</v>
      </c>
    </row>
    <row r="15" spans="2:7" s="6" customFormat="1" ht="28" customHeight="1" x14ac:dyDescent="0.2">
      <c r="B15" s="6" t="s">
        <v>26</v>
      </c>
      <c r="C15" s="6" t="s">
        <v>34</v>
      </c>
      <c r="D15" s="11">
        <f>SQRT((2*D20*D21)/D22)</f>
        <v>174.86232463754965</v>
      </c>
      <c r="E15" s="6" t="s">
        <v>50</v>
      </c>
    </row>
    <row r="16" spans="2:7" s="6" customFormat="1" ht="51" x14ac:dyDescent="0.2">
      <c r="B16" s="6" t="s">
        <v>25</v>
      </c>
      <c r="C16" s="6" t="s">
        <v>38</v>
      </c>
      <c r="D16" s="6" t="s">
        <v>42</v>
      </c>
      <c r="E16" s="6" t="s">
        <v>43</v>
      </c>
      <c r="F16" s="6">
        <f>(7+30)/365</f>
        <v>0.10136986301369863</v>
      </c>
      <c r="G16" s="6" t="s">
        <v>47</v>
      </c>
    </row>
    <row r="17" spans="2:5" s="6" customFormat="1" ht="28" customHeight="1" x14ac:dyDescent="0.2">
      <c r="B17" s="6" t="s">
        <v>27</v>
      </c>
      <c r="C17" s="6" t="s">
        <v>32</v>
      </c>
      <c r="D17" s="9">
        <f>AVERAGE(Forecasting!E20)</f>
        <v>28.375</v>
      </c>
    </row>
    <row r="18" spans="2:5" s="6" customFormat="1" ht="28" customHeight="1" x14ac:dyDescent="0.2">
      <c r="B18" s="6" t="s">
        <v>29</v>
      </c>
      <c r="C18" s="6" t="s">
        <v>33</v>
      </c>
      <c r="D18" s="9">
        <f>STDEV(Forecasting!C7:D18)</f>
        <v>19.381327858668957</v>
      </c>
    </row>
    <row r="19" spans="2:5" s="6" customFormat="1" ht="28" customHeight="1" x14ac:dyDescent="0.2">
      <c r="B19" s="6" t="s">
        <v>28</v>
      </c>
      <c r="C19" s="7" t="s">
        <v>36</v>
      </c>
      <c r="D19" s="6">
        <v>1.88</v>
      </c>
    </row>
    <row r="20" spans="2:5" s="6" customFormat="1" ht="28" customHeight="1" x14ac:dyDescent="0.2">
      <c r="B20" s="6" t="s">
        <v>30</v>
      </c>
      <c r="C20" s="6" t="s">
        <v>35</v>
      </c>
      <c r="D20" s="8">
        <f>'Inventory + Shipping Fees'!D28</f>
        <v>49.47</v>
      </c>
      <c r="E20" s="10"/>
    </row>
    <row r="21" spans="2:5" s="6" customFormat="1" ht="28" customHeight="1" x14ac:dyDescent="0.2">
      <c r="B21" s="6" t="s">
        <v>31</v>
      </c>
      <c r="C21" s="6" t="s">
        <v>37</v>
      </c>
      <c r="D21" s="9">
        <f>Forecasting!C30</f>
        <v>327.95007342143907</v>
      </c>
    </row>
    <row r="22" spans="2:5" ht="17" x14ac:dyDescent="0.2">
      <c r="B22" s="6" t="s">
        <v>44</v>
      </c>
      <c r="C22" s="6" t="s">
        <v>45</v>
      </c>
      <c r="D22" s="13">
        <f>'Inventory + Shipping Fees'!F17</f>
        <v>1.0611753255318139</v>
      </c>
      <c r="E22" t="s">
        <v>157</v>
      </c>
    </row>
    <row r="27" spans="2:5" x14ac:dyDescent="0.2">
      <c r="C27" t="s">
        <v>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Past Sales</vt:lpstr>
      <vt:lpstr>23 v 24 Sales</vt:lpstr>
      <vt:lpstr>Minitab Results</vt:lpstr>
      <vt:lpstr>Inventory + Shipping Fees</vt:lpstr>
      <vt:lpstr>Storage Options</vt:lpstr>
      <vt:lpstr>AWD 1 yr out projections</vt:lpstr>
      <vt:lpstr>AWD (1 pallet) + Nevada</vt:lpstr>
      <vt:lpstr>Forecasting</vt:lpstr>
      <vt:lpstr>Yearly Multi-echelon Model</vt:lpstr>
      <vt:lpstr>Model Jan-Mar</vt:lpstr>
      <vt:lpstr>Model April-June</vt:lpstr>
      <vt:lpstr>Model July-Sept</vt:lpstr>
      <vt:lpstr>Model Oct-Dec</vt:lpstr>
      <vt:lpstr>DRP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Madison Noreen Pierce</dc:creator>
  <cp:lastModifiedBy>Madison Noreen Pierce</cp:lastModifiedBy>
  <dcterms:created xsi:type="dcterms:W3CDTF">2024-09-27T19:43:34Z</dcterms:created>
  <dcterms:modified xsi:type="dcterms:W3CDTF">2025-04-17T22:41:06Z</dcterms:modified>
</cp:coreProperties>
</file>